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结果表 (厂房)" sheetId="80" r:id="rId19"/>
    <sheet name="结果表 (数据中心)" sheetId="81" r:id="rId20"/>
    <sheet name="Sheet1" sheetId="79" r:id="rId21"/>
    <sheet name="成本法（办公）" sheetId="68" r:id="rId22"/>
    <sheet name="基准地价修正" sheetId="43" r:id="rId23"/>
    <sheet name="成本法 (元)" sheetId="69" state="hidden" r:id="rId24"/>
    <sheet name="假设开发法" sheetId="12" state="hidden" r:id="rId25"/>
    <sheet name="成本法（厂房）" sheetId="83" r:id="rId26"/>
    <sheet name="基准地价修正 (2)" sheetId="84" r:id="rId27"/>
    <sheet name="成本法（数据）" sheetId="86" r:id="rId28"/>
    <sheet name="基准地价修正 (3)" sheetId="87" r:id="rId29"/>
    <sheet name="收益法（办公）" sheetId="15" r:id="rId30"/>
    <sheet name="收益法（厂房）" sheetId="85" r:id="rId31"/>
    <sheet name="收益法（数据）" sheetId="88" r:id="rId32"/>
    <sheet name="收益法 (元)办公楼" sheetId="67" state="hidden" r:id="rId33"/>
    <sheet name="收益法 (元)厂房" sheetId="77" state="hidden" r:id="rId34"/>
    <sheet name="收益法 (元）数据中心" sheetId="78" state="hidden"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4" sheetId="82" r:id="rId56"/>
  </sheet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 (元)办公楼'!$A$1:$AK$69</definedName>
    <definedName name="_xlnm.Print_Area" localSheetId="33">'收益法 (元)厂房'!$A$1:$AK$69</definedName>
    <definedName name="_xlnm.Print_Area" localSheetId="34">'收益法 (元）数据中心'!$A$1:$AK$69</definedName>
    <definedName name="_xlnm.Print_Area" localSheetId="29">'收益法（办公）'!$A$1:$AK$69</definedName>
    <definedName name="_xlnm.Print_Area" localSheetId="30">'收益法（厂房）'!$A$1:$AK$69</definedName>
    <definedName name="_xlnm.Print_Area" localSheetId="31">'收益法（数据）'!$A$1:$AK$69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'基准地价修正 (2)'!$Q$19:$AD$19</definedName>
    <definedName name="季度" localSheetId="28">'基准地价修正 (3)'!$Q$19:$AD$19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23" i="79" l="1"/>
  <c r="F22" i="79"/>
  <c r="A3" i="3"/>
  <c r="C11" i="4"/>
  <c r="B5" i="4"/>
  <c r="G14" i="79"/>
  <c r="M3" i="79"/>
  <c r="L3" i="79"/>
  <c r="D4" i="73"/>
  <c r="E20" i="43"/>
  <c r="P17" i="43"/>
  <c r="G20" i="43"/>
  <c r="C20" i="43"/>
  <c r="I4" i="6"/>
  <c r="G3" i="43"/>
  <c r="E22" i="43"/>
  <c r="G22" i="43"/>
  <c r="F22" i="43"/>
  <c r="H22" i="43"/>
  <c r="D22" i="43"/>
  <c r="C21" i="43"/>
  <c r="C29" i="43"/>
  <c r="E29" i="43"/>
  <c r="C33" i="43"/>
  <c r="E33" i="43"/>
  <c r="C34" i="43"/>
  <c r="E34" i="43"/>
  <c r="C35" i="43"/>
  <c r="E35" i="43"/>
  <c r="C36" i="43"/>
  <c r="E36" i="43"/>
  <c r="C37" i="43"/>
  <c r="E37" i="43"/>
  <c r="C38" i="43"/>
  <c r="E38" i="43"/>
  <c r="C39" i="43"/>
  <c r="E39" i="43"/>
  <c r="C26" i="43"/>
  <c r="B2" i="43"/>
  <c r="C6" i="68"/>
  <c r="C7" i="68"/>
  <c r="D9" i="68"/>
  <c r="C9" i="68"/>
  <c r="K6" i="1"/>
  <c r="BQ13" i="3"/>
  <c r="BQ14" i="3"/>
  <c r="BQ5" i="3"/>
  <c r="BS13" i="3"/>
  <c r="BS14" i="3"/>
  <c r="BS5" i="3"/>
  <c r="F28" i="6"/>
  <c r="BR13" i="3"/>
  <c r="BR14" i="3"/>
  <c r="BR5" i="3"/>
  <c r="BT13" i="3"/>
  <c r="BT14" i="3"/>
  <c r="BT5" i="3"/>
  <c r="G28" i="6"/>
  <c r="E28" i="6"/>
  <c r="BB13" i="3"/>
  <c r="BC13" i="3"/>
  <c r="BD13" i="3"/>
  <c r="BE13" i="3"/>
  <c r="BF13" i="3"/>
  <c r="BG13" i="3"/>
  <c r="BH13" i="3"/>
  <c r="BI13" i="3"/>
  <c r="BJ13" i="3"/>
  <c r="BK13" i="3"/>
  <c r="BA13" i="3"/>
  <c r="BB14" i="3"/>
  <c r="BC14" i="3"/>
  <c r="BD14" i="3"/>
  <c r="BE14" i="3"/>
  <c r="BF14" i="3"/>
  <c r="BG14" i="3"/>
  <c r="BH14" i="3"/>
  <c r="BI14" i="3"/>
  <c r="BJ14" i="3"/>
  <c r="BK14" i="3"/>
  <c r="BA14" i="3"/>
  <c r="BA5" i="3"/>
  <c r="BB5" i="3"/>
  <c r="BC5" i="3"/>
  <c r="BD5" i="3"/>
  <c r="E8" i="6"/>
  <c r="F27" i="6"/>
  <c r="E27" i="6"/>
  <c r="K19" i="6"/>
  <c r="S6" i="1"/>
  <c r="D10" i="68"/>
  <c r="C10" i="68"/>
  <c r="C8" i="68"/>
  <c r="C5" i="68"/>
  <c r="C20" i="68"/>
  <c r="D5" i="73"/>
  <c r="G1" i="73"/>
  <c r="B40" i="1"/>
  <c r="F22" i="68"/>
  <c r="C23" i="68"/>
  <c r="C24" i="68"/>
  <c r="C25" i="68"/>
  <c r="C22" i="68"/>
  <c r="F27" i="68"/>
  <c r="C28" i="68"/>
  <c r="C27" i="68"/>
  <c r="C26" i="68"/>
  <c r="D22" i="68"/>
  <c r="C29" i="68"/>
  <c r="D27" i="68"/>
  <c r="C31" i="68"/>
  <c r="F34" i="68"/>
  <c r="M6" i="1"/>
  <c r="T6" i="1"/>
  <c r="C34" i="68"/>
  <c r="C35" i="68"/>
  <c r="C36" i="68"/>
  <c r="D19" i="68"/>
  <c r="D37" i="68"/>
  <c r="C37" i="68"/>
  <c r="C38" i="68"/>
  <c r="C33" i="68"/>
  <c r="C39" i="68"/>
  <c r="C42" i="68"/>
  <c r="C43" i="68"/>
  <c r="C41" i="68"/>
  <c r="C46" i="68"/>
  <c r="C45" i="68"/>
  <c r="C44" i="68"/>
  <c r="D41" i="68"/>
  <c r="C47" i="68"/>
  <c r="D45" i="68"/>
  <c r="C49" i="68"/>
  <c r="K7" i="1"/>
  <c r="M7" i="1"/>
  <c r="K8" i="1"/>
  <c r="M8" i="1"/>
  <c r="K9" i="1"/>
  <c r="M9" i="1"/>
  <c r="K10" i="1"/>
  <c r="M10" i="1"/>
  <c r="K11" i="1"/>
  <c r="M11" i="1"/>
  <c r="K12" i="1"/>
  <c r="M12" i="1"/>
  <c r="K13" i="1"/>
  <c r="M13" i="1"/>
  <c r="K14" i="1"/>
  <c r="M14" i="1"/>
  <c r="M16" i="1"/>
  <c r="I14" i="79"/>
  <c r="N6" i="1"/>
  <c r="N7" i="1"/>
  <c r="N8" i="1"/>
  <c r="N16" i="1"/>
  <c r="F50" i="68"/>
  <c r="C51" i="68"/>
  <c r="C52" i="68"/>
  <c r="B2" i="68"/>
  <c r="C19" i="9"/>
  <c r="F6" i="15"/>
  <c r="F8" i="15"/>
  <c r="F7" i="15"/>
  <c r="F9" i="15"/>
  <c r="C6" i="15"/>
  <c r="F4" i="73"/>
  <c r="I1" i="73"/>
  <c r="B39" i="1"/>
  <c r="F11" i="15"/>
  <c r="C10" i="15"/>
  <c r="C5" i="15"/>
  <c r="C32" i="15"/>
  <c r="C33" i="15"/>
  <c r="BM13" i="3"/>
  <c r="BN13" i="3"/>
  <c r="BO13" i="3"/>
  <c r="BP13" i="3"/>
  <c r="BL13" i="3"/>
  <c r="AZ13" i="3"/>
  <c r="BM14" i="3"/>
  <c r="BN14" i="3"/>
  <c r="BO14" i="3"/>
  <c r="BP14" i="3"/>
  <c r="BL14" i="3"/>
  <c r="AZ14" i="3"/>
  <c r="AZ5" i="3"/>
  <c r="AY6" i="3"/>
  <c r="D3" i="6"/>
  <c r="E3" i="6"/>
  <c r="D19" i="6"/>
  <c r="L19" i="6"/>
  <c r="M19" i="6"/>
  <c r="I19" i="6"/>
  <c r="H19" i="6"/>
  <c r="R19" i="6"/>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0" i="15"/>
  <c r="J51" i="15"/>
  <c r="J53" i="15"/>
  <c r="F1" i="15"/>
  <c r="AE6" i="1"/>
  <c r="F41" i="15"/>
  <c r="C40" i="15"/>
  <c r="M6" i="15"/>
  <c r="M8" i="15"/>
  <c r="M7" i="15"/>
  <c r="M9" i="15"/>
  <c r="J6" i="15"/>
  <c r="M11" i="15"/>
  <c r="J10" i="15"/>
  <c r="J5" i="15"/>
  <c r="J26" i="15"/>
  <c r="J29" i="15"/>
  <c r="J60" i="15"/>
  <c r="L46" i="15"/>
  <c r="B2" i="15"/>
  <c r="D19" i="9"/>
  <c r="C17" i="9"/>
  <c r="D17" i="9"/>
  <c r="C18" i="9"/>
  <c r="D18" i="9"/>
  <c r="G19" i="9"/>
  <c r="C32" i="9"/>
  <c r="H118" i="9"/>
  <c r="E22" i="79"/>
  <c r="E20" i="84"/>
  <c r="P17" i="84"/>
  <c r="G20" i="84"/>
  <c r="C20" i="84"/>
  <c r="G3" i="84"/>
  <c r="E22" i="84"/>
  <c r="G22" i="84"/>
  <c r="F22" i="84"/>
  <c r="H22" i="84"/>
  <c r="D22" i="84"/>
  <c r="C21" i="84"/>
  <c r="C29" i="84"/>
  <c r="E29" i="84"/>
  <c r="C33" i="84"/>
  <c r="E33" i="84"/>
  <c r="C34" i="84"/>
  <c r="E34" i="84"/>
  <c r="C35" i="84"/>
  <c r="E35" i="84"/>
  <c r="C36" i="84"/>
  <c r="E36" i="84"/>
  <c r="C37" i="84"/>
  <c r="E37" i="84"/>
  <c r="C38" i="84"/>
  <c r="E38" i="84"/>
  <c r="C39" i="84"/>
  <c r="E39" i="84"/>
  <c r="C26" i="84"/>
  <c r="B2" i="84"/>
  <c r="C6" i="83"/>
  <c r="C7" i="83"/>
  <c r="D9" i="83"/>
  <c r="C9" i="83"/>
  <c r="K20" i="6"/>
  <c r="S7" i="1"/>
  <c r="D10" i="83"/>
  <c r="C10" i="83"/>
  <c r="C8" i="83"/>
  <c r="C5" i="83"/>
  <c r="C20" i="83"/>
  <c r="F22" i="83"/>
  <c r="C23" i="83"/>
  <c r="C24" i="83"/>
  <c r="C25" i="83"/>
  <c r="C22" i="83"/>
  <c r="F27" i="83"/>
  <c r="C28" i="83"/>
  <c r="C27" i="83"/>
  <c r="C26" i="83"/>
  <c r="D22" i="83"/>
  <c r="C29" i="83"/>
  <c r="D27" i="83"/>
  <c r="C31" i="83"/>
  <c r="F34" i="83"/>
  <c r="T7" i="1"/>
  <c r="C34" i="83"/>
  <c r="C35" i="83"/>
  <c r="C36" i="83"/>
  <c r="D19" i="83"/>
  <c r="D37" i="83"/>
  <c r="C37" i="83"/>
  <c r="C38" i="83"/>
  <c r="C33" i="83"/>
  <c r="C39" i="83"/>
  <c r="C42" i="83"/>
  <c r="C43" i="83"/>
  <c r="C41" i="83"/>
  <c r="C46" i="83"/>
  <c r="C45" i="83"/>
  <c r="C44" i="83"/>
  <c r="D41" i="83"/>
  <c r="C47" i="83"/>
  <c r="D45" i="83"/>
  <c r="C49" i="83"/>
  <c r="F50" i="83"/>
  <c r="C51" i="83"/>
  <c r="C52" i="83"/>
  <c r="B2" i="83"/>
  <c r="C19" i="80"/>
  <c r="F6" i="85"/>
  <c r="F8" i="85"/>
  <c r="F7" i="85"/>
  <c r="F9" i="85"/>
  <c r="C6" i="85"/>
  <c r="F11" i="85"/>
  <c r="C10" i="85"/>
  <c r="C5" i="85"/>
  <c r="C32" i="85"/>
  <c r="C33" i="85"/>
  <c r="D20" i="6"/>
  <c r="L20" i="6"/>
  <c r="M20" i="6"/>
  <c r="I20" i="6"/>
  <c r="H20" i="6"/>
  <c r="R20" i="6"/>
  <c r="R7" i="1"/>
  <c r="F35" i="85"/>
  <c r="C34" i="85"/>
  <c r="C31" i="85"/>
  <c r="C14" i="85"/>
  <c r="C15" i="85"/>
  <c r="F16" i="85"/>
  <c r="C16" i="85"/>
  <c r="F43" i="85"/>
  <c r="C17" i="85"/>
  <c r="C18" i="85"/>
  <c r="C19" i="85"/>
  <c r="C20" i="85"/>
  <c r="F24" i="85"/>
  <c r="C23" i="85"/>
  <c r="F26" i="85"/>
  <c r="C26" i="85"/>
  <c r="C24" i="85"/>
  <c r="C27" i="85"/>
  <c r="C29" i="85"/>
  <c r="F36" i="85"/>
  <c r="C36" i="85"/>
  <c r="Y7" i="1"/>
  <c r="F13" i="85"/>
  <c r="C13" i="85"/>
  <c r="F37" i="85"/>
  <c r="C37" i="85"/>
  <c r="F38" i="85"/>
  <c r="C38" i="85"/>
  <c r="C30" i="85"/>
  <c r="C39" i="85"/>
  <c r="F42" i="85"/>
  <c r="F40" i="85"/>
  <c r="L48" i="77"/>
  <c r="J53" i="77"/>
  <c r="F1" i="77"/>
  <c r="L48" i="85"/>
  <c r="J50" i="85"/>
  <c r="J51" i="85"/>
  <c r="J53" i="85"/>
  <c r="F1" i="85"/>
  <c r="AE7" i="1"/>
  <c r="F41" i="85"/>
  <c r="C40" i="85"/>
  <c r="M6" i="85"/>
  <c r="M8" i="85"/>
  <c r="M7" i="85"/>
  <c r="M9" i="85"/>
  <c r="J6" i="85"/>
  <c r="M11" i="85"/>
  <c r="J10" i="85"/>
  <c r="J5" i="85"/>
  <c r="J26" i="85"/>
  <c r="J29" i="85"/>
  <c r="J60" i="85"/>
  <c r="L46" i="85"/>
  <c r="B2" i="85"/>
  <c r="D19" i="80"/>
  <c r="C17" i="80"/>
  <c r="D17" i="80"/>
  <c r="C18" i="80"/>
  <c r="D18" i="80"/>
  <c r="G19" i="80"/>
  <c r="C32" i="80"/>
  <c r="H118" i="80"/>
  <c r="E23" i="79"/>
  <c r="E20" i="87"/>
  <c r="P17" i="87"/>
  <c r="G20" i="87"/>
  <c r="C20" i="87"/>
  <c r="G3" i="87"/>
  <c r="E22" i="87"/>
  <c r="G22" i="87"/>
  <c r="F22" i="87"/>
  <c r="H22" i="87"/>
  <c r="D22" i="87"/>
  <c r="C21" i="87"/>
  <c r="C29" i="87"/>
  <c r="E29" i="87"/>
  <c r="C33" i="87"/>
  <c r="E33" i="87"/>
  <c r="C34" i="87"/>
  <c r="E34" i="87"/>
  <c r="C35" i="87"/>
  <c r="E35" i="87"/>
  <c r="C36" i="87"/>
  <c r="E36" i="87"/>
  <c r="C37" i="87"/>
  <c r="E37" i="87"/>
  <c r="C38" i="87"/>
  <c r="E38" i="87"/>
  <c r="C39" i="87"/>
  <c r="E39" i="87"/>
  <c r="C26" i="87"/>
  <c r="B2" i="87"/>
  <c r="C6" i="86"/>
  <c r="C7" i="86"/>
  <c r="D9" i="86"/>
  <c r="C9" i="86"/>
  <c r="K21" i="6"/>
  <c r="S8" i="1"/>
  <c r="D10" i="86"/>
  <c r="C10" i="86"/>
  <c r="C8" i="86"/>
  <c r="C5" i="86"/>
  <c r="C20" i="86"/>
  <c r="F22" i="86"/>
  <c r="C23" i="86"/>
  <c r="C24" i="86"/>
  <c r="C25" i="86"/>
  <c r="C22" i="86"/>
  <c r="F27" i="86"/>
  <c r="C28" i="86"/>
  <c r="C27" i="86"/>
  <c r="C26" i="86"/>
  <c r="D22" i="86"/>
  <c r="C29" i="86"/>
  <c r="D27" i="86"/>
  <c r="C31" i="86"/>
  <c r="F34" i="86"/>
  <c r="T8" i="1"/>
  <c r="C34" i="86"/>
  <c r="C35" i="86"/>
  <c r="C36" i="86"/>
  <c r="D19" i="86"/>
  <c r="D37" i="86"/>
  <c r="C37" i="86"/>
  <c r="C38" i="86"/>
  <c r="C33" i="86"/>
  <c r="C39" i="86"/>
  <c r="C42" i="86"/>
  <c r="C43" i="86"/>
  <c r="C41" i="86"/>
  <c r="C46" i="86"/>
  <c r="C45" i="86"/>
  <c r="C44" i="86"/>
  <c r="D41" i="86"/>
  <c r="C47" i="86"/>
  <c r="D45" i="86"/>
  <c r="C49" i="86"/>
  <c r="F50" i="86"/>
  <c r="C51" i="86"/>
  <c r="C52" i="86"/>
  <c r="B2" i="86"/>
  <c r="C19" i="81"/>
  <c r="F6" i="88"/>
  <c r="F8" i="88"/>
  <c r="F7" i="88"/>
  <c r="F9" i="88"/>
  <c r="C6" i="88"/>
  <c r="F11" i="88"/>
  <c r="C10" i="88"/>
  <c r="C5" i="88"/>
  <c r="C32" i="88"/>
  <c r="C33" i="88"/>
  <c r="D21" i="6"/>
  <c r="L21" i="6"/>
  <c r="M21" i="6"/>
  <c r="I21" i="6"/>
  <c r="H21" i="6"/>
  <c r="R21" i="6"/>
  <c r="R8" i="1"/>
  <c r="F35" i="88"/>
  <c r="C34" i="88"/>
  <c r="C31" i="88"/>
  <c r="C14" i="88"/>
  <c r="C15" i="88"/>
  <c r="F16" i="88"/>
  <c r="C16" i="88"/>
  <c r="F43" i="88"/>
  <c r="C17" i="88"/>
  <c r="C18" i="88"/>
  <c r="C19" i="88"/>
  <c r="C20" i="88"/>
  <c r="F24" i="88"/>
  <c r="C23" i="88"/>
  <c r="F26" i="88"/>
  <c r="C26" i="88"/>
  <c r="C24" i="88"/>
  <c r="C27" i="88"/>
  <c r="C29" i="88"/>
  <c r="F36" i="88"/>
  <c r="C36" i="88"/>
  <c r="Y8" i="1"/>
  <c r="F13" i="88"/>
  <c r="C13" i="88"/>
  <c r="F37" i="88"/>
  <c r="C37" i="88"/>
  <c r="F38" i="88"/>
  <c r="C38" i="88"/>
  <c r="C30" i="88"/>
  <c r="C39" i="88"/>
  <c r="F42" i="88"/>
  <c r="F40" i="88"/>
  <c r="L48" i="78"/>
  <c r="J53" i="78"/>
  <c r="F1" i="78"/>
  <c r="L48" i="88"/>
  <c r="J50" i="88"/>
  <c r="J51" i="88"/>
  <c r="J53" i="88"/>
  <c r="F1" i="88"/>
  <c r="AE8" i="1"/>
  <c r="F41" i="88"/>
  <c r="C40" i="88"/>
  <c r="M6" i="88"/>
  <c r="M8" i="88"/>
  <c r="M7" i="88"/>
  <c r="M9" i="88"/>
  <c r="J6" i="88"/>
  <c r="M11" i="88"/>
  <c r="J10" i="88"/>
  <c r="J5" i="88"/>
  <c r="J26" i="88"/>
  <c r="J29" i="88"/>
  <c r="J60" i="88"/>
  <c r="L46" i="88"/>
  <c r="B2" i="88"/>
  <c r="D19" i="81"/>
  <c r="D17" i="81"/>
  <c r="C17" i="81"/>
  <c r="C18" i="81"/>
  <c r="D18" i="81"/>
  <c r="G19" i="81"/>
  <c r="C32" i="81"/>
  <c r="H118" i="81"/>
  <c r="E24" i="79"/>
  <c r="E25" i="79"/>
  <c r="I25" i="79"/>
  <c r="H25" i="79"/>
  <c r="F3" i="79"/>
  <c r="F4" i="79"/>
  <c r="G4" i="79"/>
  <c r="U8" i="1"/>
  <c r="M18" i="81"/>
  <c r="B118" i="81"/>
  <c r="I118" i="81"/>
  <c r="D24" i="79"/>
  <c r="M18" i="80"/>
  <c r="B118" i="80"/>
  <c r="I118" i="80"/>
  <c r="D23" i="79"/>
  <c r="M18" i="9"/>
  <c r="B118" i="9"/>
  <c r="I118" i="9"/>
  <c r="D22" i="79"/>
  <c r="E111" i="81"/>
  <c r="H111" i="81"/>
  <c r="D126" i="81"/>
  <c r="I16" i="74"/>
  <c r="E111" i="80"/>
  <c r="H111" i="80"/>
  <c r="D126" i="80"/>
  <c r="I15" i="74"/>
  <c r="H101" i="81"/>
  <c r="E109" i="81"/>
  <c r="H109" i="81"/>
  <c r="D124" i="81"/>
  <c r="H16" i="74"/>
  <c r="H101" i="80"/>
  <c r="E109" i="80"/>
  <c r="H109" i="80"/>
  <c r="D124" i="80"/>
  <c r="H15" i="74"/>
  <c r="E107" i="81"/>
  <c r="H107" i="81"/>
  <c r="D122" i="81"/>
  <c r="G16" i="74"/>
  <c r="E107" i="80"/>
  <c r="H107" i="80"/>
  <c r="D122" i="80"/>
  <c r="G15" i="74"/>
  <c r="H101" i="9"/>
  <c r="E107" i="9"/>
  <c r="H107" i="9"/>
  <c r="D122" i="9"/>
  <c r="D123" i="9"/>
  <c r="E109" i="9"/>
  <c r="H109" i="9"/>
  <c r="D124" i="9"/>
  <c r="D16" i="74"/>
  <c r="D15" i="74"/>
  <c r="M19" i="81"/>
  <c r="C118" i="81"/>
  <c r="C16" i="74"/>
  <c r="M19" i="80"/>
  <c r="C118" i="80"/>
  <c r="C15" i="74"/>
  <c r="B16" i="74"/>
  <c r="B15" i="74"/>
  <c r="G1" i="88"/>
  <c r="F15" i="88"/>
  <c r="F17" i="88"/>
  <c r="F18" i="88"/>
  <c r="F20" i="88"/>
  <c r="F23" i="88"/>
  <c r="F21" i="88"/>
  <c r="F28" i="88"/>
  <c r="C28" i="88"/>
  <c r="F32" i="88"/>
  <c r="F33" i="88"/>
  <c r="F34" i="88"/>
  <c r="C83" i="88"/>
  <c r="C82" i="88"/>
  <c r="C76" i="88"/>
  <c r="C75" i="88"/>
  <c r="C80" i="88"/>
  <c r="C79" i="88"/>
  <c r="Q65" i="88"/>
  <c r="M47" i="88"/>
  <c r="L60" i="88"/>
  <c r="Q66" i="88"/>
  <c r="Q75" i="88"/>
  <c r="L47" i="88"/>
  <c r="L59" i="88"/>
  <c r="Q74" i="88"/>
  <c r="K59" i="88"/>
  <c r="P74" i="88"/>
  <c r="L58"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68" i="88"/>
  <c r="F69" i="88"/>
  <c r="C68" i="88"/>
  <c r="C71" i="88"/>
  <c r="Q70" i="88"/>
  <c r="Q69" i="88"/>
  <c r="Q68" i="88"/>
  <c r="L51" i="88"/>
  <c r="Q67" i="88"/>
  <c r="Q56" i="88"/>
  <c r="Q57" i="88"/>
  <c r="Q62" i="88"/>
  <c r="Q61" i="88"/>
  <c r="P61" i="88"/>
  <c r="Q60" i="88"/>
  <c r="Q59" i="88"/>
  <c r="N59" i="88"/>
  <c r="M59" i="88"/>
  <c r="J59" i="88"/>
  <c r="F59" i="88"/>
  <c r="Q58" i="88"/>
  <c r="J57" i="88"/>
  <c r="J55" i="88"/>
  <c r="J58" i="88"/>
  <c r="L57" i="88"/>
  <c r="L56" i="88"/>
  <c r="I54" i="88"/>
  <c r="Q47" i="88"/>
  <c r="Q48" i="88"/>
  <c r="Q53" i="88"/>
  <c r="Q52" i="88"/>
  <c r="Q51" i="88"/>
  <c r="Q50" i="88"/>
  <c r="Q49" i="88"/>
  <c r="D46"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3" i="88"/>
  <c r="G17" i="87"/>
  <c r="H17" i="87"/>
  <c r="I17" i="87"/>
  <c r="J17" i="87"/>
  <c r="C16" i="87"/>
  <c r="C5" i="87"/>
  <c r="D5" i="87"/>
  <c r="D29" i="87"/>
  <c r="B113" i="87"/>
  <c r="I118" i="87"/>
  <c r="J118" i="87"/>
  <c r="K118" i="87"/>
  <c r="L118" i="87"/>
  <c r="M118" i="87"/>
  <c r="G118" i="87"/>
  <c r="H118" i="87"/>
  <c r="D118" i="87"/>
  <c r="E118" i="87"/>
  <c r="F118" i="87"/>
  <c r="B118" i="87"/>
  <c r="C118" i="87"/>
  <c r="I117" i="87"/>
  <c r="J117" i="87"/>
  <c r="K117" i="87"/>
  <c r="L117" i="87"/>
  <c r="M117" i="87"/>
  <c r="D117" i="87"/>
  <c r="E117" i="87"/>
  <c r="F117" i="87"/>
  <c r="G117" i="87"/>
  <c r="H117" i="87"/>
  <c r="B117" i="87"/>
  <c r="C117" i="87"/>
  <c r="I116" i="87"/>
  <c r="J116" i="87"/>
  <c r="K116" i="87"/>
  <c r="L116" i="87"/>
  <c r="M116" i="87"/>
  <c r="D116" i="87"/>
  <c r="E116" i="87"/>
  <c r="F116" i="87"/>
  <c r="G116" i="87"/>
  <c r="H116" i="87"/>
  <c r="B116" i="87"/>
  <c r="C116" i="87"/>
  <c r="I115" i="87"/>
  <c r="J115" i="87"/>
  <c r="K115" i="87"/>
  <c r="L115" i="87"/>
  <c r="M115" i="87"/>
  <c r="D115" i="87"/>
  <c r="E115" i="87"/>
  <c r="F115" i="87"/>
  <c r="G115" i="87"/>
  <c r="H115" i="87"/>
  <c r="B115" i="87"/>
  <c r="C115" i="87"/>
  <c r="G2" i="87"/>
  <c r="H113" i="87"/>
  <c r="F113" i="87"/>
  <c r="D113" i="87"/>
  <c r="N99" i="87"/>
  <c r="N108" i="87"/>
  <c r="N101" i="87"/>
  <c r="N109" i="87"/>
  <c r="M99" i="87"/>
  <c r="M108" i="87"/>
  <c r="M101" i="87"/>
  <c r="M109" i="87"/>
  <c r="L99" i="87"/>
  <c r="L108" i="87"/>
  <c r="L101" i="87"/>
  <c r="L109" i="87"/>
  <c r="K99" i="87"/>
  <c r="K108" i="87"/>
  <c r="K101" i="87"/>
  <c r="K109" i="87"/>
  <c r="J99" i="87"/>
  <c r="J108" i="87"/>
  <c r="J101" i="87"/>
  <c r="J109" i="87"/>
  <c r="I99" i="87"/>
  <c r="I108" i="87"/>
  <c r="I101" i="87"/>
  <c r="I109" i="87"/>
  <c r="H99" i="87"/>
  <c r="H108" i="87"/>
  <c r="H101" i="87"/>
  <c r="H109" i="87"/>
  <c r="G99" i="87"/>
  <c r="G108" i="87"/>
  <c r="G101" i="87"/>
  <c r="G109" i="87"/>
  <c r="F99" i="87"/>
  <c r="F108" i="87"/>
  <c r="F101" i="87"/>
  <c r="F109" i="87"/>
  <c r="E99" i="87"/>
  <c r="E108" i="87"/>
  <c r="E101" i="87"/>
  <c r="E109" i="87"/>
  <c r="D99" i="87"/>
  <c r="D108" i="87"/>
  <c r="D101" i="87"/>
  <c r="D109" i="87"/>
  <c r="C99" i="87"/>
  <c r="C108" i="87"/>
  <c r="C101" i="87"/>
  <c r="C109" i="87"/>
  <c r="N107" i="87"/>
  <c r="M107" i="87"/>
  <c r="L107" i="87"/>
  <c r="K107" i="87"/>
  <c r="J107" i="87"/>
  <c r="I107" i="87"/>
  <c r="H107" i="87"/>
  <c r="G107" i="87"/>
  <c r="F107" i="87"/>
  <c r="E107" i="87"/>
  <c r="D107" i="87"/>
  <c r="C107" i="87"/>
  <c r="N106" i="87"/>
  <c r="M106" i="87"/>
  <c r="L106" i="87"/>
  <c r="K106" i="87"/>
  <c r="J106" i="87"/>
  <c r="I106" i="87"/>
  <c r="H106" i="87"/>
  <c r="G106" i="87"/>
  <c r="F106" i="87"/>
  <c r="E106" i="87"/>
  <c r="D106" i="87"/>
  <c r="C106" i="87"/>
  <c r="N105" i="87"/>
  <c r="M105" i="87"/>
  <c r="L105" i="87"/>
  <c r="K105" i="87"/>
  <c r="J105" i="87"/>
  <c r="I105" i="87"/>
  <c r="H105" i="87"/>
  <c r="G105" i="87"/>
  <c r="F105" i="87"/>
  <c r="E105" i="87"/>
  <c r="D105" i="87"/>
  <c r="C105" i="87"/>
  <c r="N104" i="87"/>
  <c r="M104" i="87"/>
  <c r="L104" i="87"/>
  <c r="K104" i="87"/>
  <c r="J104" i="87"/>
  <c r="I104" i="87"/>
  <c r="H104" i="87"/>
  <c r="G104" i="87"/>
  <c r="F104" i="87"/>
  <c r="E104" i="87"/>
  <c r="D104" i="87"/>
  <c r="C104" i="87"/>
  <c r="N103" i="87"/>
  <c r="M103" i="87"/>
  <c r="L103" i="87"/>
  <c r="K103" i="87"/>
  <c r="J103" i="87"/>
  <c r="I103" i="87"/>
  <c r="H103" i="87"/>
  <c r="G103" i="87"/>
  <c r="F103" i="87"/>
  <c r="E103" i="87"/>
  <c r="D103" i="87"/>
  <c r="C103" i="87"/>
  <c r="N102" i="87"/>
  <c r="M102" i="87"/>
  <c r="L102" i="87"/>
  <c r="K102" i="87"/>
  <c r="J102" i="87"/>
  <c r="I102" i="87"/>
  <c r="H102" i="87"/>
  <c r="G102" i="87"/>
  <c r="F102" i="87"/>
  <c r="E102" i="87"/>
  <c r="D102" i="87"/>
  <c r="C102" i="87"/>
  <c r="N100" i="87"/>
  <c r="M100" i="87"/>
  <c r="L100" i="87"/>
  <c r="K100" i="87"/>
  <c r="J100" i="87"/>
  <c r="I100" i="87"/>
  <c r="H100" i="87"/>
  <c r="G100" i="87"/>
  <c r="F100" i="87"/>
  <c r="E100" i="87"/>
  <c r="D100" i="87"/>
  <c r="C100" i="87"/>
  <c r="I2" i="87"/>
  <c r="N7" i="87"/>
  <c r="F81" i="87"/>
  <c r="H88" i="87"/>
  <c r="G88" i="87"/>
  <c r="M88" i="87"/>
  <c r="N88" i="87"/>
  <c r="K88" i="87"/>
  <c r="J88" i="87"/>
  <c r="D88" i="87"/>
  <c r="B88" i="87"/>
  <c r="H87" i="87"/>
  <c r="G87" i="87"/>
  <c r="M87" i="87"/>
  <c r="N87" i="87"/>
  <c r="K87" i="87"/>
  <c r="J87" i="87"/>
  <c r="D87" i="87"/>
  <c r="H86" i="87"/>
  <c r="G86" i="87"/>
  <c r="M86" i="87"/>
  <c r="N86" i="87"/>
  <c r="K86" i="87"/>
  <c r="J86" i="87"/>
  <c r="D86" i="87"/>
  <c r="B86" i="87"/>
  <c r="H85" i="87"/>
  <c r="G85" i="87"/>
  <c r="M85" i="87"/>
  <c r="N85" i="87"/>
  <c r="K85" i="87"/>
  <c r="J85" i="87"/>
  <c r="D85" i="87"/>
  <c r="B85" i="87"/>
  <c r="H84" i="87"/>
  <c r="G84" i="87"/>
  <c r="M84" i="87"/>
  <c r="N84" i="87"/>
  <c r="K84" i="87"/>
  <c r="J84" i="87"/>
  <c r="D84" i="87"/>
  <c r="B84" i="87"/>
  <c r="H83" i="87"/>
  <c r="G83" i="87"/>
  <c r="M83" i="87"/>
  <c r="N83" i="87"/>
  <c r="K83" i="87"/>
  <c r="J83" i="87"/>
  <c r="D83" i="87"/>
  <c r="B83" i="87"/>
  <c r="H82" i="87"/>
  <c r="G82" i="87"/>
  <c r="M82" i="87"/>
  <c r="N82" i="87"/>
  <c r="K82" i="87"/>
  <c r="J82" i="87"/>
  <c r="D82" i="87"/>
  <c r="B82" i="87"/>
  <c r="H81" i="87"/>
  <c r="G81" i="87"/>
  <c r="M81" i="87"/>
  <c r="N81" i="87"/>
  <c r="K81" i="87"/>
  <c r="J81" i="87"/>
  <c r="D81" i="87"/>
  <c r="E81" i="87"/>
  <c r="B81" i="87"/>
  <c r="B79" i="87"/>
  <c r="M78" i="87"/>
  <c r="N78" i="87"/>
  <c r="K78" i="87"/>
  <c r="J78" i="87"/>
  <c r="F70" i="87"/>
  <c r="H78" i="87"/>
  <c r="D78" i="87"/>
  <c r="M77" i="87"/>
  <c r="N77" i="87"/>
  <c r="K77" i="87"/>
  <c r="J77" i="87"/>
  <c r="H77" i="87"/>
  <c r="D77" i="87"/>
  <c r="B77" i="87"/>
  <c r="M76" i="87"/>
  <c r="N76" i="87"/>
  <c r="K76" i="87"/>
  <c r="J76" i="87"/>
  <c r="H76" i="87"/>
  <c r="D76" i="87"/>
  <c r="M75" i="87"/>
  <c r="N75" i="87"/>
  <c r="K75" i="87"/>
  <c r="J75" i="87"/>
  <c r="H75" i="87"/>
  <c r="D75" i="87"/>
  <c r="B75" i="87"/>
  <c r="M74" i="87"/>
  <c r="N74" i="87"/>
  <c r="K74" i="87"/>
  <c r="J74" i="87"/>
  <c r="H74" i="87"/>
  <c r="D74" i="87"/>
  <c r="B74" i="87"/>
  <c r="M73" i="87"/>
  <c r="N73" i="87"/>
  <c r="K73" i="87"/>
  <c r="J73" i="87"/>
  <c r="H73" i="87"/>
  <c r="D73" i="87"/>
  <c r="B73" i="87"/>
  <c r="M72" i="87"/>
  <c r="N72" i="87"/>
  <c r="K72" i="87"/>
  <c r="J72" i="87"/>
  <c r="H72" i="87"/>
  <c r="D72" i="87"/>
  <c r="B72" i="87"/>
  <c r="M71" i="87"/>
  <c r="N71" i="87"/>
  <c r="K71" i="87"/>
  <c r="J71" i="87"/>
  <c r="H71" i="87"/>
  <c r="D71" i="87"/>
  <c r="B71" i="87"/>
  <c r="M70" i="87"/>
  <c r="N70" i="87"/>
  <c r="K70" i="87"/>
  <c r="J70" i="87"/>
  <c r="H70" i="87"/>
  <c r="D70" i="87"/>
  <c r="E70" i="87"/>
  <c r="B70" i="87"/>
  <c r="B68" i="87"/>
  <c r="M67" i="87"/>
  <c r="N67" i="87"/>
  <c r="K67" i="87"/>
  <c r="J67" i="87"/>
  <c r="F59" i="87"/>
  <c r="H67" i="87"/>
  <c r="D67" i="87"/>
  <c r="B67" i="87"/>
  <c r="M66" i="87"/>
  <c r="N66" i="87"/>
  <c r="K66" i="87"/>
  <c r="J66" i="87"/>
  <c r="H66" i="87"/>
  <c r="D66" i="87"/>
  <c r="B66" i="87"/>
  <c r="M65" i="87"/>
  <c r="N65" i="87"/>
  <c r="K65" i="87"/>
  <c r="J65" i="87"/>
  <c r="H65" i="87"/>
  <c r="D65" i="87"/>
  <c r="B65" i="87"/>
  <c r="M64" i="87"/>
  <c r="N64" i="87"/>
  <c r="K64" i="87"/>
  <c r="J64" i="87"/>
  <c r="H64" i="87"/>
  <c r="D64" i="87"/>
  <c r="M63" i="87"/>
  <c r="N63" i="87"/>
  <c r="K63" i="87"/>
  <c r="J63" i="87"/>
  <c r="H63" i="87"/>
  <c r="D63" i="87"/>
  <c r="B63" i="87"/>
  <c r="M62" i="87"/>
  <c r="N62" i="87"/>
  <c r="K62" i="87"/>
  <c r="J62" i="87"/>
  <c r="H62" i="87"/>
  <c r="D62" i="87"/>
  <c r="M61" i="87"/>
  <c r="N61" i="87"/>
  <c r="K61" i="87"/>
  <c r="J61" i="87"/>
  <c r="H61" i="87"/>
  <c r="D61" i="87"/>
  <c r="B61" i="87"/>
  <c r="M60" i="87"/>
  <c r="N60" i="87"/>
  <c r="K60" i="87"/>
  <c r="J60" i="87"/>
  <c r="H60" i="87"/>
  <c r="D60" i="87"/>
  <c r="B60" i="87"/>
  <c r="M59" i="87"/>
  <c r="N59" i="87"/>
  <c r="K59" i="87"/>
  <c r="J59" i="87"/>
  <c r="H59" i="87"/>
  <c r="D59" i="87"/>
  <c r="E59" i="87"/>
  <c r="B59" i="87"/>
  <c r="B57" i="87"/>
  <c r="M56" i="87"/>
  <c r="N56" i="87"/>
  <c r="K56" i="87"/>
  <c r="J56" i="87"/>
  <c r="F48" i="87"/>
  <c r="H56" i="87"/>
  <c r="D56" i="87"/>
  <c r="B56" i="87"/>
  <c r="M55" i="87"/>
  <c r="N55" i="87"/>
  <c r="K55" i="87"/>
  <c r="J55" i="87"/>
  <c r="H55" i="87"/>
  <c r="D55" i="87"/>
  <c r="B55" i="87"/>
  <c r="M54" i="87"/>
  <c r="N54" i="87"/>
  <c r="K54" i="87"/>
  <c r="J54" i="87"/>
  <c r="H54" i="87"/>
  <c r="D54" i="87"/>
  <c r="B54" i="87"/>
  <c r="M53" i="87"/>
  <c r="N53" i="87"/>
  <c r="K53" i="87"/>
  <c r="J53" i="87"/>
  <c r="H53" i="87"/>
  <c r="D53" i="87"/>
  <c r="M52" i="87"/>
  <c r="N52" i="87"/>
  <c r="K52" i="87"/>
  <c r="J52" i="87"/>
  <c r="H52" i="87"/>
  <c r="D52" i="87"/>
  <c r="B52" i="87"/>
  <c r="M51" i="87"/>
  <c r="N51" i="87"/>
  <c r="K51" i="87"/>
  <c r="J51" i="87"/>
  <c r="H51" i="87"/>
  <c r="D51" i="87"/>
  <c r="M50" i="87"/>
  <c r="N50" i="87"/>
  <c r="K50" i="87"/>
  <c r="J50" i="87"/>
  <c r="H50" i="87"/>
  <c r="D50" i="87"/>
  <c r="B50" i="87"/>
  <c r="M49" i="87"/>
  <c r="N49" i="87"/>
  <c r="K49" i="87"/>
  <c r="J49" i="87"/>
  <c r="H49" i="87"/>
  <c r="D49" i="87"/>
  <c r="B49" i="87"/>
  <c r="M48" i="87"/>
  <c r="N48" i="87"/>
  <c r="K48" i="87"/>
  <c r="J48" i="87"/>
  <c r="H48" i="87"/>
  <c r="D48" i="87"/>
  <c r="E48" i="87"/>
  <c r="B48" i="87"/>
  <c r="B46" i="87"/>
  <c r="M7" i="87"/>
  <c r="C6" i="87"/>
  <c r="C17" i="87"/>
  <c r="G19" i="87"/>
  <c r="C19" i="87"/>
  <c r="J20" i="87"/>
  <c r="I20" i="87"/>
  <c r="C24" i="87"/>
  <c r="F39" i="87"/>
  <c r="G39" i="87"/>
  <c r="H39" i="87"/>
  <c r="I39" i="87"/>
  <c r="F38" i="87"/>
  <c r="G38" i="87"/>
  <c r="H38" i="87"/>
  <c r="I38" i="87"/>
  <c r="F37" i="87"/>
  <c r="G37" i="87"/>
  <c r="H37" i="87"/>
  <c r="I37" i="87"/>
  <c r="F36" i="87"/>
  <c r="G36" i="87"/>
  <c r="H36" i="87"/>
  <c r="I36" i="87"/>
  <c r="F35" i="87"/>
  <c r="G35" i="87"/>
  <c r="H35" i="87"/>
  <c r="I35" i="87"/>
  <c r="F34" i="87"/>
  <c r="G34" i="87"/>
  <c r="H34" i="87"/>
  <c r="I34" i="87"/>
  <c r="F33" i="87"/>
  <c r="G33" i="87"/>
  <c r="H33" i="87"/>
  <c r="I33" i="87"/>
  <c r="C18" i="87"/>
  <c r="C30" i="87"/>
  <c r="E30" i="87"/>
  <c r="C27" i="87"/>
  <c r="P25" i="87"/>
  <c r="P24" i="87"/>
  <c r="P23" i="87"/>
  <c r="C23" i="87"/>
  <c r="P22" i="87"/>
  <c r="J22" i="87"/>
  <c r="P21" i="87"/>
  <c r="M20" i="87"/>
  <c r="O19" i="87"/>
  <c r="M19" i="87"/>
  <c r="I19" i="87"/>
  <c r="O17" i="87"/>
  <c r="N17" i="87"/>
  <c r="M17" i="87"/>
  <c r="E17" i="87"/>
  <c r="T16" i="87"/>
  <c r="V16" i="87"/>
  <c r="T15" i="87"/>
  <c r="V15" i="87"/>
  <c r="F15" i="87"/>
  <c r="E15" i="87"/>
  <c r="D15" i="87"/>
  <c r="C15" i="87"/>
  <c r="T14" i="87"/>
  <c r="V14" i="87"/>
  <c r="AJ9" i="87"/>
  <c r="AJ12" i="87"/>
  <c r="AJ11" i="87"/>
  <c r="AJ13" i="87"/>
  <c r="AI9" i="87"/>
  <c r="AI12" i="87"/>
  <c r="AI11" i="87"/>
  <c r="AI13" i="87"/>
  <c r="AH9" i="87"/>
  <c r="AH12" i="87"/>
  <c r="AH11" i="87"/>
  <c r="AH13" i="87"/>
  <c r="AG9" i="87"/>
  <c r="AG12" i="87"/>
  <c r="AG11" i="87"/>
  <c r="AG13" i="87"/>
  <c r="AF9" i="87"/>
  <c r="AF12" i="87"/>
  <c r="AF11" i="87"/>
  <c r="AF13" i="87"/>
  <c r="AE9" i="87"/>
  <c r="AE12" i="87"/>
  <c r="AE11" i="87"/>
  <c r="AE13" i="87"/>
  <c r="AD9" i="87"/>
  <c r="AD12" i="87"/>
  <c r="AD11" i="87"/>
  <c r="AD13" i="87"/>
  <c r="AC9" i="87"/>
  <c r="AC12" i="87"/>
  <c r="AC11" i="87"/>
  <c r="AC13" i="87"/>
  <c r="AB9" i="87"/>
  <c r="AB12" i="87"/>
  <c r="AB11" i="87"/>
  <c r="AB13" i="87"/>
  <c r="AA9" i="87"/>
  <c r="AA12" i="87"/>
  <c r="AA11" i="87"/>
  <c r="AA13" i="87"/>
  <c r="Z9" i="87"/>
  <c r="Z12" i="87"/>
  <c r="Z11" i="87"/>
  <c r="Z13" i="87"/>
  <c r="Y12" i="87"/>
  <c r="Y11" i="87"/>
  <c r="Y13" i="87"/>
  <c r="T13" i="87"/>
  <c r="V13" i="87"/>
  <c r="T12" i="87"/>
  <c r="V12" i="87"/>
  <c r="N12" i="87"/>
  <c r="M12" i="87"/>
  <c r="C12" i="87"/>
  <c r="T11" i="87"/>
  <c r="V11" i="87"/>
  <c r="N11" i="87"/>
  <c r="M11" i="87"/>
  <c r="C10" i="87"/>
  <c r="C11" i="87"/>
  <c r="E11" i="87"/>
  <c r="AJ10" i="87"/>
  <c r="AI10" i="87"/>
  <c r="AH10" i="87"/>
  <c r="AG10" i="87"/>
  <c r="AF10" i="87"/>
  <c r="AE10" i="87"/>
  <c r="AD10" i="87"/>
  <c r="AC10" i="87"/>
  <c r="AB10" i="87"/>
  <c r="AA10" i="87"/>
  <c r="Z10" i="87"/>
  <c r="Y10" i="87"/>
  <c r="T10" i="87"/>
  <c r="V10" i="87"/>
  <c r="N10" i="87"/>
  <c r="M10" i="87"/>
  <c r="E10" i="87"/>
  <c r="T9" i="87"/>
  <c r="V9" i="87"/>
  <c r="N9" i="87"/>
  <c r="M9" i="87"/>
  <c r="E9" i="87"/>
  <c r="C9" i="87"/>
  <c r="T8" i="87"/>
  <c r="V8" i="87"/>
  <c r="N8" i="87"/>
  <c r="M8" i="87"/>
  <c r="E8" i="87"/>
  <c r="Z7" i="87"/>
  <c r="X7" i="87"/>
  <c r="S7" i="87"/>
  <c r="T7" i="87"/>
  <c r="V7" i="87"/>
  <c r="C7" i="87"/>
  <c r="A7" i="87"/>
  <c r="S6" i="87"/>
  <c r="T6" i="87"/>
  <c r="V6" i="87"/>
  <c r="N6" i="87"/>
  <c r="M6" i="87"/>
  <c r="S5" i="87"/>
  <c r="T5" i="87"/>
  <c r="V5" i="87"/>
  <c r="N5" i="87"/>
  <c r="M5" i="87"/>
  <c r="S4" i="87"/>
  <c r="T4" i="87"/>
  <c r="V4" i="87"/>
  <c r="N4" i="87"/>
  <c r="M4" i="87"/>
  <c r="S3" i="87"/>
  <c r="T3" i="87"/>
  <c r="V3" i="87"/>
  <c r="N3" i="87"/>
  <c r="M3" i="87"/>
  <c r="D1" i="87"/>
  <c r="B3" i="87"/>
  <c r="S2" i="87"/>
  <c r="T2" i="87"/>
  <c r="V2" i="87"/>
  <c r="N2" i="87"/>
  <c r="M2" i="87"/>
  <c r="N1" i="87"/>
  <c r="M1" i="87"/>
  <c r="G1" i="86"/>
  <c r="F35" i="86"/>
  <c r="E37" i="86"/>
  <c r="F38" i="86"/>
  <c r="F20" i="86"/>
  <c r="F21" i="86"/>
  <c r="C40" i="86"/>
  <c r="F30" i="86"/>
  <c r="C48" i="86"/>
  <c r="G17" i="43"/>
  <c r="H17" i="43"/>
  <c r="I17" i="43"/>
  <c r="J17" i="43"/>
  <c r="C16" i="43"/>
  <c r="C5" i="43"/>
  <c r="D5" i="43"/>
  <c r="F7" i="86"/>
  <c r="E9" i="86"/>
  <c r="E10" i="86"/>
  <c r="C19" i="86"/>
  <c r="C21" i="86"/>
  <c r="C30" i="86"/>
  <c r="C57" i="86"/>
  <c r="C56" i="86"/>
  <c r="G41" i="86"/>
  <c r="F36" i="86"/>
  <c r="G22" i="86"/>
  <c r="E19" i="86"/>
  <c r="B3" i="86"/>
  <c r="E2" i="86"/>
  <c r="G17" i="84"/>
  <c r="H17" i="84"/>
  <c r="I17" i="84"/>
  <c r="J17" i="84"/>
  <c r="C16" i="84"/>
  <c r="C5" i="84"/>
  <c r="D5" i="84"/>
  <c r="G1" i="85"/>
  <c r="F15" i="85"/>
  <c r="F17" i="85"/>
  <c r="F18" i="85"/>
  <c r="F20" i="85"/>
  <c r="F23" i="85"/>
  <c r="F21" i="85"/>
  <c r="F28" i="85"/>
  <c r="C28" i="85"/>
  <c r="F32" i="85"/>
  <c r="F33" i="85"/>
  <c r="F34" i="85"/>
  <c r="C83" i="85"/>
  <c r="C82" i="85"/>
  <c r="C76" i="85"/>
  <c r="C75" i="85"/>
  <c r="C80" i="85"/>
  <c r="C79" i="85"/>
  <c r="Q65" i="85"/>
  <c r="M47" i="85"/>
  <c r="L60" i="85"/>
  <c r="Q66" i="85"/>
  <c r="Q75" i="85"/>
  <c r="L47" i="85"/>
  <c r="L59" i="85"/>
  <c r="Q74" i="85"/>
  <c r="K59" i="85"/>
  <c r="P74" i="85"/>
  <c r="L58" i="85"/>
  <c r="Q73" i="85"/>
  <c r="Q72" i="85"/>
  <c r="Q71" i="85"/>
  <c r="F71" i="85"/>
  <c r="F51" i="85"/>
  <c r="F50" i="85"/>
  <c r="C49" i="85"/>
  <c r="C53" i="85"/>
  <c r="C48" i="85"/>
  <c r="F60" i="85"/>
  <c r="C60" i="85"/>
  <c r="C57" i="85"/>
  <c r="F61" i="85"/>
  <c r="C61" i="85"/>
  <c r="F62" i="85"/>
  <c r="F63" i="85"/>
  <c r="C62" i="85"/>
  <c r="C59" i="85"/>
  <c r="F64" i="85"/>
  <c r="C64" i="85"/>
  <c r="C56" i="85"/>
  <c r="F65" i="85"/>
  <c r="C65" i="85"/>
  <c r="F66" i="85"/>
  <c r="C66" i="85"/>
  <c r="C58" i="85"/>
  <c r="C67" i="85"/>
  <c r="F68" i="85"/>
  <c r="F69" i="85"/>
  <c r="C68" i="85"/>
  <c r="C71" i="85"/>
  <c r="Q70" i="85"/>
  <c r="Q69" i="85"/>
  <c r="Q68" i="85"/>
  <c r="L51" i="85"/>
  <c r="Q67" i="85"/>
  <c r="Q56" i="85"/>
  <c r="Q57" i="85"/>
  <c r="Q62" i="85"/>
  <c r="Q61" i="85"/>
  <c r="P61" i="85"/>
  <c r="Q60" i="85"/>
  <c r="Q59" i="85"/>
  <c r="N59" i="85"/>
  <c r="M59" i="85"/>
  <c r="J59" i="85"/>
  <c r="F59" i="85"/>
  <c r="Q58" i="85"/>
  <c r="J57" i="85"/>
  <c r="J55" i="85"/>
  <c r="J58" i="85"/>
  <c r="L57" i="85"/>
  <c r="L56" i="85"/>
  <c r="I54" i="85"/>
  <c r="Q47" i="85"/>
  <c r="Q48" i="85"/>
  <c r="Q53" i="85"/>
  <c r="Q52" i="85"/>
  <c r="Q51" i="85"/>
  <c r="Q50" i="85"/>
  <c r="Q49" i="85"/>
  <c r="D46" i="85"/>
  <c r="C46" i="85"/>
  <c r="C43" i="85"/>
  <c r="F31" i="85"/>
  <c r="M29" i="85"/>
  <c r="M28" i="85"/>
  <c r="M27" i="85"/>
  <c r="M26" i="85"/>
  <c r="M18" i="85"/>
  <c r="J18" i="85"/>
  <c r="M19" i="85"/>
  <c r="J19" i="85"/>
  <c r="M20" i="85"/>
  <c r="M21" i="85"/>
  <c r="J20" i="85"/>
  <c r="J17" i="85"/>
  <c r="J14" i="85"/>
  <c r="M22" i="85"/>
  <c r="J22" i="85"/>
  <c r="J15" i="85"/>
  <c r="J13" i="85"/>
  <c r="M23" i="85"/>
  <c r="J23" i="85"/>
  <c r="M24" i="85"/>
  <c r="J24" i="85"/>
  <c r="J16" i="85"/>
  <c r="J25" i="85"/>
  <c r="D24" i="85"/>
  <c r="D23" i="85"/>
  <c r="D22" i="85"/>
  <c r="M17" i="85"/>
  <c r="B3" i="85"/>
  <c r="D29" i="84"/>
  <c r="B113" i="84"/>
  <c r="I118" i="84"/>
  <c r="J118" i="84"/>
  <c r="K118" i="84"/>
  <c r="L118" i="84"/>
  <c r="M118" i="84"/>
  <c r="G118" i="84"/>
  <c r="H118" i="84"/>
  <c r="D118" i="84"/>
  <c r="E118" i="84"/>
  <c r="F118" i="84"/>
  <c r="B118" i="84"/>
  <c r="C118" i="84"/>
  <c r="I117" i="84"/>
  <c r="J117" i="84"/>
  <c r="K117" i="84"/>
  <c r="L117" i="84"/>
  <c r="M117" i="84"/>
  <c r="D117" i="84"/>
  <c r="E117" i="84"/>
  <c r="F117" i="84"/>
  <c r="G117" i="84"/>
  <c r="H117" i="84"/>
  <c r="B117" i="84"/>
  <c r="C117" i="84"/>
  <c r="I116" i="84"/>
  <c r="J116" i="84"/>
  <c r="K116" i="84"/>
  <c r="L116" i="84"/>
  <c r="M116" i="84"/>
  <c r="D116" i="84"/>
  <c r="E116" i="84"/>
  <c r="F116" i="84"/>
  <c r="G116" i="84"/>
  <c r="H116" i="84"/>
  <c r="B116" i="84"/>
  <c r="C116" i="84"/>
  <c r="I115" i="84"/>
  <c r="J115" i="84"/>
  <c r="K115" i="84"/>
  <c r="L115" i="84"/>
  <c r="M115" i="84"/>
  <c r="D115" i="84"/>
  <c r="E115" i="84"/>
  <c r="F115" i="84"/>
  <c r="G115" i="84"/>
  <c r="H115" i="84"/>
  <c r="B115" i="84"/>
  <c r="C115" i="84"/>
  <c r="G2" i="84"/>
  <c r="H113" i="84"/>
  <c r="F113" i="84"/>
  <c r="D113" i="84"/>
  <c r="N99" i="84"/>
  <c r="N108" i="84"/>
  <c r="N101" i="84"/>
  <c r="N109" i="84"/>
  <c r="M99" i="84"/>
  <c r="M108" i="84"/>
  <c r="M101" i="84"/>
  <c r="M109" i="84"/>
  <c r="L99" i="84"/>
  <c r="L108" i="84"/>
  <c r="L101" i="84"/>
  <c r="L109" i="84"/>
  <c r="K99" i="84"/>
  <c r="K108" i="84"/>
  <c r="K101" i="84"/>
  <c r="K109" i="84"/>
  <c r="J99" i="84"/>
  <c r="J108" i="84"/>
  <c r="J101" i="84"/>
  <c r="J109" i="84"/>
  <c r="I99" i="84"/>
  <c r="I108" i="84"/>
  <c r="I101" i="84"/>
  <c r="I109" i="84"/>
  <c r="H99" i="84"/>
  <c r="H108" i="84"/>
  <c r="H101" i="84"/>
  <c r="H109" i="84"/>
  <c r="G99" i="84"/>
  <c r="G108" i="84"/>
  <c r="G101" i="84"/>
  <c r="G109" i="84"/>
  <c r="F99" i="84"/>
  <c r="F108" i="84"/>
  <c r="F101" i="84"/>
  <c r="F109" i="84"/>
  <c r="E99" i="84"/>
  <c r="E108" i="84"/>
  <c r="E101" i="84"/>
  <c r="E109" i="84"/>
  <c r="D99" i="84"/>
  <c r="D108" i="84"/>
  <c r="D101" i="84"/>
  <c r="D109" i="84"/>
  <c r="C99" i="84"/>
  <c r="C108" i="84"/>
  <c r="C101" i="84"/>
  <c r="C109" i="84"/>
  <c r="N107" i="84"/>
  <c r="M107" i="84"/>
  <c r="L107" i="84"/>
  <c r="K107" i="84"/>
  <c r="J107" i="84"/>
  <c r="I107" i="84"/>
  <c r="H107" i="84"/>
  <c r="G107" i="84"/>
  <c r="F107" i="84"/>
  <c r="E107" i="84"/>
  <c r="D107" i="84"/>
  <c r="C107" i="84"/>
  <c r="N106" i="84"/>
  <c r="M106" i="84"/>
  <c r="L106" i="84"/>
  <c r="K106" i="84"/>
  <c r="J106" i="84"/>
  <c r="I106" i="84"/>
  <c r="H106" i="84"/>
  <c r="G106" i="84"/>
  <c r="F106" i="84"/>
  <c r="E106" i="84"/>
  <c r="D106" i="84"/>
  <c r="C106" i="84"/>
  <c r="N105" i="84"/>
  <c r="M105" i="84"/>
  <c r="L105" i="84"/>
  <c r="K105" i="84"/>
  <c r="J105" i="84"/>
  <c r="I105" i="84"/>
  <c r="H105" i="84"/>
  <c r="G105" i="84"/>
  <c r="F105" i="84"/>
  <c r="E105" i="84"/>
  <c r="D105" i="84"/>
  <c r="C105" i="84"/>
  <c r="N104" i="84"/>
  <c r="M104" i="84"/>
  <c r="L104" i="84"/>
  <c r="K104" i="84"/>
  <c r="J104" i="84"/>
  <c r="I104" i="84"/>
  <c r="H104" i="84"/>
  <c r="G104" i="84"/>
  <c r="F104" i="84"/>
  <c r="E104" i="84"/>
  <c r="D104" i="84"/>
  <c r="C104" i="84"/>
  <c r="N103" i="84"/>
  <c r="M103" i="84"/>
  <c r="L103" i="84"/>
  <c r="K103" i="84"/>
  <c r="J103" i="84"/>
  <c r="I103" i="84"/>
  <c r="H103" i="84"/>
  <c r="G103" i="84"/>
  <c r="F103" i="84"/>
  <c r="E103" i="84"/>
  <c r="D103" i="84"/>
  <c r="C103" i="84"/>
  <c r="N102" i="84"/>
  <c r="M102" i="84"/>
  <c r="L102" i="84"/>
  <c r="K102" i="84"/>
  <c r="J102" i="84"/>
  <c r="I102" i="84"/>
  <c r="H102" i="84"/>
  <c r="G102" i="84"/>
  <c r="F102" i="84"/>
  <c r="E102" i="84"/>
  <c r="D102" i="84"/>
  <c r="C102" i="84"/>
  <c r="N100" i="84"/>
  <c r="M100" i="84"/>
  <c r="L100" i="84"/>
  <c r="K100" i="84"/>
  <c r="J100" i="84"/>
  <c r="I100" i="84"/>
  <c r="H100" i="84"/>
  <c r="G100" i="84"/>
  <c r="F100" i="84"/>
  <c r="E100" i="84"/>
  <c r="D100" i="84"/>
  <c r="C100" i="84"/>
  <c r="I2" i="84"/>
  <c r="N7" i="84"/>
  <c r="F81" i="84"/>
  <c r="H88" i="84"/>
  <c r="G88" i="84"/>
  <c r="M88" i="84"/>
  <c r="N88" i="84"/>
  <c r="K88" i="84"/>
  <c r="J88" i="84"/>
  <c r="D88" i="84"/>
  <c r="B88" i="84"/>
  <c r="H87" i="84"/>
  <c r="G87" i="84"/>
  <c r="M87" i="84"/>
  <c r="N87" i="84"/>
  <c r="K87" i="84"/>
  <c r="J87" i="84"/>
  <c r="D87" i="84"/>
  <c r="H86" i="84"/>
  <c r="G86" i="84"/>
  <c r="M86" i="84"/>
  <c r="N86" i="84"/>
  <c r="K86" i="84"/>
  <c r="J86" i="84"/>
  <c r="D86" i="84"/>
  <c r="B86" i="84"/>
  <c r="H85" i="84"/>
  <c r="G85" i="84"/>
  <c r="M85" i="84"/>
  <c r="N85" i="84"/>
  <c r="K85" i="84"/>
  <c r="J85" i="84"/>
  <c r="D85" i="84"/>
  <c r="B85" i="84"/>
  <c r="H84" i="84"/>
  <c r="G84" i="84"/>
  <c r="M84" i="84"/>
  <c r="N84" i="84"/>
  <c r="K84" i="84"/>
  <c r="J84" i="84"/>
  <c r="D84" i="84"/>
  <c r="B84" i="84"/>
  <c r="H83" i="84"/>
  <c r="G83" i="84"/>
  <c r="M83" i="84"/>
  <c r="N83" i="84"/>
  <c r="K83" i="84"/>
  <c r="J83" i="84"/>
  <c r="D83" i="84"/>
  <c r="B83" i="84"/>
  <c r="H82" i="84"/>
  <c r="G82" i="84"/>
  <c r="M82" i="84"/>
  <c r="N82" i="84"/>
  <c r="K82" i="84"/>
  <c r="J82" i="84"/>
  <c r="D82" i="84"/>
  <c r="B82" i="84"/>
  <c r="H81" i="84"/>
  <c r="G81" i="84"/>
  <c r="M81" i="84"/>
  <c r="N81" i="84"/>
  <c r="K81" i="84"/>
  <c r="J81" i="84"/>
  <c r="D81" i="84"/>
  <c r="E81" i="84"/>
  <c r="B81" i="84"/>
  <c r="B79" i="84"/>
  <c r="M78" i="84"/>
  <c r="N78" i="84"/>
  <c r="K78" i="84"/>
  <c r="J78" i="84"/>
  <c r="F70" i="84"/>
  <c r="H78" i="84"/>
  <c r="D78" i="84"/>
  <c r="M77" i="84"/>
  <c r="N77" i="84"/>
  <c r="K77" i="84"/>
  <c r="J77" i="84"/>
  <c r="H77" i="84"/>
  <c r="D77" i="84"/>
  <c r="B77" i="84"/>
  <c r="M76" i="84"/>
  <c r="N76" i="84"/>
  <c r="K76" i="84"/>
  <c r="J76" i="84"/>
  <c r="H76" i="84"/>
  <c r="D76" i="84"/>
  <c r="M75" i="84"/>
  <c r="N75" i="84"/>
  <c r="K75" i="84"/>
  <c r="J75" i="84"/>
  <c r="H75" i="84"/>
  <c r="D75" i="84"/>
  <c r="B75" i="84"/>
  <c r="M74" i="84"/>
  <c r="N74" i="84"/>
  <c r="K74" i="84"/>
  <c r="J74" i="84"/>
  <c r="H74" i="84"/>
  <c r="D74" i="84"/>
  <c r="B74" i="84"/>
  <c r="M73" i="84"/>
  <c r="N73" i="84"/>
  <c r="K73" i="84"/>
  <c r="J73" i="84"/>
  <c r="H73" i="84"/>
  <c r="D73" i="84"/>
  <c r="B73" i="84"/>
  <c r="M72" i="84"/>
  <c r="N72" i="84"/>
  <c r="K72" i="84"/>
  <c r="J72" i="84"/>
  <c r="H72" i="84"/>
  <c r="D72" i="84"/>
  <c r="B72" i="84"/>
  <c r="M71" i="84"/>
  <c r="N71" i="84"/>
  <c r="K71" i="84"/>
  <c r="J71" i="84"/>
  <c r="H71" i="84"/>
  <c r="D71" i="84"/>
  <c r="B71" i="84"/>
  <c r="M70" i="84"/>
  <c r="N70" i="84"/>
  <c r="K70" i="84"/>
  <c r="J70" i="84"/>
  <c r="H70" i="84"/>
  <c r="D70" i="84"/>
  <c r="E70" i="84"/>
  <c r="B70" i="84"/>
  <c r="B68" i="84"/>
  <c r="M67" i="84"/>
  <c r="N67" i="84"/>
  <c r="K67" i="84"/>
  <c r="J67" i="84"/>
  <c r="F59" i="84"/>
  <c r="H67" i="84"/>
  <c r="D67" i="84"/>
  <c r="B67" i="84"/>
  <c r="M66" i="84"/>
  <c r="N66" i="84"/>
  <c r="K66" i="84"/>
  <c r="J66" i="84"/>
  <c r="H66" i="84"/>
  <c r="D66" i="84"/>
  <c r="B66" i="84"/>
  <c r="M65" i="84"/>
  <c r="N65" i="84"/>
  <c r="K65" i="84"/>
  <c r="J65" i="84"/>
  <c r="H65" i="84"/>
  <c r="D65" i="84"/>
  <c r="B65" i="84"/>
  <c r="M64" i="84"/>
  <c r="N64" i="84"/>
  <c r="K64" i="84"/>
  <c r="J64" i="84"/>
  <c r="H64" i="84"/>
  <c r="D64" i="84"/>
  <c r="M63" i="84"/>
  <c r="N63" i="84"/>
  <c r="K63" i="84"/>
  <c r="J63" i="84"/>
  <c r="H63" i="84"/>
  <c r="D63" i="84"/>
  <c r="B63" i="84"/>
  <c r="M62" i="84"/>
  <c r="N62" i="84"/>
  <c r="K62" i="84"/>
  <c r="J62" i="84"/>
  <c r="H62" i="84"/>
  <c r="D62" i="84"/>
  <c r="M61" i="84"/>
  <c r="N61" i="84"/>
  <c r="K61" i="84"/>
  <c r="J61" i="84"/>
  <c r="H61" i="84"/>
  <c r="D61" i="84"/>
  <c r="B61" i="84"/>
  <c r="M60" i="84"/>
  <c r="N60" i="84"/>
  <c r="K60" i="84"/>
  <c r="J60" i="84"/>
  <c r="H60" i="84"/>
  <c r="D60" i="84"/>
  <c r="B60" i="84"/>
  <c r="M59" i="84"/>
  <c r="N59" i="84"/>
  <c r="K59" i="84"/>
  <c r="J59" i="84"/>
  <c r="H59" i="84"/>
  <c r="D59" i="84"/>
  <c r="E59" i="84"/>
  <c r="B59" i="84"/>
  <c r="B57" i="84"/>
  <c r="M56" i="84"/>
  <c r="N56" i="84"/>
  <c r="K56" i="84"/>
  <c r="J56" i="84"/>
  <c r="F48" i="84"/>
  <c r="H56" i="84"/>
  <c r="D56" i="84"/>
  <c r="B56" i="84"/>
  <c r="M55" i="84"/>
  <c r="N55" i="84"/>
  <c r="K55" i="84"/>
  <c r="J55" i="84"/>
  <c r="H55" i="84"/>
  <c r="D55" i="84"/>
  <c r="B55" i="84"/>
  <c r="M54" i="84"/>
  <c r="N54" i="84"/>
  <c r="K54" i="84"/>
  <c r="J54" i="84"/>
  <c r="H54" i="84"/>
  <c r="D54" i="84"/>
  <c r="B54" i="84"/>
  <c r="M53" i="84"/>
  <c r="N53" i="84"/>
  <c r="K53" i="84"/>
  <c r="J53" i="84"/>
  <c r="H53" i="84"/>
  <c r="D53" i="84"/>
  <c r="M52" i="84"/>
  <c r="N52" i="84"/>
  <c r="K52" i="84"/>
  <c r="J52" i="84"/>
  <c r="H52" i="84"/>
  <c r="D52" i="84"/>
  <c r="B52" i="84"/>
  <c r="M51" i="84"/>
  <c r="N51" i="84"/>
  <c r="K51" i="84"/>
  <c r="J51" i="84"/>
  <c r="H51" i="84"/>
  <c r="D51" i="84"/>
  <c r="M50" i="84"/>
  <c r="N50" i="84"/>
  <c r="K50" i="84"/>
  <c r="J50" i="84"/>
  <c r="H50" i="84"/>
  <c r="D50" i="84"/>
  <c r="B50" i="84"/>
  <c r="M49" i="84"/>
  <c r="N49" i="84"/>
  <c r="K49" i="84"/>
  <c r="J49" i="84"/>
  <c r="H49" i="84"/>
  <c r="D49" i="84"/>
  <c r="B49" i="84"/>
  <c r="M48" i="84"/>
  <c r="N48" i="84"/>
  <c r="K48" i="84"/>
  <c r="J48" i="84"/>
  <c r="H48" i="84"/>
  <c r="D48" i="84"/>
  <c r="E48" i="84"/>
  <c r="B48" i="84"/>
  <c r="B46" i="84"/>
  <c r="M7" i="84"/>
  <c r="C6" i="84"/>
  <c r="C17" i="84"/>
  <c r="G19" i="84"/>
  <c r="C19" i="84"/>
  <c r="J20" i="84"/>
  <c r="I20" i="84"/>
  <c r="C24" i="84"/>
  <c r="F39" i="84"/>
  <c r="G39" i="84"/>
  <c r="H39" i="84"/>
  <c r="I39" i="84"/>
  <c r="F38" i="84"/>
  <c r="G38" i="84"/>
  <c r="H38" i="84"/>
  <c r="I38" i="84"/>
  <c r="F37" i="84"/>
  <c r="G37" i="84"/>
  <c r="H37" i="84"/>
  <c r="I37" i="84"/>
  <c r="F36" i="84"/>
  <c r="G36" i="84"/>
  <c r="H36" i="84"/>
  <c r="I36" i="84"/>
  <c r="F35" i="84"/>
  <c r="G35" i="84"/>
  <c r="H35" i="84"/>
  <c r="I35" i="84"/>
  <c r="F34" i="84"/>
  <c r="G34" i="84"/>
  <c r="H34" i="84"/>
  <c r="I34" i="84"/>
  <c r="F33" i="84"/>
  <c r="G33" i="84"/>
  <c r="H33" i="84"/>
  <c r="I33" i="84"/>
  <c r="C18" i="84"/>
  <c r="C30" i="84"/>
  <c r="E30" i="84"/>
  <c r="C27" i="84"/>
  <c r="P25" i="84"/>
  <c r="P24" i="84"/>
  <c r="P23" i="84"/>
  <c r="C23" i="84"/>
  <c r="P22" i="84"/>
  <c r="J22" i="84"/>
  <c r="P21" i="84"/>
  <c r="M20" i="84"/>
  <c r="O19" i="84"/>
  <c r="M19" i="84"/>
  <c r="I19" i="84"/>
  <c r="O17" i="84"/>
  <c r="N17" i="84"/>
  <c r="M17" i="84"/>
  <c r="E17" i="84"/>
  <c r="T16" i="84"/>
  <c r="V16" i="84"/>
  <c r="T15" i="84"/>
  <c r="V15" i="84"/>
  <c r="F15" i="84"/>
  <c r="E15" i="84"/>
  <c r="D15" i="84"/>
  <c r="C15" i="84"/>
  <c r="T14" i="84"/>
  <c r="V14" i="84"/>
  <c r="AJ9" i="84"/>
  <c r="AJ12" i="84"/>
  <c r="AJ11" i="84"/>
  <c r="AJ13" i="84"/>
  <c r="AI9" i="84"/>
  <c r="AI12" i="84"/>
  <c r="AI11" i="84"/>
  <c r="AI13" i="84"/>
  <c r="AH9" i="84"/>
  <c r="AH12" i="84"/>
  <c r="AH11" i="84"/>
  <c r="AH13" i="84"/>
  <c r="AG9" i="84"/>
  <c r="AG12" i="84"/>
  <c r="AG11" i="84"/>
  <c r="AG13" i="84"/>
  <c r="AF9" i="84"/>
  <c r="AF12" i="84"/>
  <c r="AF11" i="84"/>
  <c r="AF13" i="84"/>
  <c r="AE9" i="84"/>
  <c r="AE12" i="84"/>
  <c r="AE11" i="84"/>
  <c r="AE13" i="84"/>
  <c r="AD9" i="84"/>
  <c r="AD12" i="84"/>
  <c r="AD11" i="84"/>
  <c r="AD13" i="84"/>
  <c r="AC9" i="84"/>
  <c r="AC12" i="84"/>
  <c r="AC11" i="84"/>
  <c r="AC13" i="84"/>
  <c r="AB9" i="84"/>
  <c r="AB12" i="84"/>
  <c r="AB11" i="84"/>
  <c r="AB13" i="84"/>
  <c r="AA9" i="84"/>
  <c r="AA12" i="84"/>
  <c r="AA11" i="84"/>
  <c r="AA13" i="84"/>
  <c r="Z9" i="84"/>
  <c r="Z12" i="84"/>
  <c r="Z11" i="84"/>
  <c r="Z13" i="84"/>
  <c r="Y12" i="84"/>
  <c r="Y11" i="84"/>
  <c r="Y13" i="84"/>
  <c r="T13" i="84"/>
  <c r="V13" i="84"/>
  <c r="T12" i="84"/>
  <c r="V12" i="84"/>
  <c r="N12" i="84"/>
  <c r="M12" i="84"/>
  <c r="C12" i="84"/>
  <c r="T11" i="84"/>
  <c r="V11" i="84"/>
  <c r="N11" i="84"/>
  <c r="M11" i="84"/>
  <c r="C10" i="84"/>
  <c r="C11" i="84"/>
  <c r="E11" i="84"/>
  <c r="AJ10" i="84"/>
  <c r="AI10" i="84"/>
  <c r="AH10" i="84"/>
  <c r="AG10" i="84"/>
  <c r="AF10" i="84"/>
  <c r="AE10" i="84"/>
  <c r="AD10" i="84"/>
  <c r="AC10" i="84"/>
  <c r="AB10" i="84"/>
  <c r="AA10" i="84"/>
  <c r="Z10" i="84"/>
  <c r="Y10" i="84"/>
  <c r="T10" i="84"/>
  <c r="V10" i="84"/>
  <c r="N10" i="84"/>
  <c r="M10" i="84"/>
  <c r="E10" i="84"/>
  <c r="T9" i="84"/>
  <c r="V9" i="84"/>
  <c r="N9" i="84"/>
  <c r="M9" i="84"/>
  <c r="E9" i="84"/>
  <c r="C9" i="84"/>
  <c r="T8" i="84"/>
  <c r="V8" i="84"/>
  <c r="N8" i="84"/>
  <c r="M8" i="84"/>
  <c r="E8" i="84"/>
  <c r="Z7" i="84"/>
  <c r="X7" i="84"/>
  <c r="S7" i="84"/>
  <c r="T7" i="84"/>
  <c r="V7" i="84"/>
  <c r="C7" i="84"/>
  <c r="A7" i="84"/>
  <c r="S6" i="84"/>
  <c r="T6" i="84"/>
  <c r="V6" i="84"/>
  <c r="N6" i="84"/>
  <c r="M6" i="84"/>
  <c r="S5" i="84"/>
  <c r="T5" i="84"/>
  <c r="V5" i="84"/>
  <c r="N5" i="84"/>
  <c r="M5" i="84"/>
  <c r="S4" i="84"/>
  <c r="T4" i="84"/>
  <c r="V4" i="84"/>
  <c r="N4" i="84"/>
  <c r="M4" i="84"/>
  <c r="S3" i="84"/>
  <c r="T3" i="84"/>
  <c r="V3" i="84"/>
  <c r="N3" i="84"/>
  <c r="M3" i="84"/>
  <c r="D1" i="84"/>
  <c r="B3" i="84"/>
  <c r="S2" i="84"/>
  <c r="T2" i="84"/>
  <c r="V2" i="84"/>
  <c r="N2" i="84"/>
  <c r="M2" i="84"/>
  <c r="N1" i="84"/>
  <c r="M1" i="84"/>
  <c r="G1" i="83"/>
  <c r="F35" i="83"/>
  <c r="E37" i="83"/>
  <c r="F38" i="83"/>
  <c r="F20" i="83"/>
  <c r="F21" i="83"/>
  <c r="C40" i="83"/>
  <c r="F30" i="83"/>
  <c r="C48" i="83"/>
  <c r="F7" i="83"/>
  <c r="E9" i="83"/>
  <c r="E10" i="83"/>
  <c r="C19" i="83"/>
  <c r="C21" i="83"/>
  <c r="C30" i="83"/>
  <c r="C57" i="83"/>
  <c r="C56" i="83"/>
  <c r="G41" i="83"/>
  <c r="F36" i="83"/>
  <c r="G22" i="83"/>
  <c r="E19" i="83"/>
  <c r="B3" i="83"/>
  <c r="E2" i="83"/>
  <c r="D29" i="43"/>
  <c r="D127" i="81"/>
  <c r="A126" i="81"/>
  <c r="F6" i="67"/>
  <c r="F8" i="67"/>
  <c r="F7" i="67"/>
  <c r="F9" i="67"/>
  <c r="C6" i="67"/>
  <c r="F11" i="67"/>
  <c r="C10" i="67"/>
  <c r="C5" i="67"/>
  <c r="C32" i="67"/>
  <c r="C33" i="67"/>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F41" i="67"/>
  <c r="C40" i="67"/>
  <c r="M6" i="67"/>
  <c r="M8" i="67"/>
  <c r="M7" i="67"/>
  <c r="M9" i="67"/>
  <c r="J6" i="67"/>
  <c r="M11" i="67"/>
  <c r="J10" i="67"/>
  <c r="J5" i="67"/>
  <c r="J26" i="67"/>
  <c r="J29" i="67"/>
  <c r="J57" i="67"/>
  <c r="J55" i="67"/>
  <c r="J58" i="67"/>
  <c r="J59" i="67"/>
  <c r="J60" i="67"/>
  <c r="L46" i="67"/>
  <c r="D2" i="67"/>
  <c r="B2" i="67"/>
  <c r="C24" i="81"/>
  <c r="H105" i="81"/>
  <c r="H106" i="81"/>
  <c r="D125" i="81"/>
  <c r="A124" i="81"/>
  <c r="H103" i="81"/>
  <c r="D123" i="81"/>
  <c r="A122" i="81"/>
  <c r="D120" i="81"/>
  <c r="D121" i="81"/>
  <c r="A120" i="81"/>
  <c r="K120" i="81"/>
  <c r="H119" i="81"/>
  <c r="D35" i="81"/>
  <c r="C35" i="81"/>
  <c r="F118" i="81"/>
  <c r="F119" i="81"/>
  <c r="C34" i="81"/>
  <c r="D118" i="81"/>
  <c r="D119" i="81"/>
  <c r="G118" i="81"/>
  <c r="E118" i="81"/>
  <c r="S2" i="4"/>
  <c r="A118" i="81"/>
  <c r="H112" i="81"/>
  <c r="H110" i="81"/>
  <c r="H108" i="81"/>
  <c r="C105" i="81"/>
  <c r="H104" i="81"/>
  <c r="C104" i="81"/>
  <c r="B3" i="67"/>
  <c r="D20" i="81"/>
  <c r="D103" i="81"/>
  <c r="B3" i="68"/>
  <c r="C20" i="81"/>
  <c r="C103" i="81"/>
  <c r="H102" i="81"/>
  <c r="D102"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F33" i="81"/>
  <c r="D27" i="81"/>
  <c r="C25" i="81"/>
  <c r="D22" i="81"/>
  <c r="L19" i="81"/>
  <c r="G21" i="81"/>
  <c r="D21" i="81"/>
  <c r="C21" i="81"/>
  <c r="G20" i="81"/>
  <c r="L18" i="81"/>
  <c r="L4" i="81"/>
  <c r="K4" i="81"/>
  <c r="A2" i="81"/>
  <c r="H1" i="81"/>
  <c r="D127" i="80"/>
  <c r="A126" i="80"/>
  <c r="C24" i="80"/>
  <c r="H105" i="80"/>
  <c r="H106" i="80"/>
  <c r="D125" i="80"/>
  <c r="A124" i="80"/>
  <c r="H103" i="80"/>
  <c r="D123" i="80"/>
  <c r="A122" i="80"/>
  <c r="D120" i="80"/>
  <c r="D121" i="80"/>
  <c r="A120" i="80"/>
  <c r="K120" i="80"/>
  <c r="H119" i="80"/>
  <c r="D35" i="80"/>
  <c r="C35" i="80"/>
  <c r="F118" i="80"/>
  <c r="F119" i="80"/>
  <c r="C34" i="80"/>
  <c r="D118" i="80"/>
  <c r="D119" i="80"/>
  <c r="G118" i="80"/>
  <c r="E118" i="80"/>
  <c r="A118" i="80"/>
  <c r="H112" i="80"/>
  <c r="H110" i="80"/>
  <c r="H108" i="80"/>
  <c r="C105" i="80"/>
  <c r="H104" i="80"/>
  <c r="C104" i="80"/>
  <c r="D20" i="80"/>
  <c r="D103" i="80"/>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D34" i="80"/>
  <c r="F33" i="80"/>
  <c r="D27" i="80"/>
  <c r="C25" i="80"/>
  <c r="D22" i="80"/>
  <c r="L19" i="80"/>
  <c r="G21" i="80"/>
  <c r="D21" i="80"/>
  <c r="C21" i="80"/>
  <c r="G20" i="80"/>
  <c r="L18" i="80"/>
  <c r="L4" i="80"/>
  <c r="K4" i="80"/>
  <c r="A2" i="80"/>
  <c r="H1" i="80"/>
  <c r="C22" i="79"/>
  <c r="C23" i="79"/>
  <c r="C24" i="79"/>
  <c r="C25" i="79"/>
  <c r="D82" i="43"/>
  <c r="E81" i="43"/>
  <c r="B79" i="43"/>
  <c r="C24" i="43"/>
  <c r="G1" i="68"/>
  <c r="B29" i="1"/>
  <c r="AO6" i="1"/>
  <c r="B6" i="70"/>
  <c r="F6" i="77"/>
  <c r="F8" i="77"/>
  <c r="F7" i="77"/>
  <c r="F9" i="77"/>
  <c r="C6" i="77"/>
  <c r="F11" i="77"/>
  <c r="C10" i="77"/>
  <c r="C5" i="77"/>
  <c r="C32" i="77"/>
  <c r="C33" i="77"/>
  <c r="F35" i="77"/>
  <c r="C34" i="77"/>
  <c r="C31" i="77"/>
  <c r="F43" i="77"/>
  <c r="C14" i="77"/>
  <c r="C15" i="77"/>
  <c r="F16" i="77"/>
  <c r="C16" i="77"/>
  <c r="C17" i="77"/>
  <c r="C18" i="77"/>
  <c r="C19" i="77"/>
  <c r="C20" i="77"/>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26" i="77"/>
  <c r="J29" i="77"/>
  <c r="J57" i="77"/>
  <c r="J55" i="77"/>
  <c r="J58" i="77"/>
  <c r="J59" i="77"/>
  <c r="J60" i="77"/>
  <c r="L46" i="77"/>
  <c r="D2" i="77"/>
  <c r="B2" i="77"/>
  <c r="AO7" i="1"/>
  <c r="B7" i="70"/>
  <c r="F6" i="78"/>
  <c r="F8" i="78"/>
  <c r="F7" i="78"/>
  <c r="F9" i="78"/>
  <c r="C6" i="78"/>
  <c r="F11" i="78"/>
  <c r="C10" i="78"/>
  <c r="C5" i="78"/>
  <c r="C32" i="78"/>
  <c r="C33" i="78"/>
  <c r="F35" i="78"/>
  <c r="C34" i="78"/>
  <c r="C31" i="78"/>
  <c r="F43" i="78"/>
  <c r="C14" i="78"/>
  <c r="C15" i="78"/>
  <c r="F16" i="78"/>
  <c r="C16" i="78"/>
  <c r="C17" i="78"/>
  <c r="C18" i="78"/>
  <c r="C19" i="78"/>
  <c r="C20" i="78"/>
  <c r="F24" i="78"/>
  <c r="C23" i="78"/>
  <c r="F26" i="78"/>
  <c r="C26" i="78"/>
  <c r="C24" i="78"/>
  <c r="C27" i="78"/>
  <c r="C29" i="78"/>
  <c r="F36" i="78"/>
  <c r="C36" i="78"/>
  <c r="F13" i="78"/>
  <c r="C13" i="78"/>
  <c r="F37" i="78"/>
  <c r="C37" i="78"/>
  <c r="F38" i="78"/>
  <c r="C38" i="78"/>
  <c r="C30" i="78"/>
  <c r="C39" i="78"/>
  <c r="F42" i="78"/>
  <c r="F40" i="78"/>
  <c r="F41" i="78"/>
  <c r="C40" i="78"/>
  <c r="M6" i="78"/>
  <c r="M8" i="78"/>
  <c r="M7" i="78"/>
  <c r="M9" i="78"/>
  <c r="J6" i="78"/>
  <c r="M11" i="78"/>
  <c r="J10" i="78"/>
  <c r="J5" i="78"/>
  <c r="J26" i="78"/>
  <c r="J29" i="78"/>
  <c r="J57" i="78"/>
  <c r="J55" i="78"/>
  <c r="J58" i="78"/>
  <c r="J59" i="78"/>
  <c r="J60" i="78"/>
  <c r="L46" i="78"/>
  <c r="D2" i="78"/>
  <c r="B2" i="78"/>
  <c r="AO8" i="1"/>
  <c r="B8" i="70"/>
  <c r="AO9" i="1"/>
  <c r="B9" i="70"/>
  <c r="AO10" i="1"/>
  <c r="B10" i="70"/>
  <c r="AO11" i="1"/>
  <c r="B11" i="70"/>
  <c r="AO12" i="1"/>
  <c r="B12" i="70"/>
  <c r="AO13" i="1"/>
  <c r="B13" i="70"/>
  <c r="B2" i="70"/>
  <c r="G9" i="79"/>
  <c r="G8" i="79"/>
  <c r="G10" i="79"/>
  <c r="G11" i="79"/>
  <c r="H9" i="79"/>
  <c r="F9" i="79"/>
  <c r="H10" i="79"/>
  <c r="F10" i="79"/>
  <c r="H8" i="79"/>
  <c r="F8" i="79"/>
  <c r="C20" i="9"/>
  <c r="A6" i="70"/>
  <c r="E6" i="70"/>
  <c r="A7" i="70"/>
  <c r="E7" i="70"/>
  <c r="A8" i="70"/>
  <c r="E8" i="70"/>
  <c r="E9" i="70"/>
  <c r="E10" i="70"/>
  <c r="E11" i="70"/>
  <c r="E12" i="70"/>
  <c r="E13" i="70"/>
  <c r="E2" i="70"/>
  <c r="B3" i="70"/>
  <c r="B3" i="15"/>
  <c r="D20" i="9"/>
  <c r="G20" i="9"/>
  <c r="L19" i="9"/>
  <c r="G21" i="9"/>
  <c r="F11" i="79"/>
  <c r="H11" i="79"/>
  <c r="G5" i="79"/>
  <c r="G2" i="43"/>
  <c r="I2" i="43"/>
  <c r="N7" i="43"/>
  <c r="F81" i="43"/>
  <c r="H82" i="43"/>
  <c r="G82" i="43"/>
  <c r="H83" i="43"/>
  <c r="G83" i="43"/>
  <c r="H84" i="43"/>
  <c r="G84" i="43"/>
  <c r="H85" i="43"/>
  <c r="G85" i="43"/>
  <c r="H86" i="43"/>
  <c r="G86" i="43"/>
  <c r="H87" i="43"/>
  <c r="G87" i="43"/>
  <c r="H88" i="43"/>
  <c r="G88" i="43"/>
  <c r="H81" i="43"/>
  <c r="G81" i="4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E5" i="3"/>
  <c r="BF5" i="3"/>
  <c r="BG5" i="3"/>
  <c r="BH5" i="3"/>
  <c r="BI5" i="3"/>
  <c r="BJ5" i="3"/>
  <c r="BK5" i="3"/>
  <c r="BL5" i="3"/>
  <c r="BM5" i="3"/>
  <c r="BN5" i="3"/>
  <c r="BO5" i="3"/>
  <c r="BP5" i="3"/>
  <c r="E5" i="6"/>
  <c r="E6" i="6"/>
  <c r="E10" i="68"/>
  <c r="C1" i="73"/>
  <c r="J1" i="73"/>
  <c r="J20" i="43"/>
  <c r="I15" i="4"/>
  <c r="F6" i="1"/>
  <c r="F7" i="1"/>
  <c r="F8" i="1"/>
  <c r="I20" i="43"/>
  <c r="K81" i="43"/>
  <c r="D81" i="43"/>
  <c r="K82" i="43"/>
  <c r="K83" i="43"/>
  <c r="D83" i="43"/>
  <c r="M84" i="43"/>
  <c r="D84" i="43"/>
  <c r="D85" i="43"/>
  <c r="K86" i="43"/>
  <c r="D86" i="43"/>
  <c r="K87" i="43"/>
  <c r="D87" i="43"/>
  <c r="D88" i="43"/>
  <c r="M7" i="43"/>
  <c r="C6" i="43"/>
  <c r="C17" i="43"/>
  <c r="C18" i="43"/>
  <c r="B2" i="1"/>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B3" i="3"/>
  <c r="F33" i="43"/>
  <c r="F34" i="43"/>
  <c r="F35" i="43"/>
  <c r="F36" i="43"/>
  <c r="F37" i="43"/>
  <c r="F38" i="43"/>
  <c r="F39" i="43"/>
  <c r="A6" i="1"/>
  <c r="A7" i="1"/>
  <c r="A8" i="1"/>
  <c r="G1" i="78"/>
  <c r="F21" i="6"/>
  <c r="E21" i="6"/>
  <c r="F19" i="6"/>
  <c r="E19" i="6"/>
  <c r="F20" i="6"/>
  <c r="E20" i="6"/>
  <c r="E22" i="6"/>
  <c r="E23" i="6"/>
  <c r="E24" i="6"/>
  <c r="E25" i="6"/>
  <c r="E26" i="6"/>
  <c r="F15" i="78"/>
  <c r="F17" i="78"/>
  <c r="F18" i="78"/>
  <c r="F20" i="78"/>
  <c r="B22" i="1"/>
  <c r="E1" i="73"/>
  <c r="K1" i="73"/>
  <c r="F23" i="78"/>
  <c r="F21" i="78"/>
  <c r="B43" i="1"/>
  <c r="B41" i="1"/>
  <c r="F28" i="78"/>
  <c r="C42" i="1"/>
  <c r="C28" i="78"/>
  <c r="L1" i="73"/>
  <c r="F32" i="78"/>
  <c r="F33" i="78"/>
  <c r="B59" i="1"/>
  <c r="B52" i="1"/>
  <c r="F34" i="78"/>
  <c r="G1" i="77"/>
  <c r="M47" i="77"/>
  <c r="J50" i="77"/>
  <c r="J51" i="77"/>
  <c r="M47" i="78"/>
  <c r="J50" i="78"/>
  <c r="J51" i="78"/>
  <c r="C83" i="78"/>
  <c r="C82" i="78"/>
  <c r="C76" i="78"/>
  <c r="C75" i="78"/>
  <c r="C80" i="78"/>
  <c r="C79" i="78"/>
  <c r="Q65" i="78"/>
  <c r="L60" i="78"/>
  <c r="Q66" i="78"/>
  <c r="Q75" i="78"/>
  <c r="D8"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70" i="78"/>
  <c r="F68" i="78"/>
  <c r="F69" i="78"/>
  <c r="C68" i="78"/>
  <c r="C71" i="78"/>
  <c r="Q70" i="78"/>
  <c r="Q69" i="78"/>
  <c r="Q68" i="78"/>
  <c r="L51" i="78"/>
  <c r="Q67" i="78"/>
  <c r="Q56" i="78"/>
  <c r="Q57" i="78"/>
  <c r="Q62" i="78"/>
  <c r="Q61" i="78"/>
  <c r="P61" i="78"/>
  <c r="Q60" i="78"/>
  <c r="Q59" i="78"/>
  <c r="N59" i="78"/>
  <c r="B24" i="1"/>
  <c r="M59" i="78"/>
  <c r="F59" i="78"/>
  <c r="Q58" i="78"/>
  <c r="L57" i="78"/>
  <c r="L56" i="78"/>
  <c r="I54" i="78"/>
  <c r="Q47" i="78"/>
  <c r="Q48" i="78"/>
  <c r="Q53" i="78"/>
  <c r="Q52" i="78"/>
  <c r="Q51" i="78"/>
  <c r="Q50" i="78"/>
  <c r="Q49" i="78"/>
  <c r="D46" i="78"/>
  <c r="C45"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F15" i="77"/>
  <c r="F17" i="77"/>
  <c r="F18" i="77"/>
  <c r="F20" i="77"/>
  <c r="F23" i="77"/>
  <c r="F21" i="77"/>
  <c r="F28" i="77"/>
  <c r="C28" i="77"/>
  <c r="F32" i="77"/>
  <c r="F33" i="77"/>
  <c r="F34" i="77"/>
  <c r="G1" i="67"/>
  <c r="M47" i="67"/>
  <c r="J50" i="67"/>
  <c r="J51" i="67"/>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70"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5"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B55" i="1"/>
  <c r="B56" i="1"/>
  <c r="B57" i="1"/>
  <c r="B58" i="1"/>
  <c r="B54" i="1"/>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G39" i="43"/>
  <c r="G38" i="43"/>
  <c r="G37" i="43"/>
  <c r="G36" i="43"/>
  <c r="G35" i="43"/>
  <c r="G34" i="43"/>
  <c r="M47" i="15"/>
  <c r="C23" i="43"/>
  <c r="C30" i="43"/>
  <c r="E30" i="43"/>
  <c r="G33" i="43"/>
  <c r="H33" i="43"/>
  <c r="I33" i="43"/>
  <c r="H34" i="43"/>
  <c r="I34" i="43"/>
  <c r="H35" i="43"/>
  <c r="I35" i="43"/>
  <c r="H36" i="43"/>
  <c r="I36" i="43"/>
  <c r="H37" i="43"/>
  <c r="I37" i="43"/>
  <c r="H38" i="43"/>
  <c r="I38" i="43"/>
  <c r="H39" i="43"/>
  <c r="I39" i="43"/>
  <c r="C27"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M19" i="9"/>
  <c r="C118" i="9"/>
  <c r="C14" i="74"/>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9" i="70"/>
  <c r="A10" i="70"/>
  <c r="A11" i="70"/>
  <c r="A12" i="70"/>
  <c r="A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9" i="68"/>
  <c r="F7"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J87" i="43"/>
  <c r="M86" i="43"/>
  <c r="N86" i="43"/>
  <c r="J86" i="43"/>
  <c r="M85" i="43"/>
  <c r="N85" i="43"/>
  <c r="K85" i="43"/>
  <c r="J85" i="43"/>
  <c r="N84" i="43"/>
  <c r="K84" i="43"/>
  <c r="J84" i="43"/>
  <c r="M83" i="43"/>
  <c r="N83" i="43"/>
  <c r="J83" i="43"/>
  <c r="M82" i="43"/>
  <c r="N82" i="43"/>
  <c r="J82" i="43"/>
  <c r="M81" i="43"/>
  <c r="N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B23" i="49"/>
  <c r="B40" i="48"/>
  <c r="B3" i="72"/>
  <c r="N1" i="43"/>
  <c r="F35" i="4"/>
  <c r="J55" i="39"/>
  <c r="O17" i="43"/>
  <c r="N17" i="43"/>
  <c r="M17" i="43"/>
  <c r="A7" i="43"/>
  <c r="F33" i="15"/>
  <c r="F61" i="15"/>
  <c r="M19" i="15"/>
  <c r="O10" i="1"/>
  <c r="B23" i="1"/>
  <c r="D78" i="9"/>
  <c r="F23" i="15"/>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F29" i="6"/>
  <c r="U36" i="40"/>
  <c r="N4" i="43"/>
  <c r="F48" i="43"/>
  <c r="H52"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L56" i="67"/>
  <c r="Q50" i="67"/>
  <c r="F70" i="67"/>
  <c r="F51" i="67"/>
  <c r="F68" i="67"/>
  <c r="F71" i="67"/>
  <c r="F66" i="67"/>
  <c r="F50" i="67"/>
  <c r="Q71" i="67"/>
  <c r="F64"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C49" i="15"/>
  <c r="Q60" i="15"/>
  <c r="Q60" i="67"/>
  <c r="Q73" i="67"/>
  <c r="F27" i="11"/>
  <c r="Q61" i="67"/>
  <c r="Q74" i="67"/>
  <c r="C49" i="67"/>
  <c r="Q52" i="67"/>
  <c r="Q61" i="15"/>
  <c r="AA7" i="36"/>
  <c r="R36" i="36"/>
  <c r="E36" i="36"/>
  <c r="E40" i="36"/>
  <c r="F40" i="36"/>
  <c r="AC11" i="37"/>
  <c r="W11" i="37"/>
  <c r="AB7" i="37"/>
  <c r="T42" i="37"/>
  <c r="G42" i="37"/>
  <c r="G46" i="37"/>
  <c r="H46" i="37"/>
  <c r="W11" i="34"/>
  <c r="AC11" i="34"/>
  <c r="B2" i="74"/>
  <c r="AB7" i="36"/>
  <c r="T36" i="36"/>
  <c r="E6" i="3"/>
  <c r="AA10" i="39"/>
  <c r="D10" i="11"/>
  <c r="C10" i="11"/>
  <c r="D20" i="12"/>
  <c r="C20" i="12"/>
  <c r="C18" i="12"/>
  <c r="D25" i="6"/>
  <c r="D26" i="6"/>
  <c r="D15" i="6"/>
  <c r="C18" i="4"/>
  <c r="D22" i="6"/>
  <c r="D8" i="6"/>
  <c r="D23" i="6"/>
  <c r="D24" i="6"/>
  <c r="D14" i="6"/>
  <c r="D5" i="6"/>
  <c r="D6" i="6"/>
  <c r="D12" i="6"/>
  <c r="D9" i="6"/>
  <c r="D11" i="6"/>
  <c r="D10" i="6"/>
  <c r="D13" i="6"/>
  <c r="D28" i="6"/>
  <c r="D29" i="6"/>
  <c r="E61" i="40"/>
  <c r="H25" i="6"/>
  <c r="R25" i="6"/>
  <c r="H22" i="6"/>
  <c r="H23"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B6" i="76"/>
  <c r="I5" i="6"/>
  <c r="B2" i="76"/>
  <c r="B3" i="76"/>
  <c r="B3" i="43"/>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E2" i="69"/>
  <c r="C46" i="15"/>
  <c r="B2" i="69"/>
  <c r="B3" i="69"/>
  <c r="D2" i="37"/>
  <c r="D2" i="36"/>
  <c r="D2" i="21"/>
  <c r="F20" i="31"/>
  <c r="D2" i="34"/>
  <c r="D2" i="33"/>
  <c r="E2" i="68"/>
  <c r="D2" i="35"/>
  <c r="B20" i="31"/>
  <c r="B2" i="36"/>
  <c r="B3" i="36"/>
  <c r="B2" i="35"/>
  <c r="B3" i="35"/>
  <c r="B2" i="37"/>
  <c r="B3" i="37"/>
  <c r="B2" i="34"/>
  <c r="B3" i="34"/>
  <c r="B2" i="21"/>
  <c r="B3" i="21"/>
  <c r="C102" i="9"/>
  <c r="C21" i="9"/>
  <c r="D102" i="9"/>
  <c r="D22" i="9"/>
  <c r="D21" i="9"/>
  <c r="C103" i="9"/>
  <c r="D103" i="9"/>
  <c r="D34" i="9"/>
  <c r="M49" i="9"/>
  <c r="L68" i="9"/>
  <c r="M68" i="9"/>
  <c r="L65" i="9"/>
  <c r="M65" i="9"/>
  <c r="L66" i="9"/>
  <c r="M66" i="9"/>
  <c r="L64" i="9"/>
  <c r="M64" i="9"/>
  <c r="L63" i="9"/>
  <c r="M63" i="9"/>
  <c r="L67" i="9"/>
  <c r="M67" i="9"/>
  <c r="H110" i="9"/>
  <c r="D18" i="53"/>
  <c r="B35" i="72"/>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<sst xmlns="http://schemas.openxmlformats.org/spreadsheetml/2006/main" count="10547" uniqueCount="3144">
  <si>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</si>
  <si>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</si>
  <si>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</si>
  <si>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</si>
  <si>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</si>
  <si>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</si>
  <si>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</si>
  <si>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</si>
  <si>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</si>
  <si>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</si>
  <si>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</si>
  <si>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</si>
  <si>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</si>
  <si>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</si>
  <si>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</si>
  <si>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</si>
  <si>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</si>
  <si>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</si>
  <si>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</si>
  <si>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</si>
  <si>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</si>
  <si>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</si>
  <si>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</si>
  <si>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</si>
  <si>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</si>
  <si>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</si>
  <si>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</si>
  <si>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</si>
  <si>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</si>
  <si>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</si>
  <si>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</si>
  <si>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</si>
  <si>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</si>
  <si>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</si>
  <si>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</si>
  <si>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</si>
  <si>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</si>
  <si>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</si>
  <si>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</si>
  <si>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</si>
  <si>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</si>
  <si>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</si>
  <si>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</si>
  <si>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</si>
  <si>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</si>
  <si>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</si>
  <si>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</si>
  <si>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</si>
  <si>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</si>
  <si>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</si>
  <si>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</si>
  <si>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</si>
  <si>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</si>
  <si>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</si>
  <si>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</si>
  <si>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</si>
  <si>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</si>
  <si>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</si>
  <si>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</si>
  <si>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</si>
  <si>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</si>
  <si>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</si>
  <si>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</si>
  <si>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</si>
  <si>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</si>
  <si>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</si>
  <si>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</si>
  <si>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</si>
  <si>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</si>
  <si>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</si>
  <si>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</si>
  <si>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</si>
  <si>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</si>
  <si>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</si>
  <si>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</si>
  <si>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</si>
  <si>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</si>
  <si>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</si>
  <si>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</si>
  <si>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</si>
  <si>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</si>
  <si>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</si>
  <si>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</si>
  <si>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</si>
  <si>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</si>
  <si>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</si>
  <si>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</si>
  <si>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</si>
  <si>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</si>
  <si>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</si>
  <si>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</si>
  <si>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</si>
  <si>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</si>
  <si>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</si>
  <si>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</si>
  <si>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</si>
  <si>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</si>
  <si>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</si>
  <si>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</si>
  <si>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</si>
  <si>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</si>
  <si>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</si>
  <si>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</si>
  <si>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</si>
  <si>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</si>
  <si>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</si>
  <si>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</si>
  <si>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</si>
  <si>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</si>
  <si>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</si>
  <si>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</si>
  <si>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</si>
  <si>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</si>
  <si>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</si>
  <si>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</si>
  <si>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</si>
  <si>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</si>
  <si>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</si>
  <si>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</si>
  <si>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</si>
  <si>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</si>
  <si>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</si>
  <si>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</si>
  <si>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</si>
  <si>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</si>
  <si>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</si>
  <si>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</si>
  <si>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</si>
  <si>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</si>
  <si>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</si>
  <si>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</si>
  <si>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</si>
  <si>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</si>
  <si>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</si>
  <si>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</si>
  <si>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</si>
  <si>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</si>
  <si>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</si>
  <si>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</si>
  <si>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</si>
  <si>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</si>
  <si>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</si>
  <si>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</si>
  <si>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</si>
  <si>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</si>
  <si>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</si>
  <si>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</si>
  <si>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</si>
  <si>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</si>
  <si>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</si>
  <si>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</si>
  <si>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</si>
  <si>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</si>
  <si>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</si>
  <si>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</si>
  <si>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</si>
  <si>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</si>
  <si>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</si>
  <si>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</si>
  <si>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</si>
  <si>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</si>
  <si>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</si>
  <si>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</si>
  <si>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</si>
  <si>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</si>
  <si>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</si>
  <si>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</si>
  <si>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</si>
  <si>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</si>
  <si>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</si>
  <si>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</si>
  <si>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</si>
  <si>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</si>
  <si>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</si>
  <si>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</si>
  <si>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</si>
  <si>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</si>
  <si>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</si>
  <si>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</si>
  <si>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</si>
  <si>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</si>
  <si>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</si>
  <si>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</si>
  <si>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</si>
  <si>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</si>
  <si>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</si>
  <si>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</si>
  <si>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</si>
  <si>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</si>
  <si>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</si>
  <si>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</si>
  <si>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</si>
  <si>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</si>
  <si>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</si>
  <si>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</si>
  <si>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</si>
  <si>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</si>
  <si>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</si>
  <si>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</si>
  <si>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</si>
  <si>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</si>
  <si>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</si>
  <si>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</si>
  <si>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</si>
  <si>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</si>
  <si>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</si>
  <si>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</si>
  <si>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</si>
  <si>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</si>
  <si>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</si>
  <si>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</si>
  <si>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</si>
  <si>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</si>
  <si>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</si>
  <si>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</si>
  <si>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</si>
  <si>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</si>
  <si>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</si>
  <si>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</si>
  <si>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</si>
  <si>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</si>
  <si>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</si>
  <si>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</si>
  <si>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</si>
  <si>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</si>
  <si>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</si>
  <si>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</si>
  <si>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</si>
  <si>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</si>
  <si>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</si>
  <si>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</si>
  <si>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</si>
  <si>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</si>
  <si>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</si>
  <si>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</si>
  <si>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</si>
  <si>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</si>
  <si>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</si>
  <si>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</si>
  <si>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</si>
  <si>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</si>
  <si>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</si>
  <si>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</si>
  <si>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</si>
  <si>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</si>
  <si>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</si>
  <si>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</si>
  <si>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</si>
  <si>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</si>
  <si>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</si>
  <si>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</si>
  <si>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</si>
  <si>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</si>
  <si>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</si>
  <si>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</si>
  <si>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</si>
  <si>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</si>
  <si>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</si>
  <si>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</si>
  <si>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</si>
  <si>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</si>
  <si>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</si>
  <si>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</si>
  <si>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</si>
  <si>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</si>
  <si>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</si>
  <si>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</si>
  <si>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</si>
  <si>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</si>
  <si>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</si>
  <si>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</si>
  <si>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</si>
  <si>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</si>
  <si>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</si>
  <si>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</si>
  <si>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</si>
  <si>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</si>
  <si>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</si>
  <si>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</si>
  <si>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</si>
  <si>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</si>
  <si>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</si>
  <si>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</si>
  <si>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</si>
  <si>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</si>
  <si>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</si>
  <si>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</si>
  <si>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</si>
  <si>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</si>
  <si>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</si>
  <si>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</si>
  <si>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</si>
  <si>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</si>
  <si>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</si>
  <si>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</si>
  <si>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</si>
  <si>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</si>
  <si>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</si>
  <si>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</si>
  <si>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</si>
  <si>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</si>
  <si>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</si>
  <si>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</si>
  <si>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</si>
  <si>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</si>
  <si>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</si>
  <si>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</si>
  <si>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</si>
  <si>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</si>
  <si>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</si>
  <si>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</si>
  <si>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</si>
  <si>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</si>
  <si>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</si>
  <si>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</si>
  <si>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</si>
  <si>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</si>
  <si>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</si>
  <si>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</si>
  <si>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</si>
  <si>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</si>
  <si>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</si>
  <si>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</si>
  <si>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</si>
  <si>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</si>
  <si>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</si>
  <si>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</si>
  <si>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</si>
  <si>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</si>
  <si>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</si>
  <si>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</si>
  <si>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</si>
  <si>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</si>
  <si>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</si>
  <si>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</si>
  <si>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</si>
  <si>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</si>
  <si>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</si>
  <si>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</si>
  <si>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</si>
  <si>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</si>
  <si>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</si>
  <si>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</si>
  <si>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</si>
  <si>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</si>
  <si>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</si>
  <si>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</si>
  <si>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</si>
  <si>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</si>
  <si>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</si>
  <si>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</si>
  <si>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</si>
  <si>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</si>
  <si>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</si>
  <si>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</si>
  <si>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</si>
  <si>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</si>
  <si>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</si>
  <si>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</si>
  <si>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</si>
  <si>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</si>
  <si>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</si>
  <si>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</si>
  <si>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</si>
  <si>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</si>
  <si>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</si>
  <si>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</si>
  <si>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</si>
  <si>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</si>
  <si>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</si>
  <si>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</si>
  <si>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</si>
  <si>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</si>
  <si>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</si>
  <si>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</si>
  <si>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</si>
  <si>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</si>
  <si>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</si>
  <si>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</si>
  <si>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</si>
  <si>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</si>
  <si>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</si>
  <si>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</si>
  <si>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</si>
  <si>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</si>
  <si>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</si>
  <si>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</si>
  <si>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</si>
  <si>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</si>
  <si>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</si>
  <si>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</si>
  <si>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</si>
  <si>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</si>
  <si>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</si>
  <si>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</si>
  <si>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</si>
  <si>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</si>
  <si>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</si>
  <si>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</si>
  <si>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</si>
  <si>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</si>
  <si>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</si>
  <si>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</si>
  <si>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</si>
  <si>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</si>
  <si>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</si>
  <si>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</si>
  <si>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</si>
  <si>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</si>
  <si>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</si>
  <si>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</si>
  <si>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</si>
  <si>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</si>
  <si>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</si>
  <si>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</si>
  <si>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</si>
  <si>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</si>
  <si>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</si>
  <si>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</si>
  <si>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</si>
  <si>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</si>
  <si>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</si>
  <si>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</si>
  <si>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</si>
  <si>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</si>
  <si>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</si>
  <si>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</si>
  <si>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</si>
  <si>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</si>
  <si>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</si>
  <si>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</si>
  <si>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</si>
  <si>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</si>
  <si>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</si>
  <si>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</si>
  <si>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</si>
  <si>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</si>
  <si>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</si>
  <si>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</si>
  <si>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</si>
  <si>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</si>
  <si>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</si>
  <si>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</si>
  <si>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</si>
  <si>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</si>
  <si>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</si>
  <si>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</si>
  <si>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</si>
  <si>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</si>
  <si>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</si>
  <si>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</si>
  <si>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</si>
  <si>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</si>
  <si>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</si>
  <si>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</si>
  <si>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</si>
  <si>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</si>
  <si>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</si>
  <si>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</si>
  <si>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</si>
  <si>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</si>
  <si>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</si>
  <si>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</si>
  <si>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</si>
  <si>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</si>
  <si>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</si>
  <si>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</si>
  <si>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</si>
  <si>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</si>
  <si>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</si>
  <si>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</si>
  <si>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</si>
  <si>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</si>
  <si>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</si>
  <si>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</si>
  <si>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</si>
  <si>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</si>
  <si>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</si>
  <si>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</si>
  <si>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</si>
  <si>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</si>
  <si>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</si>
  <si>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</si>
  <si>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</si>
  <si>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</si>
  <si>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</si>
  <si>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</si>
  <si>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</si>
  <si>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</si>
  <si>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</si>
  <si>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</si>
  <si>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</si>
  <si>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</si>
  <si>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</si>
  <si>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</si>
  <si>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</si>
  <si>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</si>
  <si>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</si>
  <si>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</si>
  <si>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</si>
  <si>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</si>
  <si>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</si>
  <si>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</si>
  <si>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</si>
  <si>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</si>
  <si>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</si>
  <si>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</si>
  <si>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</si>
  <si>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</si>
  <si>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</si>
  <si>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</si>
  <si>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</si>
  <si>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</si>
  <si>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</si>
  <si>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</si>
  <si>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</si>
  <si>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</si>
  <si>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</si>
  <si>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</si>
  <si>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</si>
  <si>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</si>
  <si>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</si>
  <si>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</si>
  <si>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</si>
  <si>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</si>
  <si>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</si>
  <si>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</si>
  <si>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</si>
  <si>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</si>
  <si>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</si>
  <si>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</si>
  <si>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</si>
  <si>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</si>
  <si>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</si>
  <si>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</si>
  <si>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</si>
  <si>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</si>
  <si>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</si>
  <si>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</si>
  <si>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</si>
  <si>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</si>
  <si>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</si>
  <si>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</si>
  <si>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</si>
  <si>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</si>
  <si>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</si>
  <si>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</si>
  <si>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</si>
  <si>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</si>
  <si>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</si>
  <si>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</si>
  <si>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</si>
  <si>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</si>
  <si>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</si>
  <si>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</si>
  <si>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</si>
  <si>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</si>
  <si>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</si>
  <si>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</si>
  <si>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</si>
  <si>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</si>
  <si>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</si>
  <si>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</si>
  <si>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</si>
  <si>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</si>
  <si>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</si>
  <si>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</si>
  <si>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</si>
  <si>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</si>
  <si>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</si>
  <si>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</si>
  <si>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</si>
  <si>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</si>
  <si>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</si>
  <si>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</si>
  <si>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</si>
  <si>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</si>
  <si>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</si>
  <si>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</si>
  <si>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</si>
  <si>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</si>
  <si>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</si>
  <si>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</si>
  <si>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</si>
  <si>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</si>
  <si>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</si>
  <si>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</si>
  <si>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</si>
  <si>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</si>
  <si>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</si>
  <si>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</si>
  <si>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</si>
  <si>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</si>
  <si>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</si>
  <si>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</si>
  <si>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</si>
  <si>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</si>
  <si>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</si>
  <si>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</si>
  <si>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</si>
  <si>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</si>
  <si>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</si>
  <si>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</si>
  <si>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</si>
  <si>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</si>
  <si>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</si>
  <si>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</si>
  <si>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</si>
  <si>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</si>
  <si>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</si>
  <si>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</si>
  <si>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</si>
  <si>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</si>
  <si>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</si>
  <si>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</si>
  <si>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</si>
  <si>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</si>
  <si>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</si>
  <si>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</si>
  <si>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</si>
  <si>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</si>
  <si>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</si>
  <si>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</si>
  <si>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</si>
  <si>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</si>
  <si>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</si>
  <si>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</si>
  <si>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</si>
  <si>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</si>
  <si>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</si>
  <si>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</si>
  <si>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</si>
  <si>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</si>
  <si>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</si>
  <si>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</si>
  <si>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</si>
  <si>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</si>
  <si>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</si>
  <si>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</si>
  <si>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</si>
  <si>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</si>
  <si>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</si>
  <si>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</si>
  <si>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</si>
  <si>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</si>
  <si>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</si>
  <si>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</si>
  <si>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</si>
  <si>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</si>
  <si>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</si>
  <si>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</si>
  <si>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</si>
  <si>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</si>
  <si>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</si>
  <si>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</si>
  <si>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</si>
  <si>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</si>
  <si>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</si>
  <si>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</si>
  <si>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</si>
  <si>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</si>
  <si>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</si>
  <si>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</si>
  <si>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</si>
  <si>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</si>
  <si>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</si>
  <si>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</si>
  <si>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</si>
  <si>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</si>
  <si>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</si>
  <si>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</si>
  <si>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</si>
  <si>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</si>
  <si>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</si>
  <si>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</si>
  <si>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</si>
  <si>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</si>
  <si>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</si>
  <si>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</si>
  <si>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</si>
  <si>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</si>
  <si>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</si>
  <si>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</si>
  <si>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</si>
  <si>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</si>
  <si>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</si>
  <si>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</si>
  <si>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</si>
  <si>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</si>
  <si>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</si>
  <si>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</si>
  <si>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</si>
  <si>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</si>
  <si>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</si>
  <si>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</si>
  <si>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</si>
  <si>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</si>
  <si>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</si>
  <si>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</si>
  <si>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</si>
  <si>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</si>
  <si>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</si>
  <si>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</si>
  <si>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</si>
  <si>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</si>
  <si>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</si>
  <si>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</si>
  <si>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</si>
  <si>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</si>
  <si>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</si>
  <si>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</si>
  <si>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</si>
  <si>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</si>
  <si>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</si>
  <si>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</si>
  <si>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</si>
  <si>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</si>
  <si>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</si>
  <si>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</si>
  <si>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</si>
  <si>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</si>
  <si>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</si>
  <si>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</si>
  <si>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</si>
  <si>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</si>
  <si>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</si>
  <si>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</si>
  <si>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</si>
  <si>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</si>
  <si>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</si>
  <si>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</si>
  <si>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</si>
  <si>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</si>
  <si>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</si>
  <si>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</si>
  <si>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</si>
  <si>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</si>
  <si>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</si>
  <si>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</si>
  <si>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</si>
  <si>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</si>
  <si>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</si>
  <si>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</si>
  <si>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</si>
  <si>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</si>
  <si>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</si>
  <si>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</si>
  <si>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</si>
  <si>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</si>
  <si>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</si>
  <si>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</si>
  <si>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</si>
  <si>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</si>
  <si>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</si>
  <si>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</si>
  <si>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</si>
  <si>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</si>
  <si>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</si>
  <si>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</si>
  <si>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</si>
  <si>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</si>
  <si>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</si>
  <si>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</si>
  <si>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</si>
  <si>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</si>
  <si>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</si>
  <si>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</si>
  <si>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</si>
  <si>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</si>
  <si>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</si>
  <si>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</si>
  <si>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</si>
  <si>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</si>
  <si>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</si>
  <si>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</si>
  <si>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</si>
  <si>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</si>
  <si>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</si>
  <si>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</si>
  <si>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</si>
  <si>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</si>
  <si>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</si>
  <si>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</si>
  <si>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</si>
  <si>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</si>
  <si>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</si>
  <si>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</si>
  <si>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</si>
  <si>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</si>
  <si>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</si>
  <si>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</si>
  <si>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</si>
  <si>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</si>
  <si>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</si>
  <si>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</si>
  <si>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</si>
  <si>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</si>
  <si>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</si>
  <si>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</si>
  <si>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</si>
  <si>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</si>
  <si>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</si>
  <si>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</si>
  <si>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</si>
  <si>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</si>
  <si>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</si>
  <si>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</si>
  <si>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</si>
  <si>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</si>
  <si>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</si>
  <si>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</si>
  <si>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</si>
  <si>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</si>
  <si>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</si>
  <si>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</si>
  <si>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</si>
  <si>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</si>
  <si>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</si>
  <si>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</si>
  <si>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</si>
  <si>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</si>
  <si>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</si>
  <si>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</si>
  <si>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</si>
  <si>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</si>
  <si>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</si>
  <si>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</si>
  <si>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</si>
  <si>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</si>
  <si>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</si>
  <si>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</si>
  <si>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</si>
  <si>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</si>
  <si>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</si>
  <si>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</si>
  <si>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</si>
  <si>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</si>
  <si>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</si>
  <si>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</si>
  <si>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</si>
  <si>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</si>
  <si>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</si>
  <si>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</si>
  <si>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</si>
  <si>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</si>
  <si>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</si>
  <si>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</si>
  <si>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</si>
  <si>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</si>
  <si>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</si>
  <si>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</si>
  <si>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</si>
  <si>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</si>
  <si>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</si>
  <si>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</si>
  <si>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</si>
  <si>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</si>
  <si>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</si>
  <si>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</si>
  <si>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</si>
  <si>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</si>
  <si>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</si>
  <si>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</si>
  <si>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</si>
  <si>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</si>
  <si>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</si>
  <si>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</si>
  <si>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</si>
  <si>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</si>
  <si>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</si>
  <si>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</si>
  <si>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</si>
  <si>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</si>
  <si>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</si>
  <si>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</si>
  <si>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</si>
  <si>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</si>
  <si>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</si>
  <si>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</si>
  <si>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</si>
  <si>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</si>
  <si>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</si>
  <si>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</si>
  <si>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</si>
  <si>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</si>
  <si>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</si>
  <si>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</si>
  <si>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</si>
  <si>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</si>
  <si>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</si>
  <si>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</si>
  <si>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</si>
  <si>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</si>
  <si>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</si>
  <si>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</si>
  <si>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</si>
  <si>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</si>
  <si>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</si>
  <si>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</si>
  <si>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</si>
  <si>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</si>
  <si>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</si>
  <si>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</si>
  <si>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</si>
  <si>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</si>
  <si>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</si>
  <si>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</si>
  <si>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</si>
  <si>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</si>
  <si>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</si>
  <si>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</si>
  <si>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</si>
  <si>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</si>
  <si>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</si>
  <si>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</si>
  <si>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</si>
  <si>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</si>
  <si>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</si>
  <si>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</si>
  <si>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</si>
  <si>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</si>
  <si>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</si>
  <si>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</si>
  <si>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</si>
  <si>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</si>
  <si>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</si>
  <si>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</si>
  <si>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</si>
  <si>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</si>
  <si>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</si>
  <si>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</si>
  <si>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</si>
  <si>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</si>
  <si>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</si>
  <si>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</si>
  <si>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</si>
  <si>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</si>
  <si>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</si>
  <si>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</si>
  <si>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</si>
  <si>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</si>
  <si>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</si>
  <si>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</si>
  <si>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</si>
  <si>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</si>
  <si>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</si>
  <si>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</si>
  <si>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</si>
  <si>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</si>
  <si>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</si>
  <si>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</si>
  <si>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</si>
  <si>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</si>
  <si>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</si>
  <si>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</si>
  <si>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</si>
  <si>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</si>
  <si>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</si>
  <si>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</si>
  <si>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</si>
  <si>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</si>
  <si>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</si>
  <si>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</si>
  <si>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</si>
  <si>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</si>
  <si>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</si>
  <si>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</si>
  <si>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</si>
  <si>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</si>
  <si>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</si>
  <si>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</si>
  <si>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</si>
  <si>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</si>
  <si>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</si>
  <si>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</si>
  <si>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</si>
  <si>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</si>
  <si>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</si>
  <si>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</si>
  <si>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</si>
  <si>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</si>
  <si>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</si>
  <si>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</si>
  <si>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</si>
  <si>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</si>
  <si>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</si>
  <si>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</si>
  <si>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</si>
  <si>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</si>
  <si>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</si>
  <si>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</si>
  <si>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</si>
  <si>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</si>
  <si>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</si>
  <si>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</si>
  <si>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</si>
  <si>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</si>
  <si>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</si>
  <si>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</si>
  <si>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</si>
  <si>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</si>
  <si>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</si>
  <si>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</si>
  <si>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</si>
  <si>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</si>
  <si>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</si>
  <si>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</si>
  <si>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</si>
  <si>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</si>
  <si>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</si>
  <si>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</si>
  <si>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</si>
  <si>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</si>
  <si>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</si>
  <si>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</si>
  <si>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</si>
  <si>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</si>
  <si>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</si>
  <si>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</si>
  <si>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</si>
  <si>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</si>
  <si>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</si>
  <si>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</si>
  <si>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</si>
  <si>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</si>
  <si>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</si>
  <si>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</si>
  <si>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</si>
  <si>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</si>
  <si>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</si>
  <si>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</si>
  <si>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</si>
  <si>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</si>
  <si>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</si>
  <si>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</si>
  <si>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</si>
  <si>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</si>
  <si>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</si>
  <si>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</si>
  <si>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</si>
  <si>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</si>
  <si>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</si>
  <si>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</si>
  <si>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</si>
  <si>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</si>
  <si>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</si>
  <si>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</si>
  <si>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</si>
  <si>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</si>
  <si>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</si>
  <si>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</si>
  <si>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</si>
  <si>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</si>
  <si>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</si>
  <si>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</si>
  <si>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</si>
  <si>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</si>
  <si>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</si>
  <si>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</si>
  <si>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</si>
  <si>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</si>
  <si>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</si>
  <si>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</si>
  <si>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</si>
  <si>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</si>
  <si>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</si>
  <si>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</si>
  <si>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</si>
  <si>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</si>
  <si>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</si>
  <si>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</si>
  <si>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</si>
  <si>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</si>
  <si>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</si>
  <si>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</si>
  <si>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</si>
  <si>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</si>
  <si>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</si>
  <si>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</si>
  <si>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</si>
  <si>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</si>
  <si>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</si>
  <si>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</si>
  <si>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</si>
  <si>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</si>
  <si>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</si>
  <si>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</si>
  <si>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</si>
  <si>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</si>
  <si>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</si>
  <si>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</si>
  <si>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</si>
  <si>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</si>
  <si>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</si>
  <si>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</si>
  <si>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</si>
  <si>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</si>
  <si>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</si>
  <si>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</si>
  <si>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</si>
  <si>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</si>
  <si>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</si>
  <si>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</si>
  <si>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</si>
  <si>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</si>
  <si>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</si>
  <si>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</si>
  <si>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</si>
  <si>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</si>
  <si>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</si>
  <si>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</si>
  <si>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</si>
  <si>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</si>
  <si>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</si>
  <si>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</si>
  <si>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</si>
  <si>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</si>
  <si>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</si>
  <si>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</si>
  <si>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</si>
  <si>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</si>
  <si>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</si>
  <si>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</si>
  <si>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</si>
  <si>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</si>
  <si>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</si>
  <si>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</si>
  <si>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</si>
  <si>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</si>
  <si>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</si>
  <si>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</si>
  <si>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</si>
  <si>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</si>
  <si>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</si>
  <si>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</si>
  <si>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</si>
  <si>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</si>
  <si>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</si>
  <si>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</si>
  <si>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</si>
  <si>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</si>
  <si>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</si>
  <si>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</si>
  <si>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</si>
  <si>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</si>
  <si>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</si>
  <si>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</si>
  <si>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</si>
  <si>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</si>
  <si>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</si>
  <si>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</si>
  <si>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</si>
  <si>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</si>
  <si>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</si>
  <si>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</si>
  <si>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</si>
  <si>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</si>
  <si>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</si>
  <si>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</si>
  <si>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</si>
  <si>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</si>
  <si>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</si>
  <si>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</si>
  <si>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</si>
  <si>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</si>
  <si>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</si>
  <si>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</si>
  <si>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</si>
  <si>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</si>
  <si>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</si>
  <si>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</si>
  <si>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</si>
  <si>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</si>
  <si>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</si>
  <si>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</si>
  <si>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</si>
  <si>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</si>
  <si>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</si>
  <si>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</si>
  <si>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</si>
  <si>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</si>
  <si>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</si>
  <si>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</si>
  <si>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</si>
  <si>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</si>
  <si>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</si>
  <si>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</si>
  <si>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</si>
  <si>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</si>
  <si>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</si>
  <si>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</si>
  <si>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</si>
  <si>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</si>
  <si>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</si>
  <si>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</si>
  <si>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</si>
  <si>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</si>
  <si>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</si>
  <si>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</si>
  <si>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</si>
  <si>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</si>
  <si>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</si>
  <si>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</si>
  <si>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</si>
  <si>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</si>
  <si>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</si>
  <si>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</si>
  <si>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</si>
  <si>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</si>
  <si>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</si>
  <si>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</si>
  <si>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</si>
  <si>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</si>
  <si>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</si>
  <si>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</si>
  <si>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</si>
  <si>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</si>
  <si>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</si>
  <si>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</si>
  <si>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</si>
  <si>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</si>
  <si>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</si>
  <si>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</si>
  <si>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</si>
  <si>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</si>
  <si>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</si>
  <si>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</si>
  <si>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</si>
  <si>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</si>
  <si>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</si>
  <si>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</si>
  <si>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</si>
  <si>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</si>
  <si>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</si>
  <si>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</si>
  <si>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</si>
  <si>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</si>
  <si>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</si>
  <si>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</si>
  <si>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</si>
  <si>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</si>
  <si>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</si>
  <si>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</si>
  <si>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</si>
  <si>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</si>
  <si>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</si>
  <si>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</si>
  <si>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</si>
  <si>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</si>
  <si>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</si>
  <si>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</si>
  <si>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</si>
  <si>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</si>
  <si>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</si>
  <si>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</si>
  <si>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</si>
  <si>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</si>
  <si>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</si>
  <si>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</si>
  <si>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</si>
  <si>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</si>
  <si>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</si>
  <si>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</si>
  <si>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</si>
  <si>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</si>
  <si>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</si>
  <si>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</si>
  <si>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</si>
  <si>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</si>
  <si>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</si>
  <si>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</si>
  <si>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</si>
  <si>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</si>
  <si>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</si>
  <si>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</si>
  <si>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</si>
  <si>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</si>
  <si>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</si>
  <si>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</si>
  <si>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</si>
  <si>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</si>
  <si>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</si>
  <si>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</si>
  <si>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</si>
  <si>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</si>
  <si>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</si>
  <si>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</si>
  <si>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</si>
  <si>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</si>
  <si>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</si>
  <si>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</si>
  <si>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</si>
  <si>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</si>
  <si>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</si>
  <si>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</si>
  <si>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</si>
  <si>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</si>
  <si>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</si>
  <si>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</si>
  <si>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</si>
  <si>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</si>
  <si>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</si>
  <si>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</si>
  <si>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</si>
  <si>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</si>
  <si>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</si>
  <si>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</si>
  <si>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</si>
  <si>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</si>
  <si>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</si>
  <si>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</si>
  <si>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</si>
  <si>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</si>
  <si>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</si>
  <si>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</si>
  <si>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</si>
  <si>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</si>
  <si>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</si>
  <si>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</si>
  <si>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</si>
  <si>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</si>
  <si>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</si>
  <si>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</si>
  <si>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</si>
  <si>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</si>
  <si>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</si>
  <si>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</si>
  <si>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</si>
  <si>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</si>
  <si>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</si>
  <si>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</si>
  <si>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</si>
  <si>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</si>
  <si>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</si>
  <si>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</si>
  <si>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</si>
  <si>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</si>
  <si>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</si>
  <si>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</si>
  <si>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</si>
  <si>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</si>
  <si>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</si>
  <si>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</si>
  <si>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</si>
  <si>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</si>
  <si>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</si>
  <si>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</si>
  <si>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</si>
  <si>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</si>
  <si>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</si>
  <si>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</si>
  <si>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</si>
  <si>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</si>
  <si>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</si>
  <si>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</si>
  <si>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</si>
  <si>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</si>
  <si>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</si>
  <si>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</si>
  <si>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</si>
  <si>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</si>
  <si>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</si>
  <si>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</si>
  <si>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</si>
  <si>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</si>
  <si>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</si>
  <si>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</si>
  <si>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</si>
  <si>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</si>
  <si>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</si>
  <si>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</si>
  <si>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</si>
  <si>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</si>
  <si>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</si>
  <si>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</si>
  <si>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</si>
  <si>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</si>
  <si>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</si>
  <si>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</si>
  <si>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</si>
  <si>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</si>
  <si>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</si>
  <si>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</si>
  <si>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</si>
  <si>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</si>
  <si>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</si>
  <si>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</si>
  <si>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</si>
  <si>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</si>
  <si>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</si>
  <si>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</si>
  <si>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</si>
  <si>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</si>
  <si>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</si>
  <si>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</si>
  <si>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</si>
  <si>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</si>
  <si>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</si>
  <si>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</si>
  <si>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</si>
  <si>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</si>
  <si>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</si>
  <si>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</si>
  <si>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</si>
  <si>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</si>
  <si>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</si>
  <si>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</si>
  <si>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</si>
  <si>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</si>
  <si>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</si>
  <si>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</si>
  <si>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</si>
  <si>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</si>
  <si>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</si>
  <si>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</si>
  <si>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</si>
  <si>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</si>
  <si>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</si>
  <si>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</si>
  <si>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</si>
  <si>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</si>
  <si>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</si>
  <si>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</si>
  <si>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</si>
  <si>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</si>
  <si>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</si>
  <si>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</si>
  <si>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</si>
  <si>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</si>
  <si>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</si>
  <si>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</si>
  <si>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</si>
  <si>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</si>
  <si>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</si>
  <si>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</si>
  <si>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</si>
  <si>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</si>
  <si>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</si>
  <si>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</si>
  <si>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</si>
  <si>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</si>
  <si>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</si>
  <si>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</si>
  <si>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</si>
  <si>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</si>
  <si>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</si>
  <si>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</si>
  <si>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</si>
  <si>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</si>
  <si>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</si>
  <si>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</si>
  <si>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</si>
  <si>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</si>
  <si>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</si>
  <si>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</si>
  <si>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</si>
  <si>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</si>
  <si>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</si>
  <si>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</si>
  <si>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</si>
  <si>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</si>
  <si>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</si>
  <si>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</si>
  <si>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</si>
  <si>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</si>
  <si>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</si>
  <si>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</si>
  <si>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</si>
  <si>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</si>
  <si>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</si>
  <si>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</si>
  <si>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</si>
  <si>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</si>
  <si>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</si>
  <si>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</si>
  <si>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</si>
  <si>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</si>
  <si>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</si>
  <si>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</si>
  <si>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</si>
  <si>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</si>
  <si>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</si>
  <si>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</si>
  <si>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</si>
  <si>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</si>
  <si>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</si>
  <si>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</si>
  <si>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</si>
  <si>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</si>
  <si>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</si>
  <si>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</si>
  <si>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</si>
  <si>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</si>
  <si>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</si>
  <si>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</si>
  <si>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</si>
  <si>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</si>
  <si>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</si>
  <si>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</si>
  <si>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</si>
  <si>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</si>
  <si>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</si>
  <si>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</si>
  <si>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</si>
  <si>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</si>
  <si>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</si>
  <si>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</si>
  <si>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</si>
  <si>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</si>
  <si>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</si>
  <si>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</si>
  <si>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</si>
  <si>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</si>
  <si>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</si>
  <si>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</si>
  <si>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</si>
  <si>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</si>
  <si>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</si>
  <si>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</si>
  <si>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</si>
  <si>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</si>
  <si>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</si>
  <si>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</si>
  <si>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</si>
  <si>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</si>
  <si>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</si>
  <si>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</si>
  <si>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</si>
  <si>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</si>
  <si>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</si>
  <si>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</si>
  <si>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</si>
  <si>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</si>
  <si>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</si>
  <si>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</si>
  <si>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</si>
  <si>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</si>
  <si>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</si>
  <si>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</si>
  <si>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</si>
  <si>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</si>
  <si>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</si>
  <si>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</si>
  <si>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</si>
  <si>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</si>
  <si>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</si>
  <si>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</si>
  <si>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</si>
  <si>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</si>
  <si>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</si>
  <si>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</si>
  <si>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</si>
  <si>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</si>
  <si>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</si>
  <si>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</si>
  <si>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</si>
  <si>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</si>
  <si>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</si>
  <si>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</si>
  <si>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</si>
  <si>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</si>
  <si>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</si>
  <si>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</si>
  <si>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</si>
  <si>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</si>
  <si>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</si>
  <si>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</si>
  <si>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</si>
  <si>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</si>
  <si>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</si>
  <si>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</si>
  <si>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</si>
  <si>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</si>
  <si>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</si>
  <si>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</si>
  <si>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</si>
  <si>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</si>
  <si>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</si>
  <si>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</si>
  <si>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</si>
  <si>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</si>
  <si>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</si>
  <si>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</si>
  <si>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</si>
  <si>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</si>
  <si>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</si>
  <si>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</si>
  <si>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</si>
  <si>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</si>
  <si>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</si>
  <si>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</si>
  <si>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</si>
  <si>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</si>
  <si>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</si>
  <si>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</si>
  <si>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</si>
  <si>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</si>
  <si>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</si>
  <si>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</si>
  <si>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</si>
  <si>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</si>
  <si>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</si>
  <si>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</si>
  <si>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</si>
  <si>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</si>
  <si>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</si>
  <si>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</si>
  <si>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</si>
  <si>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</si>
  <si>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</si>
  <si>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</si>
  <si>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</si>
  <si>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</si>
  <si>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</si>
  <si>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</si>
  <si>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</si>
  <si>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</si>
  <si>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</si>
  <si>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</si>
  <si>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</si>
  <si>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</si>
  <si>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</si>
  <si>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</si>
  <si>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</si>
  <si>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</si>
  <si>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</si>
  <si>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</si>
  <si>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</si>
  <si>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</si>
  <si>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</si>
  <si>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</si>
  <si>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</si>
  <si>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</si>
  <si>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</si>
  <si>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</si>
  <si>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</si>
  <si>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</si>
  <si>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</si>
  <si>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</si>
  <si>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</si>
  <si>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</si>
  <si>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</si>
  <si>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</si>
  <si>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</si>
  <si>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</si>
  <si>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</si>
  <si>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</si>
  <si>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</si>
  <si>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</si>
  <si>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</si>
  <si>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</si>
  <si>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</si>
  <si>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</si>
  <si>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</si>
  <si>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</si>
  <si>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</si>
  <si>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</si>
  <si>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</si>
  <si>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</si>
  <si>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</si>
  <si>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</si>
  <si>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</si>
  <si>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</si>
  <si>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</si>
  <si>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</si>
  <si>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</si>
  <si>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</si>
  <si>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</si>
  <si>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</si>
  <si>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</si>
  <si>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</si>
  <si>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</si>
  <si>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</si>
  <si>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</si>
  <si>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</si>
  <si>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</si>
  <si>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</si>
  <si>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</si>
  <si>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</si>
  <si>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</si>
  <si>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</si>
  <si>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</si>
  <si>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</si>
  <si>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</si>
  <si>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</si>
  <si>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</si>
  <si>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</si>
  <si>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</si>
  <si>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</si>
  <si>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</si>
  <si>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</si>
  <si>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</si>
  <si>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</si>
  <si>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</si>
  <si>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</si>
  <si>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</si>
  <si>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</si>
  <si>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</si>
  <si>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</si>
  <si>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</si>
  <si>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</si>
  <si>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</si>
  <si>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</si>
  <si>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</si>
  <si>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</si>
  <si>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</si>
  <si>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</si>
  <si>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</si>
  <si>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</si>
  <si>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</si>
  <si>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</si>
  <si>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</si>
  <si>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</si>
  <si>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</si>
  <si>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</si>
  <si>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</si>
  <si>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</si>
  <si>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</si>
  <si>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</si>
  <si>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</si>
  <si>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</si>
  <si>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</si>
  <si>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</si>
  <si>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</si>
  <si>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</si>
  <si>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</si>
  <si>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</si>
  <si>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</si>
  <si>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</si>
  <si>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</si>
  <si>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</si>
  <si>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</si>
  <si>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</si>
  <si>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</si>
  <si>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</si>
  <si>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</si>
  <si>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</si>
  <si>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</si>
  <si>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</si>
  <si>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</si>
  <si>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</si>
  <si>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</si>
  <si>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</si>
  <si>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</si>
  <si>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</si>
  <si>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</si>
  <si>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</si>
  <si>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</si>
  <si>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</si>
  <si>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</si>
  <si>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</si>
  <si>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</si>
  <si>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</si>
  <si>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</si>
  <si>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</si>
  <si>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</si>
  <si>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</si>
  <si>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</si>
  <si>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</si>
  <si>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</si>
  <si>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</si>
  <si>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</si>
  <si>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</si>
  <si>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</si>
  <si>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</si>
  <si>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</si>
  <si>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</si>
  <si>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</si>
  <si>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</si>
  <si>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</si>
  <si>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</si>
  <si>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</si>
  <si>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</si>
  <si>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</si>
  <si>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</si>
  <si>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</si>
  <si>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</si>
  <si>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</si>
  <si>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</si>
  <si>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</si>
  <si>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</si>
  <si>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</si>
  <si>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</si>
  <si>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</si>
  <si>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</si>
  <si>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</si>
  <si>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</si>
  <si>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</si>
  <si>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</si>
  <si>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</si>
  <si>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</si>
  <si>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</si>
  <si>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</si>
  <si>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</si>
  <si>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</si>
  <si>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</si>
  <si>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</si>
  <si>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</si>
  <si>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</si>
  <si>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</si>
  <si>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</si>
  <si>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</si>
  <si>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</si>
  <si>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</si>
  <si>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</si>
  <si>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</si>
  <si>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</si>
  <si>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</si>
  <si>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</si>
  <si>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</si>
  <si>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</si>
  <si>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</si>
  <si>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</si>
  <si>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</si>
  <si>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</si>
  <si>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</si>
  <si>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</si>
  <si>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</si>
  <si>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</si>
  <si>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</si>
  <si>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</si>
  <si>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</si>
  <si>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</si>
  <si>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</si>
  <si>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</si>
  <si>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</si>
  <si>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</si>
  <si>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</si>
  <si>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</si>
  <si>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</si>
  <si>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</si>
  <si>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</si>
  <si>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</si>
  <si>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</si>
  <si>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</si>
  <si>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</si>
  <si>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</si>
  <si>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</si>
  <si>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</si>
  <si>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</si>
  <si>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</si>
  <si>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</si>
  <si>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</si>
  <si>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</si>
  <si>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</si>
  <si>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</si>
  <si>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</si>
  <si>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</si>
  <si>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</si>
  <si>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</si>
  <si>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</si>
  <si>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</si>
  <si>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</si>
  <si>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</si>
  <si>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</si>
  <si>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</si>
  <si>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</si>
  <si>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</si>
  <si>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</si>
  <si>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</si>
  <si>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</si>
  <si>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</si>
  <si>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</si>
  <si>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</si>
  <si>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</si>
  <si>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</si>
  <si>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</si>
  <si>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</si>
  <si>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</si>
  <si>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</si>
  <si>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</si>
  <si>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</si>
  <si>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</si>
  <si>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</si>
  <si>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</si>
  <si>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</si>
  <si>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</si>
  <si>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</si>
  <si>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</si>
  <si>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</si>
  <si>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</si>
  <si>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</si>
  <si>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</si>
  <si>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</si>
  <si>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</si>
  <si>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</si>
  <si>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</si>
  <si>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</si>
  <si>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</si>
  <si>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</si>
  <si>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</si>
  <si>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</si>
  <si>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</si>
  <si>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</si>
  <si>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</si>
  <si>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</si>
  <si>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</si>
  <si>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</si>
  <si>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</si>
  <si>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</si>
  <si>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</si>
  <si>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</si>
  <si>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</si>
  <si>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</si>
  <si>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</si>
  <si>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</si>
  <si>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</si>
  <si>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</si>
  <si>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</si>
  <si>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</si>
  <si>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</si>
  <si>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</si>
  <si>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</si>
  <si>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</si>
  <si>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</si>
  <si>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</si>
  <si>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</si>
  <si>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</si>
  <si>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</si>
  <si>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</si>
  <si>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</si>
  <si>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</si>
  <si>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</si>
  <si>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</si>
  <si>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</si>
  <si>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</si>
  <si>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</si>
  <si>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</si>
  <si>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</si>
  <si>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</si>
  <si>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</si>
  <si>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</si>
  <si>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</si>
  <si>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</si>
  <si>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</si>
  <si>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</si>
  <si>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</si>
  <si>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</si>
  <si>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</si>
  <si>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</si>
  <si>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</si>
  <si>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</si>
  <si>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</si>
  <si>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</si>
  <si>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</si>
  <si>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</si>
  <si>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</si>
  <si>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</si>
  <si>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</si>
  <si>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</si>
  <si>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</si>
  <si>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</si>
  <si>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</si>
  <si>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</si>
  <si>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</si>
  <si>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</si>
  <si>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</si>
  <si>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</si>
  <si>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</si>
  <si>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</si>
  <si>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</si>
  <si>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</si>
  <si>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</si>
  <si>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</si>
  <si>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</si>
  <si>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</si>
  <si>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</si>
  <si>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</si>
  <si>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</si>
  <si>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</si>
  <si>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</si>
  <si>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</si>
  <si>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</si>
  <si>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</si>
  <si>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</si>
  <si>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</si>
  <si>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</si>
  <si>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</si>
  <si>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</si>
  <si>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</si>
  <si>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</si>
  <si>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</si>
  <si>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</si>
  <si>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</si>
  <si>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</si>
  <si>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</si>
  <si>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</si>
  <si>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</si>
  <si>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</si>
  <si>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</si>
  <si>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</si>
  <si>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</si>
  <si>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</si>
  <si>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</si>
  <si>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</si>
  <si>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</si>
  <si>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</si>
  <si>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</si>
  <si>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</si>
  <si>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</si>
  <si>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</si>
  <si>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</si>
  <si>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</si>
  <si>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</si>
  <si>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</si>
  <si>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</si>
  <si>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</si>
  <si>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</si>
  <si>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</si>
  <si>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</si>
  <si>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</si>
  <si>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</si>
  <si>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</si>
  <si>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</si>
  <si>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</si>
  <si>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</si>
  <si>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</si>
  <si>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</si>
  <si>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</si>
  <si>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</si>
  <si>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</si>
  <si>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</si>
  <si>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</si>
  <si>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</si>
  <si>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</si>
  <si>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</si>
  <si>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</si>
  <si>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</si>
  <si>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</si>
  <si>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</si>
  <si>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</si>
  <si>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</si>
  <si>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</si>
  <si>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</si>
  <si>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</si>
  <si>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</si>
  <si>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</si>
  <si>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</si>
  <si>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</si>
  <si>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</si>
  <si>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</si>
  <si>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</si>
  <si>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</si>
  <si>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</si>
  <si>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</si>
  <si>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</si>
  <si>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</si>
  <si>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</si>
  <si>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</si>
  <si>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</si>
  <si>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</si>
  <si>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</si>
  <si>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</si>
  <si>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</si>
  <si>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</si>
  <si>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</si>
  <si>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</si>
  <si>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</si>
  <si>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</si>
  <si>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</si>
  <si>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</si>
  <si>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</si>
  <si>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</si>
  <si>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</si>
  <si>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</si>
  <si>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</si>
  <si>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</si>
  <si>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</si>
  <si>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</si>
  <si>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</si>
  <si>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</si>
  <si>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</si>
  <si>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</si>
  <si>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</si>
  <si>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</si>
  <si>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</si>
  <si>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</si>
  <si>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</si>
  <si>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</si>
  <si>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</si>
  <si>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</si>
  <si>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</si>
  <si>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</si>
  <si>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</si>
  <si>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</si>
  <si>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</si>
  <si>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</si>
  <si>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</si>
  <si>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</si>
  <si>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</si>
  <si>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</si>
  <si>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</si>
  <si>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</si>
  <si>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</si>
  <si>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</si>
  <si>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</si>
  <si>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</si>
  <si>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</si>
  <si>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</si>
  <si>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</si>
  <si>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</si>
  <si>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</si>
  <si>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</si>
  <si>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</si>
  <si>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</si>
  <si>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</si>
  <si>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</si>
  <si>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</si>
  <si>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</si>
  <si>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</si>
  <si>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</si>
  <si>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</si>
  <si>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</si>
  <si>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</si>
  <si>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</si>
  <si>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</si>
  <si>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</si>
  <si>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</si>
  <si>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</si>
  <si>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</si>
  <si>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</si>
  <si>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</si>
  <si>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</si>
  <si>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</si>
  <si>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</si>
  <si>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</si>
  <si>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</si>
  <si>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</si>
  <si>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</si>
  <si>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</si>
  <si>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</si>
  <si>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</si>
  <si>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</si>
  <si>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</si>
  <si>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</si>
  <si>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</si>
  <si>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</si>
  <si>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</si>
  <si>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</si>
  <si>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</si>
  <si>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</si>
  <si>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</si>
  <si>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</si>
  <si>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</si>
  <si>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</si>
  <si>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</si>
  <si>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</si>
  <si>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</si>
  <si>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</si>
  <si>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</si>
  <si>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</si>
  <si>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</si>
  <si>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</si>
  <si>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</si>
  <si>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</si>
  <si>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</si>
  <si>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</si>
  <si>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</si>
  <si>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</si>
  <si>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</si>
  <si>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</si>
  <si>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</si>
  <si>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</si>
  <si>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</si>
  <si>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</si>
  <si>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</si>
  <si>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</si>
  <si>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</si>
  <si>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</si>
  <si>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</si>
  <si>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</si>
  <si>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</si>
  <si>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</si>
  <si>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</si>
  <si>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</si>
  <si>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</si>
  <si>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</si>
  <si>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</si>
  <si>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</si>
  <si>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</si>
  <si>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</si>
  <si>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</si>
  <si>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</si>
  <si>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</si>
  <si>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</si>
  <si>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</si>
  <si>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</si>
  <si>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</si>
  <si>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</si>
  <si>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</si>
  <si>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</si>
  <si>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</si>
  <si>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</si>
  <si>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</si>
  <si>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</si>
  <si>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</si>
  <si>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</si>
  <si>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</si>
  <si>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</si>
  <si>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</si>
  <si>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</si>
  <si>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</si>
  <si>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</si>
  <si>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</si>
  <si>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</si>
  <si>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</si>
  <si>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</si>
  <si>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</si>
  <si>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</si>
  <si>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</si>
  <si>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</si>
  <si>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</si>
  <si>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</si>
  <si>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</si>
  <si>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</si>
  <si>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</si>
  <si>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</si>
  <si>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</si>
  <si>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</si>
  <si>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</si>
  <si>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</si>
  <si>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</si>
  <si>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</si>
  <si>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</si>
  <si>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</si>
  <si>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</si>
  <si>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</si>
  <si>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</si>
  <si>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</si>
  <si>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</si>
  <si>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</si>
  <si>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</si>
  <si>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</si>
  <si>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</si>
  <si>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</si>
  <si>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</si>
  <si>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</si>
  <si>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</si>
  <si>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</si>
  <si>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</si>
  <si>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</si>
  <si>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</si>
  <si>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</si>
  <si>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</si>
  <si>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</si>
  <si>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</si>
  <si>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</si>
  <si>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</si>
  <si>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</si>
  <si>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</si>
  <si>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</si>
  <si>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</si>
  <si>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</si>
  <si>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</si>
  <si>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</si>
  <si>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</si>
  <si>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</si>
  <si>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</si>
  <si>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</si>
  <si>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</si>
  <si>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</si>
  <si>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</si>
  <si>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</si>
  <si>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</si>
  <si>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</si>
  <si>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</si>
  <si>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</si>
  <si>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</si>
  <si>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</si>
  <si>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</si>
  <si>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</si>
  <si>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</si>
  <si>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</si>
  <si>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</si>
  <si>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</si>
  <si>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</si>
  <si>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</si>
  <si>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</si>
  <si>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</si>
  <si>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</si>
  <si>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</si>
  <si>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</si>
  <si>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</si>
  <si>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</si>
  <si>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</si>
  <si>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</si>
  <si>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</si>
  <si>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</si>
  <si>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</si>
  <si>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</si>
  <si>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</si>
  <si>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</si>
  <si>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</si>
  <si>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</si>
  <si>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</si>
  <si>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</si>
  <si>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</si>
  <si>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</si>
  <si>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</si>
  <si>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</si>
  <si>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</si>
  <si>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</si>
  <si>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</si>
  <si>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</si>
  <si>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</si>
  <si>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</si>
  <si>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</si>
  <si>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</si>
  <si>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</si>
  <si>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</si>
  <si>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</si>
  <si>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</si>
  <si>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</si>
  <si>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</si>
  <si>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</si>
  <si>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</si>
  <si>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</si>
  <si>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</si>
  <si>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</si>
  <si>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</si>
  <si>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</si>
  <si>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</si>
  <si>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</si>
  <si>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</si>
  <si>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</si>
  <si>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</si>
  <si>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</si>
  <si>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</si>
  <si>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</si>
  <si>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</si>
  <si>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</si>
  <si>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</si>
  <si>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</si>
  <si>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</si>
  <si>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</si>
  <si>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</si>
  <si>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</si>
  <si>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</si>
  <si>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</si>
  <si>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</si>
  <si>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</si>
  <si>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</si>
  <si>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</si>
  <si>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</si>
  <si>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</si>
  <si>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</si>
  <si>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</si>
  <si>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</si>
  <si>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</si>
  <si>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</si>
  <si>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</si>
  <si>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</si>
  <si>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</si>
  <si>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</si>
  <si>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</si>
  <si>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</si>
  <si>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</si>
  <si>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</si>
  <si>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</si>
  <si>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</si>
  <si>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</si>
  <si>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</si>
  <si>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</si>
  <si>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</si>
  <si>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</si>
  <si>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</si>
  <si>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</si>
  <si>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</si>
  <si>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</si>
  <si>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</si>
  <si>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</si>
  <si>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</si>
  <si>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</si>
  <si>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</si>
  <si>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</si>
  <si>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</si>
  <si>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</si>
  <si>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</si>
  <si>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</si>
  <si>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</si>
  <si>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</si>
  <si>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</si>
  <si>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</si>
  <si>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</si>
  <si>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</si>
  <si>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</si>
  <si>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</si>
  <si>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</si>
  <si>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</si>
  <si>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</si>
  <si>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</si>
  <si>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</si>
  <si>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</si>
  <si>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</si>
  <si>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</si>
  <si>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</si>
  <si>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</si>
  <si>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</si>
  <si>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</si>
  <si>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</si>
  <si>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</si>
  <si>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</si>
  <si>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</si>
  <si>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</si>
  <si>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</si>
  <si>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</si>
  <si>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</si>
  <si>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</si>
  <si>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</si>
  <si>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</si>
  <si>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</si>
  <si>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</si>
  <si>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</si>
  <si>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</si>
  <si>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</si>
  <si>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</si>
  <si>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</si>
  <si>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</si>
  <si>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</si>
  <si>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</si>
  <si>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</si>
  <si>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</si>
  <si>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</si>
  <si>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</si>
  <si>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</si>
  <si>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</si>
  <si>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</si>
  <si>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</si>
  <si>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</si>
  <si>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</si>
  <si>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</si>
  <si>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</si>
  <si>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</si>
  <si>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</si>
  <si>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</si>
  <si>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</si>
  <si>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</si>
  <si>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</si>
  <si>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</si>
  <si>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</si>
  <si>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</si>
  <si>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</si>
  <si>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</si>
  <si>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</si>
  <si>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</si>
  <si>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</si>
  <si>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</si>
  <si>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</si>
  <si>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</si>
  <si>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</si>
  <si>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</si>
  <si>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</si>
  <si>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</si>
  <si>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</si>
  <si>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</si>
  <si>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</si>
  <si>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</si>
  <si>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</si>
  <si>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</si>
  <si>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</si>
  <si>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</si>
  <si>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</si>
  <si>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</si>
  <si>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</si>
  <si>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</si>
  <si>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</si>
  <si>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</si>
  <si>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</si>
  <si>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</si>
  <si>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</si>
  <si>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</si>
  <si>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</si>
  <si>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</si>
  <si>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</si>
  <si>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</si>
  <si>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</si>
  <si>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</si>
  <si>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</si>
  <si>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</si>
  <si>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</si>
  <si>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</si>
  <si>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</si>
  <si>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</si>
  <si>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</si>
  <si>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</si>
  <si>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</si>
  <si>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</si>
  <si>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</si>
  <si>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</si>
  <si>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</si>
  <si>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</si>
  <si>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</si>
  <si>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</si>
  <si>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</si>
  <si>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</si>
  <si>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</si>
  <si>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</si>
  <si>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</si>
  <si>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</si>
  <si>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</si>
  <si>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</si>
  <si>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</si>
  <si>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</si>
  <si>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</si>
  <si>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</si>
  <si>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</si>
  <si>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</si>
  <si>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</si>
  <si>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</si>
  <si>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</si>
  <si>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</si>
  <si>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</si>
  <si>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</si>
  <si>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</si>
  <si>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</si>
  <si>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</si>
  <si>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</si>
  <si>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</si>
  <si>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</si>
  <si>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</si>
  <si>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</si>
  <si>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</si>
  <si>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</si>
  <si>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</si>
  <si>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</si>
  <si>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</si>
  <si>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</si>
  <si>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</si>
  <si>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</si>
  <si>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</si>
  <si>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</si>
  <si>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</si>
  <si>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</si>
  <si>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</si>
  <si>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</si>
  <si>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</si>
  <si>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</si>
  <si>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</si>
  <si>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</si>
  <si>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</si>
  <si>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</si>
  <si>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</si>
  <si>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</si>
  <si>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</si>
  <si>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</si>
  <si>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</si>
  <si>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</si>
  <si>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</si>
  <si>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</si>
  <si>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</si>
  <si>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</si>
  <si>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</si>
  <si>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</si>
  <si>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</si>
  <si>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</si>
  <si>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</si>
  <si>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</si>
  <si>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</si>
  <si>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</si>
  <si>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</si>
  <si>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</si>
  <si>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</si>
  <si>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</si>
  <si>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</si>
  <si>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</si>
  <si>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</si>
  <si>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</si>
  <si>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</si>
  <si>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</si>
  <si>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</si>
  <si>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</si>
  <si>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</si>
  <si>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</si>
  <si>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</si>
  <si>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</si>
  <si>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</si>
  <si>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</si>
  <si>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</si>
  <si>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</si>
  <si>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</si>
  <si>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</si>
  <si>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</si>
  <si>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</si>
  <si>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</si>
  <si>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</si>
  <si>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</si>
  <si>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</si>
  <si>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</si>
  <si>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</si>
  <si>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</si>
  <si>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</si>
  <si>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</si>
  <si>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</si>
  <si>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</si>
  <si>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</si>
  <si>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</si>
  <si>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</si>
  <si>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</si>
  <si>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</si>
  <si>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</si>
  <si>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</si>
  <si>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</si>
  <si>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</si>
  <si>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</si>
  <si>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</si>
  <si>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</si>
  <si>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</si>
  <si>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</si>
  <si>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</si>
  <si>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</si>
  <si>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</si>
  <si>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</si>
  <si>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</si>
  <si>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</si>
  <si>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</si>
  <si>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</si>
  <si>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</si>
  <si>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</si>
  <si>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</si>
  <si>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</si>
  <si>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</si>
  <si>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</si>
  <si>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</si>
  <si>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</si>
  <si>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</si>
  <si>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</si>
  <si>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</si>
  <si>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</si>
  <si>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</si>
  <si>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</si>
  <si>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</si>
  <si>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</si>
  <si>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</si>
  <si>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</si>
  <si>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</si>
  <si>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</si>
  <si>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</si>
  <si>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</si>
  <si>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</si>
  <si>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</si>
  <si>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</si>
  <si>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</si>
  <si>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</si>
  <si>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</si>
  <si>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</si>
  <si>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</si>
  <si>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</si>
  <si>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</si>
  <si>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</si>
  <si>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</si>
  <si>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</si>
  <si>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</si>
  <si>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</si>
  <si>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</si>
  <si>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</si>
  <si>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</si>
  <si>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</si>
  <si>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</si>
  <si>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</si>
  <si>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</si>
  <si>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</si>
  <si>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</si>
  <si>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</si>
  <si>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</si>
  <si>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</si>
  <si>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</si>
  <si>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</si>
  <si>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</si>
  <si>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</si>
  <si>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</si>
  <si>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</si>
  <si>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</si>
  <si>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</si>
  <si>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</si>
  <si>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</si>
  <si>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</si>
  <si>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</si>
  <si>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</si>
  <si>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</si>
  <si>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</si>
  <si>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</si>
  <si>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</si>
  <si>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</si>
  <si>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</si>
  <si>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</si>
  <si>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</si>
  <si>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</si>
  <si>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</si>
  <si>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</si>
  <si>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</si>
  <si>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</si>
  <si>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</si>
  <si>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</si>
  <si>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</si>
  <si>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</si>
  <si>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</si>
  <si>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</si>
  <si>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</si>
  <si>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</si>
  <si>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</si>
  <si>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</si>
  <si>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</si>
  <si>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</si>
  <si>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</si>
  <si>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</si>
  <si>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</si>
  <si>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</si>
  <si>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</si>
  <si>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</si>
  <si>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</si>
  <si>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</si>
  <si>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</si>
  <si>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</si>
  <si>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</si>
  <si>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</si>
  <si>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</si>
  <si>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</si>
  <si>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</si>
  <si>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</si>
  <si>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</si>
  <si>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</si>
  <si>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</si>
  <si>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</si>
  <si>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</si>
  <si>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</si>
  <si>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</si>
  <si>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</si>
  <si>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</si>
  <si>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</si>
  <si>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</si>
  <si>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</si>
  <si>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</si>
  <si>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</si>
  <si>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</si>
  <si>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</si>
  <si>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</si>
  <si>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</si>
  <si>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</si>
  <si>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</si>
  <si>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</si>
  <si>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</si>
  <si>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</si>
  <si>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</si>
  <si>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</si>
  <si>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</si>
  <si>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</si>
  <si>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</si>
  <si>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</si>
  <si>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</si>
  <si>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</si>
  <si>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</si>
  <si>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</si>
  <si>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</si>
  <si>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</si>
  <si>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</si>
  <si>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</si>
  <si>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</si>
  <si>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</si>
  <si>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</si>
  <si>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</si>
  <si>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</si>
  <si>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</si>
  <si>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</si>
  <si>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</si>
  <si>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</si>
  <si>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</si>
  <si>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</si>
  <si>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</si>
  <si>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</si>
  <si>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</si>
  <si>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</si>
  <si>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</si>
  <si>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</si>
  <si>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</si>
  <si>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</si>
  <si>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</si>
  <si>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</si>
  <si>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</si>
  <si>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</si>
  <si>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</si>
  <si>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</si>
  <si>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</si>
  <si>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</si>
  <si>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</si>
  <si>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</si>
  <si>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</si>
  <si>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</si>
  <si>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</si>
  <si>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</si>
  <si>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</si>
  <si>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</si>
  <si>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</si>
  <si>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</si>
  <si>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</si>
  <si>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</si>
  <si>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</si>
  <si>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</si>
  <si>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</si>
  <si>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</si>
  <si>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</si>
  <si>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</si>
  <si>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</si>
  <si>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</si>
  <si>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</si>
  <si>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</si>
  <si>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</si>
  <si>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</si>
  <si>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</si>
  <si>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</si>
  <si>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</si>
  <si>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</si>
  <si>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</si>
  <si>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</si>
  <si>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</si>
  <si>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</si>
  <si>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</si>
  <si>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</si>
  <si>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</si>
  <si>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</si>
  <si>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</si>
  <si>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</si>
  <si>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</si>
  <si>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</si>
  <si>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</si>
  <si>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</si>
  <si>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</si>
  <si>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</si>
  <si>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</si>
  <si>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</si>
  <si>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</si>
  <si>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</si>
  <si>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</si>
  <si>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</si>
  <si>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</si>
  <si>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</si>
  <si>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</si>
  <si>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</si>
  <si>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</si>
  <si>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</si>
  <si>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</si>
  <si>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</si>
  <si>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</si>
  <si>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</si>
  <si>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</si>
  <si>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</si>
  <si>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</si>
  <si>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</si>
  <si>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</si>
  <si>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</si>
  <si>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</si>
  <si>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</si>
  <si>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</si>
  <si>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</si>
  <si>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</si>
  <si>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</si>
  <si>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</si>
  <si>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</si>
  <si>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</si>
  <si>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</si>
  <si>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</si>
  <si>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</si>
  <si>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</si>
  <si>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</si>
  <si>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</si>
  <si>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</si>
  <si>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</si>
  <si>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</si>
  <si>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</si>
  <si>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</si>
  <si>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</si>
  <si>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</si>
  <si>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</si>
  <si>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</si>
  <si>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</si>
  <si>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</si>
  <si>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</si>
  <si>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</si>
  <si>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</si>
  <si>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</si>
  <si>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</si>
  <si>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</si>
  <si>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</si>
  <si>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</si>
  <si>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</si>
  <si>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</si>
  <si>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</si>
  <si>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</si>
  <si>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</si>
  <si>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</si>
  <si>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</si>
  <si>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</si>
  <si>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</si>
  <si>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</si>
  <si>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</si>
  <si>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</si>
  <si>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</si>
  <si>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</si>
  <si>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</si>
  <si>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</si>
  <si>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</si>
  <si>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</si>
  <si>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</si>
  <si>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</si>
  <si>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</si>
  <si>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</si>
  <si>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</si>
  <si>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</si>
  <si>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</si>
  <si>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</si>
  <si>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</si>
  <si>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</si>
  <si>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</si>
  <si>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</si>
  <si>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</si>
  <si>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</si>
  <si>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</si>
  <si>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</si>
  <si>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</si>
  <si>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</si>
  <si>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</si>
  <si>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</si>
  <si>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</si>
  <si>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</si>
  <si>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</si>
  <si>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</si>
  <si>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</si>
  <si>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</si>
  <si>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</si>
  <si>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</si>
  <si>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</si>
  <si>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</si>
  <si>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</si>
  <si>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</si>
  <si>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</si>
  <si>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</si>
  <si>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</si>
  <si>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</si>
  <si>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</si>
  <si>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</si>
  <si>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</si>
  <si>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</si>
  <si>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</si>
  <si>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</si>
  <si>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</si>
  <si>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</si>
  <si>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</si>
  <si>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</si>
  <si>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</si>
  <si>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</si>
  <si>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</si>
  <si>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</si>
  <si>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</si>
  <si>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</si>
  <si>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</si>
  <si>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</si>
  <si>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</si>
  <si>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</si>
  <si>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</si>
  <si>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</si>
  <si>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</si>
  <si>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</si>
  <si>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</si>
  <si>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</si>
  <si>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</si>
  <si>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</si>
  <si>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</si>
  <si>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</si>
  <si>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</si>
  <si>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</si>
  <si>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</si>
  <si>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</si>
  <si>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</si>
  <si>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</si>
  <si>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</si>
  <si>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</si>
  <si>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</si>
  <si>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</si>
  <si>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</si>
  <si>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</si>
  <si>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</si>
  <si>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</si>
  <si>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</si>
  <si>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</si>
  <si>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</si>
  <si>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</si>
  <si>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</si>
  <si>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</si>
  <si>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</si>
  <si>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</si>
  <si>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</si>
  <si>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</si>
  <si>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</si>
  <si>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</si>
  <si>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</si>
  <si>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</si>
  <si>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</si>
  <si>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</si>
  <si>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</si>
  <si>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</si>
  <si>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</si>
  <si>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</si>
  <si>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</si>
  <si>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</si>
  <si>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</si>
  <si>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</si>
  <si>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</si>
  <si>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</si>
  <si>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</si>
  <si>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</si>
  <si>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</si>
  <si>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</si>
  <si>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</si>
  <si>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</si>
  <si>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</si>
  <si>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</si>
  <si>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</si>
  <si>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</si>
  <si>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</si>
  <si>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</si>
  <si>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</si>
  <si>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</si>
  <si>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</si>
  <si>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</si>
  <si>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</si>
  <si>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</si>
  <si>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</si>
  <si>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</si>
  <si>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</si>
  <si>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</si>
  <si>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</si>
  <si>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</si>
  <si>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</si>
  <si>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</si>
  <si>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</si>
  <si>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</si>
  <si>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</si>
  <si>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</si>
  <si>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</si>
  <si>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</si>
  <si>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华鑫国际信托有限公司</t>
    <phoneticPr fontId="6" type="noConversion"/>
  </si>
  <si>
    <t>抵押</t>
  </si>
  <si>
    <t>房地产抵押价值</t>
  </si>
  <si>
    <t>北京市</t>
  </si>
  <si>
    <t>企业</t>
  </si>
  <si>
    <t>出让</t>
  </si>
  <si>
    <t>办公用房、厂房</t>
    <phoneticPr fontId="6" type="noConversion"/>
  </si>
  <si>
    <r>
      <rPr>
        <sz val="12"/>
        <color theme="9" tint="-0.249977111117893"/>
        <rFont val="宋体"/>
        <family val="3"/>
        <charset val="134"/>
      </rPr>
      <t>办公用房、厂房</t>
    </r>
    <r>
      <rPr>
        <sz val="12"/>
        <color theme="9" tint="-0.249977111117893"/>
        <rFont val="Arial"/>
        <family val="2"/>
      </rPr>
      <t>34.78</t>
    </r>
    <r>
      <rPr>
        <sz val="12"/>
        <color theme="9" tint="-0.249977111117893"/>
        <rFont val="宋体"/>
        <family val="3"/>
        <charset val="134"/>
      </rPr>
      <t>年</t>
    </r>
    <phoneticPr fontId="6" type="noConversion"/>
  </si>
  <si>
    <t>是</t>
  </si>
  <si>
    <t>《不动产权证书》</t>
  </si>
  <si>
    <t>复印件</t>
  </si>
  <si>
    <t>《不动产登记证明》</t>
    <phoneticPr fontId="87" type="noConversion"/>
  </si>
  <si>
    <t>全部</t>
    <phoneticPr fontId="6" type="noConversion"/>
  </si>
  <si>
    <t>工业项目</t>
  </si>
  <si>
    <t>现房</t>
  </si>
  <si>
    <t>通路</t>
  </si>
  <si>
    <t>通电</t>
  </si>
  <si>
    <t>通讯</t>
  </si>
  <si>
    <t>通上水</t>
  </si>
  <si>
    <t>通下水</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</si>
  <si>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</si>
  <si>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</si>
  <si>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</si>
  <si>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地上</t>
  </si>
  <si>
    <t>办公楼</t>
  </si>
  <si>
    <t>标准厂房</t>
  </si>
  <si>
    <t>数据中心</t>
  </si>
  <si>
    <t>数据中心</t>
    <phoneticPr fontId="16" type="noConversion"/>
  </si>
  <si>
    <t>办公楼</t>
    <phoneticPr fontId="7" type="noConversion"/>
  </si>
  <si>
    <t>厂房</t>
    <phoneticPr fontId="7" type="noConversion"/>
  </si>
  <si>
    <t>数据中心</t>
    <phoneticPr fontId="7" type="noConversion"/>
  </si>
  <si>
    <t>成新度</t>
  </si>
  <si>
    <t>押一</t>
  </si>
  <si>
    <t>厂房</t>
  </si>
  <si>
    <t>按租金收入计税</t>
  </si>
  <si>
    <t>砖混</t>
  </si>
  <si>
    <t>非生产用房</t>
  </si>
  <si>
    <t>否</t>
  </si>
  <si>
    <t>收益法 (元)办公楼</t>
    <phoneticPr fontId="16" type="noConversion"/>
  </si>
  <si>
    <t>收益法 (元)厂房</t>
    <phoneticPr fontId="16" type="noConversion"/>
  </si>
  <si>
    <t>收益法 (元）数据中心</t>
    <phoneticPr fontId="16" type="noConversion"/>
  </si>
  <si>
    <t>工业用地</t>
  </si>
  <si>
    <t>六通一平</t>
  </si>
  <si>
    <t>缺少</t>
  </si>
  <si>
    <t>通热</t>
  </si>
  <si>
    <t>按公示增长率计算</t>
  </si>
  <si>
    <t>容积率修正</t>
  </si>
  <si>
    <t>未包含在土地购买价格中</t>
  </si>
  <si>
    <t>全部缴纳</t>
  </si>
  <si>
    <t>已包含在土地取得成本中</t>
  </si>
  <si>
    <t>较好</t>
  </si>
  <si>
    <t>一般</t>
  </si>
  <si>
    <t>月租</t>
    <phoneticPr fontId="143" type="noConversion"/>
  </si>
  <si>
    <t>较差</t>
  </si>
  <si>
    <t>1幢</t>
    <phoneticPr fontId="143" type="noConversion"/>
  </si>
  <si>
    <t>2幢</t>
    <phoneticPr fontId="143" type="noConversion"/>
  </si>
  <si>
    <t>3幢</t>
    <phoneticPr fontId="143" type="noConversion"/>
  </si>
  <si>
    <t>建筑面积</t>
    <phoneticPr fontId="143" type="noConversion"/>
  </si>
  <si>
    <t>单价</t>
    <phoneticPr fontId="143" type="noConversion"/>
  </si>
  <si>
    <t>总价</t>
    <phoneticPr fontId="143" type="noConversion"/>
  </si>
  <si>
    <t>合计</t>
    <phoneticPr fontId="143" type="noConversion"/>
  </si>
  <si>
    <t>——</t>
    <phoneticPr fontId="143" type="noConversion"/>
  </si>
  <si>
    <t>楼号</t>
    <phoneticPr fontId="143" type="noConversion"/>
  </si>
  <si>
    <t>序号</t>
    <phoneticPr fontId="143" type="noConversion"/>
  </si>
  <si>
    <t>2018-1-0506-P01DYGJ1</t>
    <phoneticPr fontId="6" type="noConversion"/>
  </si>
  <si>
    <t>王鹏</t>
  </si>
  <si>
    <t>欧红伟</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</si>
  <si>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0000005</t>
    </r>
    <r>
      <rPr>
        <sz val="12"/>
        <color theme="9" tint="-0.249977111117893"/>
        <rFont val="宋体"/>
        <family val="3"/>
        <charset val="134"/>
      </rPr>
      <t>号、京（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0000006</t>
    </r>
    <r>
      <rPr>
        <sz val="12"/>
        <color theme="9" tint="-0.249977111117893"/>
        <rFont val="宋体"/>
        <family val="3"/>
        <charset val="134"/>
      </rPr>
      <t>号</t>
    </r>
    <r>
      <rPr>
        <sz val="12"/>
        <color theme="9" tint="-0.249977111117893"/>
        <rFont val="Arial"/>
        <family val="2"/>
      </rPr>
      <t>]</t>
    </r>
    <phoneticPr fontId="6" type="noConversion"/>
  </si>
  <si>
    <t>直线</t>
    <phoneticPr fontId="143" type="noConversion"/>
  </si>
  <si>
    <t>观察</t>
    <phoneticPr fontId="143" type="noConversion"/>
  </si>
  <si>
    <t>综合</t>
    <phoneticPr fontId="143" type="noConversion"/>
  </si>
  <si>
    <t>燃气</t>
  </si>
  <si>
    <t>估价对象位于天竺空港工业区，园区建设成熟度较好，产业集聚程度较好</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</si>
  <si>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</si>
  <si>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</si>
  <si>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估价对象所在区域基础设施水平为六通</t>
    <phoneticPr fontId="25" type="noConversion"/>
  </si>
  <si>
    <t>宗地形状较规则，对宗地利用无不良影响</t>
    <phoneticPr fontId="79" type="noConversion"/>
  </si>
  <si>
    <t>该园区内无污染型企业，绿化情况一般，卫生条件一般，整体环境状况一般</t>
    <phoneticPr fontId="41" type="noConversion"/>
  </si>
  <si>
    <t>成本法（办公）</t>
  </si>
  <si>
    <t>成本法（办公）</t>
    <phoneticPr fontId="16" type="noConversion"/>
  </si>
  <si>
    <t>收益法（办公）</t>
  </si>
  <si>
    <t>收益法（办公）</t>
    <phoneticPr fontId="16" type="noConversion"/>
  </si>
  <si>
    <t>成本比率</t>
  </si>
  <si>
    <t>项目局部</t>
  </si>
  <si>
    <t>成本法（厂房）</t>
  </si>
  <si>
    <t>成本法（厂房）</t>
    <phoneticPr fontId="16" type="noConversion"/>
  </si>
  <si>
    <t>收益法（厂房）</t>
  </si>
  <si>
    <t>收益法（厂房）</t>
    <phoneticPr fontId="16" type="noConversion"/>
  </si>
  <si>
    <t>成本法（数据）</t>
  </si>
  <si>
    <t>成本法（数据）</t>
    <phoneticPr fontId="16" type="noConversion"/>
  </si>
  <si>
    <t>收益法（数据）</t>
  </si>
  <si>
    <t>收益法（数据）</t>
    <phoneticPr fontId="16" type="noConversion"/>
  </si>
  <si>
    <r>
      <t>2</t>
    </r>
    <r>
      <rPr>
        <sz val="11"/>
        <color theme="1"/>
        <rFont val="宋体"/>
        <family val="3"/>
        <charset val="134"/>
        <scheme val="minor"/>
      </rPr>
      <t>017年</t>
    </r>
    <phoneticPr fontId="143" type="noConversion"/>
  </si>
  <si>
    <t>单价</t>
    <phoneticPr fontId="143" type="noConversion"/>
  </si>
  <si>
    <t>总价</t>
    <phoneticPr fontId="143" type="noConversion"/>
  </si>
  <si>
    <t>——</t>
    <phoneticPr fontId="143" type="noConversion"/>
  </si>
  <si>
    <t>已注销</t>
  </si>
  <si>
    <t>建筑面积</t>
  </si>
  <si>
    <t>分摊土地面积</t>
  </si>
  <si>
    <t>建筑物价值</t>
  </si>
  <si>
    <t>出让国有建设用地使用权价值</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</si>
  <si>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0013563</t>
    </r>
    <r>
      <rPr>
        <sz val="12"/>
        <color theme="9" tint="-0.249977111117893"/>
        <rFont val="宋体"/>
        <family val="3"/>
        <charset val="134"/>
      </rPr>
      <t>号、京（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0013643</t>
    </r>
    <r>
      <rPr>
        <sz val="12"/>
        <color theme="9" tint="-0.249977111117893"/>
        <rFont val="宋体"/>
        <family val="3"/>
        <charset val="134"/>
      </rPr>
      <t>号</t>
    </r>
    <r>
      <rPr>
        <sz val="12"/>
        <color theme="9" tint="-0.249977111117893"/>
        <rFont val="Arial"/>
        <family val="2"/>
      </rPr>
      <t>]</t>
    </r>
    <phoneticPr fontId="6" type="noConversion"/>
  </si>
  <si>
    <t>北京斐瑞康通信技术有限公司</t>
    <phoneticPr fontId="6" type="noConversion"/>
  </si>
  <si>
    <r>
      <rPr>
        <sz val="12"/>
        <color theme="9" tint="-0.249977111117893"/>
        <rFont val="宋体"/>
        <family val="3"/>
        <charset val="134"/>
      </rPr>
      <t>顺义区竺园路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幢全部</t>
    </r>
    <phoneticPr fontId="6" type="noConversion"/>
  </si>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</sst>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10" fontId="0" fillId="0" borderId="0" xfId="0" applyNumberFormat="1">
      <alignment vertical="center"/>
    </xf>
    <xf numFmtId="0" fontId="99" fillId="0" borderId="58" xfId="0" applyFont="1" applyFill="1" applyBorder="1" applyAlignment="1">
      <alignment horizontal="center" vertical="center"/>
    </xf>
    <xf numFmtId="9" fontId="0" fillId="0" borderId="0" xfId="0" applyNumberForma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56"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5"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9</xdr:row>
      <xdr:rowOff>28575</xdr:rowOff>
    </xdr:from>
    <xdr:to>
      <xdr:col>16</xdr:col>
      <xdr:colOff>504335</xdr:colOff>
      <xdr:row>19</xdr:row>
      <xdr:rowOff>47408</xdr:rowOff>
    </xdr:to>
    <xdr:pic>
      <xdr:nvPicPr>
        <xdr:cNvPr id="2" name="图片 1"/>
        <xdr:cNvPicPr>
          <a:picLocks noChangeAspect="1"/>
        </xdr:cNvPicPr>
      </xdr:nvPicPr>
      <xdr:blipFill>
        <a:blip xmlns:r="http://schemas.openxmlformats.org/officeDocument/2006/relationships" r:embed="rId1"/>
        <a:stretch>
          <a:fillRect/>
        </a:stretch>
      </xdr:blipFill>
      <xdr:spPr>
        <a:xfrm>
          <a:off x="7753350" y="1571625"/>
          <a:ext cx="3923810" cy="1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9526</xdr:rowOff>
    </xdr:from>
    <xdr:to>
      <xdr:col>8</xdr:col>
      <xdr:colOff>561975</xdr:colOff>
      <xdr:row>28</xdr:row>
      <xdr:rowOff>56172</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9526"/>
          <a:ext cx="5886450" cy="4847246"/>
        </a:xfrm>
        <a:prstGeom prst="rect">
          <a:avLst/>
        </a:prstGeom>
      </xdr:spPr>
    </xdr:pic>
    <xdr:clientData/>
  </xdr:twoCellAnchor>
  <xdr:twoCellAnchor editAs="oneCell">
    <xdr:from>
      <xdr:col>0</xdr:col>
      <xdr:colOff>323850</xdr:colOff>
      <xdr:row>28</xdr:row>
      <xdr:rowOff>161925</xdr:rowOff>
    </xdr:from>
    <xdr:to>
      <xdr:col>13</xdr:col>
      <xdr:colOff>189403</xdr:colOff>
      <xdr:row>38</xdr:row>
      <xdr:rowOff>142663</xdr:rowOff>
    </xdr:to>
    <xdr:pic>
      <xdr:nvPicPr>
        <xdr:cNvPr id="3" name="图片 2"/>
        <xdr:cNvPicPr>
          <a:picLocks noChangeAspect="1"/>
        </xdr:cNvPicPr>
      </xdr:nvPicPr>
      <xdr:blipFill>
        <a:blip xmlns:r="http://schemas.openxmlformats.org/officeDocument/2006/relationships" r:embed="rId2"/>
        <a:stretch>
          <a:fillRect/>
        </a:stretch>
      </xdr:blipFill>
      <xdr:spPr>
        <a:xfrm>
          <a:off x="323850" y="4962525"/>
          <a:ext cx="8780953" cy="1695238"/>
        </a:xfrm>
        <a:prstGeom prst="rect">
          <a:avLst/>
        </a:prstGeom>
      </xdr:spPr>
    </xdr:pic>
    <xdr:clientData/>
  </xdr:twoCellAnchor>
  <xdr:twoCellAnchor editAs="oneCell">
    <xdr:from>
      <xdr:col>0</xdr:col>
      <xdr:colOff>304800</xdr:colOff>
      <xdr:row>38</xdr:row>
      <xdr:rowOff>85725</xdr:rowOff>
    </xdr:from>
    <xdr:to>
      <xdr:col>13</xdr:col>
      <xdr:colOff>313210</xdr:colOff>
      <xdr:row>68</xdr:row>
      <xdr:rowOff>18416</xdr:rowOff>
    </xdr:to>
    <xdr:pic>
      <xdr:nvPicPr>
        <xdr:cNvPr id="4" name="图片 3"/>
        <xdr:cNvPicPr>
          <a:picLocks noChangeAspect="1"/>
        </xdr:cNvPicPr>
      </xdr:nvPicPr>
      <xdr:blipFill>
        <a:blip xmlns:r="http://schemas.openxmlformats.org/officeDocument/2006/relationships" r:embed="rId3"/>
        <a:stretch>
          <a:fillRect/>
        </a:stretch>
      </xdr:blipFill>
      <xdr:spPr>
        <a:xfrm>
          <a:off x="304800" y="6600825"/>
          <a:ext cx="8923810" cy="5076191"/>
        </a:xfrm>
        <a:prstGeom prst="rect">
          <a:avLst/>
        </a:prstGeom>
      </xdr:spPr>
    </xdr:pic>
    <xdr:clientData/>
  </xdr:twoCellAnchor>
  <xdr:twoCellAnchor editAs="oneCell">
    <xdr:from>
      <xdr:col>0</xdr:col>
      <xdr:colOff>180975</xdr:colOff>
      <xdr:row>68</xdr:row>
      <xdr:rowOff>152400</xdr:rowOff>
    </xdr:from>
    <xdr:to>
      <xdr:col>14</xdr:col>
      <xdr:colOff>265490</xdr:colOff>
      <xdr:row>75</xdr:row>
      <xdr:rowOff>161774</xdr:rowOff>
    </xdr:to>
    <xdr:pic>
      <xdr:nvPicPr>
        <xdr:cNvPr id="5" name="图片 4"/>
        <xdr:cNvPicPr>
          <a:picLocks noChangeAspect="1"/>
        </xdr:cNvPicPr>
      </xdr:nvPicPr>
      <xdr:blipFill>
        <a:blip xmlns:r="http://schemas.openxmlformats.org/officeDocument/2006/relationships" r:embed="rId4"/>
        <a:stretch>
          <a:fillRect/>
        </a:stretch>
      </xdr:blipFill>
      <xdr:spPr>
        <a:xfrm>
          <a:off x="180975" y="11811000"/>
          <a:ext cx="9685715" cy="1209524"/>
        </a:xfrm>
        <a:prstGeom prst="rect">
          <a:avLst/>
        </a:prstGeom>
      </xdr:spPr>
    </xdr:pic>
    <xdr:clientData/>
  </xdr:twoCellAnchor>
  <xdr:twoCellAnchor editAs="oneCell">
    <xdr:from>
      <xdr:col>0</xdr:col>
      <xdr:colOff>247650</xdr:colOff>
      <xdr:row>75</xdr:row>
      <xdr:rowOff>85725</xdr:rowOff>
    </xdr:from>
    <xdr:to>
      <xdr:col>14</xdr:col>
      <xdr:colOff>227403</xdr:colOff>
      <xdr:row>83</xdr:row>
      <xdr:rowOff>114125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44475"/>
          <a:ext cx="9580953" cy="1400000"/>
        </a:xfrm>
        <a:prstGeom prst="rect">
          <a:avLst/>
        </a:prstGeom>
      </xdr:spPr>
    </xdr:pic>
    <xdr:clientData/>
  </xdr:twoCellAnchor>
  <xdr:twoCellAnchor editAs="oneCell">
    <xdr:from>
      <xdr:col>0</xdr:col>
      <xdr:colOff>381000</xdr:colOff>
      <xdr:row>83</xdr:row>
      <xdr:rowOff>152400</xdr:rowOff>
    </xdr:from>
    <xdr:to>
      <xdr:col>14</xdr:col>
      <xdr:colOff>17896</xdr:colOff>
      <xdr:row>90</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0" y="14382750"/>
          <a:ext cx="9238096"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北京市顺义区竺园路6号1、2、3幢全部房地产抵押价值预评估</v>
      </c>
    </row>
    <row r="3" spans="1:2" s="1596" customFormat="1">
      <c r="A3" s="1594" t="s">
        <v>1221</v>
      </c>
      <c r="B3" s="1595" t="str">
        <f>'预评函-封皮'!B40</f>
        <v>华鑫国际信托有限公司</v>
      </c>
    </row>
    <row r="4" spans="1:2" s="1596" customFormat="1">
      <c r="A4" s="1594" t="s">
        <v>1222</v>
      </c>
      <c r="B4" s="1595" t="str">
        <f ca="1">'预评函-封皮'!B46</f>
        <v>王鹏（注册号：1120050019)、欧红伟（注册号：1120000080)</v>
      </c>
    </row>
    <row r="5" spans="1:2" s="1590" customFormat="1" ht="15" thickBot="1">
      <c r="A5" s="1597" t="s">
        <v>1223</v>
      </c>
      <c r="B5" s="1598" t="str">
        <f>'预评函-封皮'!B49</f>
        <v>康正预评字2018-1-0506-P01DYGJ1号</v>
      </c>
    </row>
    <row r="6" spans="1:2" s="1593" customFormat="1" ht="15" thickTop="1">
      <c r="A6" s="1591" t="s">
        <v>1224</v>
      </c>
      <c r="B6" s="1592" t="str">
        <f>'预评函-1'!A4</f>
        <v>受贵公司委托，我公司对北京市顺义区竺园路6号1、2、3幢全部房地产抵押价值进行了预评估。</v>
      </c>
    </row>
    <row r="7" spans="1:2" s="1596" customFormat="1">
      <c r="A7" s="1594" t="s">
        <v>1264</v>
      </c>
      <c r="B7" s="1595" t="str">
        <f>'预评函-1'!A7</f>
        <v>估价对象为北京市顺义区竺园路6号1、2、3幢全部房地产，为北京斐瑞康通信技术有限公司所有。根据《不动产权证书》[京（2017）顺不动产权第0000005号、京（2017）顺不动产权第0000006号]，估价对象（分摊）出让国有建设用地使用权面积为20000平方米。根据《不动产权证书》[京（2017）顺不动产权第0013563号、京（2017）顺不动产权第0013643号]，估价对象建筑面积为21402.85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竺园路6号1、2、3幢全部房地产,属北京斐瑞康通信技术有限公司开发建设的工业项目，该项目尚在开发建设中。根据《不动产权证书》[京（2017）顺不动产权第0000005号、京（2017）顺不动产权第0000006号]，估价对象（分摊）出让国有建设用地使用权面积为20000平方米。根据《不动产权证书》[京（2017）顺不动产权第0013563号、京（2017）顺不动产权第0013643号]，估价对象规划建筑面积为21402.85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北京斐瑞康通信技术有限公司拟使用北京市顺义区竺园路6号1、2、3幢全部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2018年7月13日（评估专业人员实地查勘之日）</v>
      </c>
    </row>
    <row r="13" spans="1:2" s="1596" customFormat="1">
      <c r="A13" s="1594" t="s">
        <v>1227</v>
      </c>
      <c r="B13" s="1595" t="str">
        <f>'预评函-1'!A18</f>
        <v>本次估价的“房地产价值”是指在正常市场情况下，在价值时点2018年7月13日，估价对象规划用途为办公用房、厂房，土地取得方式为出让，出让国有建设用地使用权剩余土地使用年限为办公用房、厂房34.78年，假定未设立法定优先受偿款下的房地产市场价值。</v>
      </c>
    </row>
    <row r="14" spans="1:2" s="1596" customFormat="1">
      <c r="A14" s="1594" t="s">
        <v>1228</v>
      </c>
      <c r="B14" s="1595" t="str">
        <f>'预评函-1'!A19</f>
        <v>其中，“出让国有建设用地使用权价值”是指估价对象用途为办公用房、厂房，实际开发程度为宗地红线外“六通”（即通路、通电、通讯、通上水、通下水、通热）、红线内场地平整条件下，剩余土地使用年限为办公用房、厂房34.78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5489</v>
      </c>
    </row>
    <row r="21" spans="1:2" s="1596" customFormat="1">
      <c r="A21" s="1594" t="s">
        <v>1235</v>
      </c>
      <c r="B21" s="1595">
        <f ca="1">'预评函-2'!D7</f>
        <v>13449</v>
      </c>
    </row>
    <row r="22" spans="1:2" s="1596" customFormat="1">
      <c r="A22" s="1594" t="s">
        <v>1236</v>
      </c>
      <c r="B22" s="1595" t="str">
        <f ca="1">'预评函-2'!D6</f>
        <v>伍仟肆佰捌拾玖万元整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5489</v>
      </c>
    </row>
    <row r="35" spans="1:2" s="1596" customFormat="1">
      <c r="A35" s="1594" t="s">
        <v>1275</v>
      </c>
      <c r="B35" s="1595">
        <f ca="1">'预评函-2'!D18</f>
        <v>2565</v>
      </c>
    </row>
    <row r="36" spans="1:2" s="1596" customFormat="1">
      <c r="A36" s="1594" t="s">
        <v>1242</v>
      </c>
      <c r="B36" s="1595" t="str">
        <f ca="1">'预评函-2'!D17</f>
        <v>伍仟肆佰捌拾玖万元整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北京市顺义区竺园路6号1、2、3幢全部房地产</v>
      </c>
    </row>
    <row r="42" spans="1:2" s="1596" customFormat="1">
      <c r="A42" s="1594" t="s">
        <v>1288</v>
      </c>
      <c r="B42" s="1595" t="str">
        <f>'预评函-3'!B2</f>
        <v>建筑面积</v>
      </c>
    </row>
    <row r="43" spans="1:2" s="1596" customFormat="1">
      <c r="A43" s="1594" t="s">
        <v>1289</v>
      </c>
      <c r="B43" s="1595">
        <f>'预评函-3'!B4</f>
        <v>21402.85</v>
      </c>
    </row>
    <row r="44" spans="1:2" s="1596" customFormat="1">
      <c r="A44" s="1594" t="s">
        <v>1273</v>
      </c>
      <c r="B44" s="1595" t="str">
        <f>'预评函-3'!C2</f>
        <v>(分摊)土地面积</v>
      </c>
    </row>
    <row r="45" spans="1:2" s="1596" customFormat="1">
      <c r="A45" s="1594" t="s">
        <v>1245</v>
      </c>
      <c r="B45" s="1595">
        <f>'预评函-3'!C4</f>
        <v>20000</v>
      </c>
    </row>
    <row r="46" spans="1:2" s="1596" customFormat="1">
      <c r="A46" s="1594" t="s">
        <v>1271</v>
      </c>
      <c r="B46" s="1595" t="str">
        <f>'预评函-3'!D2</f>
        <v>出让国有建设用地使用权价值</v>
      </c>
    </row>
    <row r="47" spans="1:2" s="1596" customFormat="1">
      <c r="A47" s="1594" t="s">
        <v>1246</v>
      </c>
      <c r="B47" s="1595">
        <f ca="1">'预评函-3'!D4</f>
        <v>2042</v>
      </c>
    </row>
    <row r="48" spans="1:2" s="1596" customFormat="1">
      <c r="A48" s="1594" t="s">
        <v>1247</v>
      </c>
      <c r="B48" s="1595">
        <f ca="1">'预评函-3'!E4</f>
        <v>5003</v>
      </c>
    </row>
    <row r="49" spans="1:2" s="1596" customFormat="1">
      <c r="A49" s="1594" t="s">
        <v>1248</v>
      </c>
      <c r="B49" s="1595" t="str">
        <f ca="1">'预评函-3'!D5</f>
        <v>贰仟零肆拾贰万元整</v>
      </c>
    </row>
    <row r="50" spans="1:2" s="1596" customFormat="1">
      <c r="A50" s="1594" t="s">
        <v>1272</v>
      </c>
      <c r="B50" s="1595" t="str">
        <f>'预评函-3'!F2</f>
        <v>建筑物价值</v>
      </c>
    </row>
    <row r="51" spans="1:2" s="1596" customFormat="1">
      <c r="A51" s="1594" t="s">
        <v>1249</v>
      </c>
      <c r="B51" s="1595">
        <f ca="1">'预评函-3'!F4</f>
        <v>3447</v>
      </c>
    </row>
    <row r="52" spans="1:2" s="1596" customFormat="1">
      <c r="A52" s="1594" t="s">
        <v>1250</v>
      </c>
      <c r="B52" s="1595">
        <f ca="1">'预评函-3'!G4</f>
        <v>8446</v>
      </c>
    </row>
    <row r="53" spans="1:2" s="1596" customFormat="1">
      <c r="A53" s="1594" t="s">
        <v>1278</v>
      </c>
      <c r="B53" s="1595" t="str">
        <f ca="1">'预评函-3'!F5</f>
        <v>叁仟肆佰肆拾柒万元整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不动产权证书》复印件，截至价值时点，估价对象已设定抵押。上述抵押权设定日期为2017年12月21日，权利人为华鑫国际信托有限公司，权利范围为全部，权利价值为40000。</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3077</v>
      </c>
      <c r="C17" s="2018"/>
    </row>
    <row r="18" spans="1:3">
      <c r="A18" s="2017" t="s">
        <v>1767</v>
      </c>
      <c r="B18" s="2017" t="s">
        <v>3078</v>
      </c>
      <c r="C18" s="2018"/>
    </row>
    <row r="19" spans="1:3">
      <c r="A19" s="2017" t="s">
        <v>1768</v>
      </c>
      <c r="B19" s="2017" t="s">
        <v>3079</v>
      </c>
      <c r="C19" s="2018"/>
    </row>
    <row r="20" spans="1:3">
      <c r="A20" s="2017" t="s">
        <v>1769</v>
      </c>
      <c r="B20" s="2017" t="s">
        <v>3118</v>
      </c>
      <c r="C20" s="2018"/>
    </row>
    <row r="21" spans="1:3">
      <c r="A21" s="2017" t="s">
        <v>1770</v>
      </c>
      <c r="B21" s="2017" t="s">
        <v>3120</v>
      </c>
      <c r="C21" s="2018"/>
    </row>
    <row r="22" spans="1:3">
      <c r="A22" s="2017" t="s">
        <v>1771</v>
      </c>
      <c r="B22" s="2017" t="s">
        <v>3124</v>
      </c>
      <c r="C22" s="2018"/>
    </row>
    <row r="23" spans="1:3">
      <c r="A23" s="2017" t="s">
        <v>1772</v>
      </c>
      <c r="B23" s="2017" t="s">
        <v>3126</v>
      </c>
      <c r="C23" s="2018"/>
    </row>
    <row r="24" spans="1:3">
      <c r="A24" s="2017" t="s">
        <v>1773</v>
      </c>
      <c r="B24" s="2017" t="s">
        <v>3128</v>
      </c>
      <c r="C24" s="2018"/>
    </row>
    <row r="25" spans="1:3">
      <c r="A25" s="2017" t="s">
        <v>1774</v>
      </c>
      <c r="B25" s="2017" t="s">
        <v>3130</v>
      </c>
      <c r="C25" s="2018"/>
    </row>
    <row r="26" spans="1:3">
      <c r="A26" s="2017" t="s">
        <v>1775</v>
      </c>
      <c r="B26" s="2017" t="s">
        <v>757</v>
      </c>
      <c r="C26" s="2018"/>
    </row>
    <row r="27" spans="1:3">
      <c r="A27" s="2017" t="s">
        <v>3066</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斐瑞康通信技术有限公司拟使用北京市顺义区竺园路6号1、2、3幢全部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办公用房、厂房土地取得方式为出让，出让国有建设用地使用权剩余土地使用年限为XX年(多用途剩余年限尾数不同时，可只体现小数点后一位)，假定未设立法定优先受偿款下的房地产市场价值。</v>
      </c>
    </row>
    <row r="54" spans="1:4">
      <c r="A54" s="3036"/>
      <c r="B54" s="2025" t="s">
        <v>864</v>
      </c>
      <c r="C54" s="2022" t="s">
        <v>1281</v>
      </c>
    </row>
    <row r="55" spans="1:4">
      <c r="A55" s="3036"/>
      <c r="B55" s="2025" t="s">
        <v>865</v>
      </c>
      <c r="C55" s="2022" t="s">
        <v>1282</v>
      </c>
    </row>
    <row r="56" spans="1:4">
      <c r="A56" s="3036"/>
      <c r="B56" s="2025" t="s">
        <v>866</v>
      </c>
      <c r="C56" s="2022" t="s">
        <v>1286</v>
      </c>
    </row>
    <row r="57" spans="1:4">
      <c r="A57" s="303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7" sqref="I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1776</v>
      </c>
      <c r="B1" s="3045" t="str">
        <f>IF(B10="北京市","北京市",C10)&amp;F10&amp;IF('结果表（办公）'!G1="在建","出让国有建设用地使用权及在建建筑物",IF('结果表（办公）'!G1="土地","出让国有建设用地使用权",))&amp;B9&amp;"预评估"</f>
        <v>北京市顺义区竺园路6号1、2、3幢全部房地产抵押价值预评估</v>
      </c>
      <c r="C1" s="3046"/>
      <c r="D1" s="3046"/>
      <c r="E1" s="3046"/>
      <c r="F1" s="3046"/>
      <c r="G1" s="3046"/>
      <c r="H1" s="3046"/>
      <c r="I1" s="3047"/>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北京市顺义区竺园路6号1、2、3幢全部房地产抵押价值</v>
      </c>
    </row>
    <row r="2" spans="1:19" ht="18" customHeight="1">
      <c r="A2" s="2029" t="s">
        <v>1777</v>
      </c>
      <c r="B2" s="1042" t="s">
        <v>3103</v>
      </c>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北京市顺义区竺园路6号1、2、3幢全部房地产</v>
      </c>
    </row>
    <row r="3" spans="1:19" ht="18" customHeight="1">
      <c r="A3" s="2038" t="s">
        <v>1778</v>
      </c>
      <c r="B3" s="2039">
        <v>43294</v>
      </c>
      <c r="C3" s="2040" t="s">
        <v>1779</v>
      </c>
      <c r="D3" s="2039">
        <v>43294</v>
      </c>
      <c r="E3" s="2029"/>
      <c r="F3" s="2029"/>
      <c r="G3" s="2029"/>
      <c r="H3" s="2029"/>
      <c r="I3" s="2029"/>
      <c r="J3" s="2029"/>
      <c r="K3" s="2030"/>
      <c r="L3" s="2031"/>
      <c r="M3" s="2031"/>
      <c r="N3" s="2032"/>
      <c r="O3" s="2033"/>
      <c r="P3" s="2032"/>
      <c r="Q3" s="2032"/>
      <c r="R3" s="2032"/>
      <c r="S3" s="2034"/>
    </row>
    <row r="4" spans="1:19" ht="18" customHeight="1" thickBot="1">
      <c r="A4" s="2041" t="s">
        <v>1780</v>
      </c>
      <c r="B4" s="2042" t="s">
        <v>3104</v>
      </c>
      <c r="C4" s="1040">
        <f ca="1">SUMIF(注册房地产估价师,B4,估价师及机构信息!B3:B24)</f>
        <v>1120050019</v>
      </c>
      <c r="D4" s="2042" t="s">
        <v>3105</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王鹏（注册号：1120050019)、欧红伟（注册号：1120000080)</v>
      </c>
      <c r="L4" s="2031"/>
      <c r="M4" s="2031"/>
      <c r="N4" s="2032"/>
      <c r="O4" s="2033"/>
      <c r="P4" s="2032"/>
      <c r="Q4" s="2032"/>
      <c r="R4" s="2032"/>
      <c r="S4" s="2034"/>
    </row>
    <row r="5" spans="1:19" ht="18" customHeight="1" thickTop="1">
      <c r="A5" s="2047" t="s">
        <v>1781</v>
      </c>
      <c r="B5" s="2949" t="str">
        <f>B6</f>
        <v>华鑫国际信托有限公司</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0" t="s">
        <v>3039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50" t="s">
        <v>3141</v>
      </c>
      <c r="C7" s="2051"/>
      <c r="D7" s="2052"/>
      <c r="E7" s="2037"/>
      <c r="F7" s="2045"/>
      <c r="G7" s="2045"/>
      <c r="H7" s="2045"/>
      <c r="I7" s="2045"/>
      <c r="J7" s="2045"/>
      <c r="K7" s="2054"/>
      <c r="L7" s="2031"/>
      <c r="M7" s="2031"/>
      <c r="N7" s="2032"/>
      <c r="O7" s="2033"/>
      <c r="P7" s="2032"/>
      <c r="Q7" s="2032"/>
      <c r="R7" s="2032"/>
    </row>
    <row r="8" spans="1:19" ht="18" customHeight="1">
      <c r="A8" s="2050" t="s">
        <v>1784</v>
      </c>
      <c r="B8" s="2055" t="s">
        <v>3040</v>
      </c>
      <c r="C8" s="2056"/>
      <c r="D8" s="3048" t="s">
        <v>1785</v>
      </c>
      <c r="E8" s="2057" t="s">
        <v>3135</v>
      </c>
      <c r="F8" s="2058"/>
      <c r="G8" s="2029"/>
      <c r="H8" s="2029"/>
      <c r="I8" s="2029"/>
      <c r="J8" s="2045"/>
      <c r="K8" s="2046"/>
      <c r="L8" s="2031"/>
      <c r="M8" s="2031"/>
      <c r="N8" s="2032"/>
      <c r="O8" s="2033"/>
      <c r="P8" s="2032"/>
      <c r="Q8" s="2032"/>
      <c r="R8" s="2032"/>
    </row>
    <row r="9" spans="1:19" ht="18" customHeight="1" thickBot="1">
      <c r="A9" s="2043" t="s">
        <v>1786</v>
      </c>
      <c r="B9" s="2059" t="s">
        <v>3041</v>
      </c>
      <c r="C9" s="2060"/>
      <c r="D9" s="3049"/>
      <c r="E9" s="2059" t="s">
        <v>70</v>
      </c>
      <c r="F9" s="2061"/>
      <c r="G9" s="2062"/>
      <c r="H9" s="2062"/>
      <c r="I9" s="2062"/>
      <c r="J9" s="2045"/>
      <c r="K9" s="2054"/>
      <c r="L9" s="2031"/>
      <c r="M9" s="2031"/>
      <c r="N9" s="2032"/>
      <c r="O9" s="2033"/>
      <c r="P9" s="2032"/>
      <c r="Q9" s="2032"/>
      <c r="R9" s="2032"/>
    </row>
    <row r="10" spans="1:19" ht="18" customHeight="1" thickTop="1">
      <c r="A10" s="2063" t="s">
        <v>1787</v>
      </c>
      <c r="B10" s="2064" t="s">
        <v>3042</v>
      </c>
      <c r="C10" s="2065"/>
      <c r="D10" s="2049"/>
      <c r="E10" s="2066" t="s">
        <v>1788</v>
      </c>
      <c r="F10" s="2067" t="s">
        <v>3142</v>
      </c>
      <c r="G10" s="2068"/>
      <c r="H10" s="2069"/>
      <c r="I10" s="2049"/>
      <c r="J10" s="2045"/>
      <c r="K10" s="2054"/>
      <c r="L10" s="2031"/>
      <c r="M10" s="2031"/>
      <c r="N10" s="2032"/>
      <c r="O10" s="2033"/>
      <c r="P10" s="2032"/>
      <c r="Q10" s="2032"/>
      <c r="R10" s="2032"/>
    </row>
    <row r="11" spans="1:19" ht="18" customHeight="1">
      <c r="A11" s="2070" t="s">
        <v>1789</v>
      </c>
      <c r="B11" s="2071" t="s">
        <v>3043</v>
      </c>
      <c r="C11" s="2951" t="str">
        <f>B7</f>
        <v>北京斐瑞康通信技术有限公司</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3044</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c r="F13" s="2079"/>
      <c r="G13" s="2079"/>
      <c r="H13" s="2079"/>
      <c r="I13" s="1050">
        <v>55991</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34.78</v>
      </c>
      <c r="J15" s="2045"/>
      <c r="K15" s="2082"/>
      <c r="L15" s="2083"/>
      <c r="M15" s="2083"/>
      <c r="N15" s="2084"/>
      <c r="O15" s="2083"/>
      <c r="P15" s="2084"/>
      <c r="Q15" s="2032"/>
      <c r="R15" s="2032"/>
    </row>
    <row r="16" spans="1:19" ht="30.75" customHeight="1">
      <c r="A16" s="2066" t="s">
        <v>1801</v>
      </c>
      <c r="B16" s="3055" t="s">
        <v>3045</v>
      </c>
      <c r="C16" s="3056"/>
      <c r="D16" s="3057"/>
      <c r="E16" s="2085" t="s">
        <v>1802</v>
      </c>
      <c r="F16" s="3058" t="s">
        <v>3046</v>
      </c>
      <c r="G16" s="3059"/>
      <c r="H16" s="3059"/>
      <c r="I16" s="3060"/>
      <c r="J16" s="2032"/>
      <c r="K16" s="2082"/>
      <c r="L16" s="2083"/>
      <c r="M16" s="2083"/>
      <c r="N16" s="2084"/>
      <c r="O16" s="2083"/>
      <c r="P16" s="2084"/>
      <c r="Q16" s="2032"/>
      <c r="R16" s="2032"/>
    </row>
    <row r="17" spans="1:22" ht="18" customHeight="1">
      <c r="A17" s="2086" t="s">
        <v>1803</v>
      </c>
      <c r="B17" s="2038" t="s">
        <v>1804</v>
      </c>
      <c r="C17" s="1057">
        <f>'数据-汇总表'!E3</f>
        <v>21402.85</v>
      </c>
      <c r="D17" s="2087" t="s">
        <v>1805</v>
      </c>
      <c r="E17" s="3061" t="s">
        <v>3140</v>
      </c>
      <c r="F17" s="3062"/>
      <c r="G17" s="3062"/>
      <c r="H17" s="3062"/>
      <c r="I17" s="3063"/>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20000</v>
      </c>
      <c r="D18" s="2090" t="s">
        <v>1805</v>
      </c>
      <c r="E18" s="3064" t="s">
        <v>3106</v>
      </c>
      <c r="F18" s="3065"/>
      <c r="G18" s="3065"/>
      <c r="H18" s="3065"/>
      <c r="I18" s="3066"/>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3047</v>
      </c>
      <c r="D19" s="2092" t="s">
        <v>1809</v>
      </c>
      <c r="E19" s="2093" t="s">
        <v>3047</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51" t="s">
        <v>1811</v>
      </c>
      <c r="C20" s="3052"/>
      <c r="D20" s="3053" t="s">
        <v>1812</v>
      </c>
      <c r="E20" s="3054"/>
      <c r="F20" s="2097" t="s">
        <v>1813</v>
      </c>
      <c r="G20" s="2045"/>
      <c r="H20" s="2045"/>
      <c r="I20" s="2045"/>
      <c r="J20" s="2045"/>
      <c r="K20" s="3050" t="s">
        <v>1814</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根据估价对象《不动产权证书》复印件、《不动产权证书》复印件，截至价值时点，估价对象已设定抵押。</v>
      </c>
      <c r="M20" s="2031"/>
      <c r="N20" s="2084"/>
      <c r="O20" s="2083"/>
      <c r="P20" s="2084"/>
      <c r="Q20" s="2032"/>
      <c r="R20" s="2032"/>
      <c r="S20" s="2032"/>
      <c r="T20" s="2032"/>
      <c r="U20" s="2032"/>
      <c r="V20" s="2032"/>
    </row>
    <row r="21" spans="1:22" ht="24.75" customHeight="1">
      <c r="A21" s="2096"/>
      <c r="B21" s="2098" t="s">
        <v>3048</v>
      </c>
      <c r="C21" s="2099" t="s">
        <v>3049</v>
      </c>
      <c r="D21" s="2952" t="s">
        <v>3050</v>
      </c>
      <c r="E21" s="2100" t="s">
        <v>3049</v>
      </c>
      <c r="F21" s="2101"/>
      <c r="G21" s="2045"/>
      <c r="H21" s="2045"/>
      <c r="I21" s="2045"/>
      <c r="J21" s="2045"/>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上述抵押权设定日期为2017年12月21日，权利人为华鑫国际信托有限公司，权利范围为全部，权利价值为40000。</v>
      </c>
      <c r="M21" s="2031"/>
      <c r="N21" s="2084"/>
      <c r="O21" s="2083"/>
      <c r="P21" s="2084"/>
      <c r="Q21" s="2032"/>
      <c r="R21" s="2032"/>
      <c r="S21" s="2032"/>
      <c r="T21" s="2032"/>
      <c r="U21" s="2032"/>
      <c r="V21" s="2032"/>
    </row>
    <row r="22" spans="1:22" ht="24.75" customHeight="1" thickBot="1">
      <c r="A22" s="2096"/>
      <c r="B22" s="2102" t="s">
        <v>3048</v>
      </c>
      <c r="C22" s="2099" t="s">
        <v>1815</v>
      </c>
      <c r="D22" s="2029"/>
      <c r="E22" s="2029"/>
      <c r="F22" s="2103"/>
      <c r="G22" s="2045"/>
      <c r="H22" s="2045"/>
      <c r="I22" s="2045"/>
      <c r="J22" s="2045"/>
      <c r="K22" s="3050"/>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4" t="s">
        <v>1816</v>
      </c>
      <c r="B23" s="183" t="s">
        <v>1817</v>
      </c>
      <c r="C23" s="2105">
        <v>43090</v>
      </c>
      <c r="D23" s="2106" t="s">
        <v>1817</v>
      </c>
      <c r="E23" s="2107"/>
      <c r="F23" s="2103"/>
      <c r="G23" s="2045"/>
      <c r="H23" s="2045"/>
      <c r="I23" s="2045"/>
      <c r="J23" s="2045"/>
      <c r="K23" s="2108"/>
      <c r="L23" s="748"/>
      <c r="M23" s="2031"/>
      <c r="N23" s="2084"/>
      <c r="O23" s="2083"/>
      <c r="P23" s="2084"/>
      <c r="Q23" s="2032"/>
      <c r="R23" s="2032"/>
      <c r="S23" s="2032"/>
      <c r="T23" s="2032"/>
      <c r="U23" s="2032"/>
      <c r="V23" s="2032"/>
    </row>
    <row r="24" spans="1:22" ht="28.5" customHeight="1">
      <c r="A24" s="2109"/>
      <c r="B24" s="183" t="s">
        <v>1818</v>
      </c>
      <c r="C24" s="2953" t="s">
        <v>3039</v>
      </c>
      <c r="D24" s="2104" t="s">
        <v>1818</v>
      </c>
      <c r="E24" s="2110"/>
      <c r="F24" s="2103"/>
      <c r="G24" s="2045"/>
      <c r="H24" s="2045"/>
      <c r="I24" s="2045"/>
      <c r="J24" s="2045"/>
      <c r="K24" s="2108"/>
      <c r="L24" s="748"/>
      <c r="M24" s="2031"/>
      <c r="N24" s="2084"/>
      <c r="O24" s="2083"/>
      <c r="P24" s="2084"/>
      <c r="Q24" s="2032"/>
      <c r="R24" s="2032"/>
      <c r="S24" s="2032"/>
      <c r="T24" s="2032"/>
      <c r="U24" s="2032"/>
      <c r="V24" s="2032"/>
    </row>
    <row r="25" spans="1:22" ht="18" customHeight="1">
      <c r="A25" s="2109"/>
      <c r="B25" s="183" t="s">
        <v>1819</v>
      </c>
      <c r="C25" s="2953" t="s">
        <v>3051</v>
      </c>
      <c r="D25" s="2104" t="s">
        <v>1819</v>
      </c>
      <c r="E25" s="2110"/>
      <c r="F25" s="2103"/>
      <c r="G25" s="2045"/>
      <c r="H25" s="2045"/>
      <c r="I25" s="2045"/>
      <c r="J25" s="2045"/>
      <c r="K25" s="2054"/>
      <c r="L25" s="2031"/>
      <c r="M25" s="2031"/>
      <c r="N25" s="2084"/>
      <c r="O25" s="2083"/>
      <c r="P25" s="2084"/>
      <c r="Q25" s="2032"/>
      <c r="R25" s="2032"/>
      <c r="S25" s="2032"/>
      <c r="T25" s="2032"/>
      <c r="U25" s="2032"/>
      <c r="V25" s="2032"/>
    </row>
    <row r="26" spans="1:22" ht="18" customHeight="1" thickBot="1">
      <c r="A26" s="2111"/>
      <c r="B26" s="2112" t="s">
        <v>1820</v>
      </c>
      <c r="C26" s="2113">
        <v>40000</v>
      </c>
      <c r="D26" s="2114" t="s">
        <v>1821</v>
      </c>
      <c r="E26" s="2115"/>
      <c r="F26" s="2116"/>
      <c r="G26" s="2062"/>
      <c r="H26" s="2062"/>
      <c r="I26" s="2062"/>
      <c r="J26" s="2045"/>
      <c r="K26" s="2054"/>
      <c r="L26" s="2031"/>
      <c r="M26" s="2031"/>
      <c r="N26" s="2084"/>
      <c r="O26" s="2083"/>
      <c r="P26" s="2084"/>
      <c r="Q26" s="2032"/>
      <c r="R26" s="2032"/>
      <c r="S26" s="2032"/>
      <c r="T26" s="2032"/>
      <c r="U26" s="2032"/>
      <c r="V26" s="2032"/>
    </row>
    <row r="27" spans="1:22" ht="18" customHeight="1" thickTop="1">
      <c r="A27" s="3038" t="s">
        <v>1822</v>
      </c>
      <c r="B27" s="2063" t="s">
        <v>1823</v>
      </c>
      <c r="C27" s="2117" t="s">
        <v>3052</v>
      </c>
      <c r="D27" s="2118"/>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8"/>
      <c r="B28" s="2038" t="s">
        <v>1824</v>
      </c>
      <c r="C28" s="2119"/>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38"/>
      <c r="B29" s="2038" t="s">
        <v>1825</v>
      </c>
      <c r="C29" s="2122"/>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39"/>
      <c r="B30" s="2038" t="s">
        <v>1826</v>
      </c>
      <c r="C30" s="3040"/>
      <c r="D30" s="3041"/>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42" t="s">
        <v>1827</v>
      </c>
      <c r="B31" s="2124" t="s">
        <v>3053</v>
      </c>
      <c r="C31" s="2125" t="str">
        <f>IF(B31="现房","成新及维护状况正常否",IF(B31="在建","工程状态是否正常",IF(B31="土地","是否闲置","-")))</f>
        <v>成新及维护状况正常否</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43"/>
      <c r="B33" s="2128"/>
      <c r="C33" s="2070"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1828</v>
      </c>
      <c r="B34" s="2131" t="s">
        <v>3054</v>
      </c>
      <c r="C34" s="2131" t="s">
        <v>3055</v>
      </c>
      <c r="D34" s="2131" t="s">
        <v>3056</v>
      </c>
      <c r="E34" s="2131" t="s">
        <v>3057</v>
      </c>
      <c r="F34" s="2131" t="s">
        <v>3058</v>
      </c>
      <c r="G34" s="2131" t="s">
        <v>3083</v>
      </c>
      <c r="H34" s="2131" t="s">
        <v>70</v>
      </c>
      <c r="I34" s="2045"/>
      <c r="J34" s="2045"/>
      <c r="K34" s="1798">
        <f>COUNTIF(B34:H34,"——")</f>
        <v>1</v>
      </c>
      <c r="L34" s="2074" t="s">
        <v>1829</v>
      </c>
      <c r="M34" s="2074" t="s">
        <v>1830</v>
      </c>
      <c r="N34" s="2074" t="s">
        <v>1831</v>
      </c>
      <c r="O34" s="2074" t="s">
        <v>1832</v>
      </c>
      <c r="P34" s="2074" t="s">
        <v>1833</v>
      </c>
      <c r="Q34" s="2074" t="s">
        <v>1834</v>
      </c>
      <c r="R34" s="2074" t="s">
        <v>1835</v>
      </c>
      <c r="S34" s="3037" t="s">
        <v>1836</v>
      </c>
      <c r="T34" s="2132" t="str">
        <f>NUMBERSTRING(7-K34,1)&amp;"通"</f>
        <v>六通</v>
      </c>
      <c r="U34" s="2032"/>
      <c r="V34" s="2032"/>
    </row>
    <row r="35" spans="1:22" ht="18" customHeight="1">
      <c r="A35" s="2133"/>
      <c r="B35" s="3044" t="s">
        <v>1837</v>
      </c>
      <c r="C35" s="3044"/>
      <c r="D35" s="3044"/>
      <c r="E35" s="3044"/>
      <c r="F35" s="2134">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7"/>
      <c r="T35" s="48" t="str">
        <f>IF(T34="一通",L35,IF(T34="二通",M35,IF(T34="三通",N35,IF(T34="四通",O35,IF(T34="五通",P35,IF(T34="六通",Q35,R35))))))</f>
        <v>通路、通电、通讯、通上水、通下水、通热</v>
      </c>
      <c r="U35" s="2032"/>
      <c r="V35" s="2032"/>
    </row>
    <row r="36" spans="1:22" ht="18" customHeight="1">
      <c r="A36" s="2135"/>
      <c r="B36" s="2134" t="s">
        <v>1838</v>
      </c>
      <c r="C36" s="2134" t="s">
        <v>1839</v>
      </c>
      <c r="D36" s="2134" t="s">
        <v>1840</v>
      </c>
      <c r="E36" s="2134" t="s">
        <v>1841</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1842</v>
      </c>
      <c r="B37" s="2138"/>
      <c r="C37" s="2138"/>
      <c r="D37" s="2138"/>
      <c r="E37" s="2138" t="s">
        <v>526</v>
      </c>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1843</v>
      </c>
      <c r="B38" s="2140"/>
      <c r="C38" s="2140"/>
      <c r="D38" s="2140"/>
      <c r="E38" s="2140" t="s">
        <v>378</v>
      </c>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4"/>
      <c r="K40" s="666"/>
      <c r="L40" s="2083"/>
      <c r="M40" s="2083"/>
      <c r="N40" s="2084"/>
      <c r="O40" s="2083"/>
      <c r="P40" s="2032"/>
      <c r="Q40" s="2032"/>
      <c r="R40" s="2032"/>
      <c r="S40" s="2032"/>
      <c r="T40" s="2032"/>
      <c r="U40" s="2032"/>
      <c r="V40" s="2032"/>
    </row>
    <row r="41" spans="1:22" ht="18" customHeight="1">
      <c r="A41" s="8" t="s">
        <v>1845</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4" t="s">
        <v>1846</v>
      </c>
      <c r="B42" s="1798" t="s">
        <v>1847</v>
      </c>
      <c r="C42" s="1798" t="s">
        <v>1848</v>
      </c>
      <c r="D42" s="1798" t="s">
        <v>1849</v>
      </c>
      <c r="E42" s="1798" t="s">
        <v>1850</v>
      </c>
      <c r="F42" s="1798" t="s">
        <v>1851</v>
      </c>
      <c r="G42" s="1798" t="s">
        <v>1852</v>
      </c>
      <c r="H42" s="1798" t="s">
        <v>1853</v>
      </c>
      <c r="I42" s="1798" t="s">
        <v>1854</v>
      </c>
      <c r="J42" s="2150" t="s">
        <v>1855</v>
      </c>
      <c r="K42" s="2075" t="s">
        <v>1856</v>
      </c>
      <c r="L42" s="2075" t="s">
        <v>1857</v>
      </c>
      <c r="M42" s="2075" t="s">
        <v>1858</v>
      </c>
      <c r="N42" s="1798" t="s">
        <v>1859</v>
      </c>
      <c r="O42" s="1798" t="s">
        <v>1860</v>
      </c>
      <c r="P42" s="1798" t="s">
        <v>1861</v>
      </c>
      <c r="Q42" s="2074" t="s">
        <v>1862</v>
      </c>
      <c r="R42" s="2074" t="s">
        <v>1863</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1869</v>
      </c>
      <c r="AZ2" s="1273"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13598+6402</f>
        <v>20000</v>
      </c>
      <c r="B3" s="14">
        <f>IF(C3="否",G5-AT5,G5)</f>
        <v>21402.85</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6"/>
      <c r="C5" s="1806"/>
      <c r="D5" s="1809"/>
      <c r="E5" s="16" t="s">
        <v>1</v>
      </c>
      <c r="F5" s="16">
        <f>SUM(F13:F587)</f>
        <v>0</v>
      </c>
      <c r="G5" s="16">
        <f>SUM(G13:G587)</f>
        <v>21402.85</v>
      </c>
      <c r="H5" s="16">
        <f t="shared" ref="H5:AT5" si="0">SUM(H13:H656)</f>
        <v>21402.85</v>
      </c>
      <c r="I5" s="16">
        <f t="shared" si="0"/>
        <v>4081.21</v>
      </c>
      <c r="J5" s="16">
        <f t="shared" si="0"/>
        <v>0</v>
      </c>
      <c r="K5" s="16">
        <f t="shared" si="0"/>
        <v>6744.41</v>
      </c>
      <c r="L5" s="16">
        <f t="shared" si="0"/>
        <v>0</v>
      </c>
      <c r="M5" s="16">
        <f t="shared" si="0"/>
        <v>10577.23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21402.85</v>
      </c>
      <c r="BA5" s="18">
        <f t="shared" si="1"/>
        <v>21402.85</v>
      </c>
      <c r="BB5" s="18">
        <f t="shared" si="1"/>
        <v>4081.21</v>
      </c>
      <c r="BC5" s="18">
        <f t="shared" si="1"/>
        <v>6744.41</v>
      </c>
      <c r="BD5" s="18">
        <f t="shared" si="1"/>
        <v>10577.23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20000.010000000002</v>
      </c>
      <c r="F6" s="16" t="s">
        <v>1</v>
      </c>
      <c r="G6" s="16" t="s">
        <v>2</v>
      </c>
      <c r="H6" s="20">
        <f>SUMIF(I$12:AB$12,"总值",I6:AB6)</f>
        <v>20000.010000000002</v>
      </c>
      <c r="I6" s="16">
        <f t="shared" ref="I6:AB6" si="2">ROUND($A$3*I5/$B$3,2)</f>
        <v>3813.71</v>
      </c>
      <c r="J6" s="16">
        <f t="shared" si="2"/>
        <v>0</v>
      </c>
      <c r="K6" s="16">
        <f t="shared" si="2"/>
        <v>6302.35</v>
      </c>
      <c r="L6" s="16">
        <f t="shared" si="2"/>
        <v>0</v>
      </c>
      <c r="M6" s="16">
        <f t="shared" si="2"/>
        <v>9883.9500000000007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20000</v>
      </c>
      <c r="AZ6" s="16" t="s">
        <v>3</v>
      </c>
      <c r="BA6" s="16">
        <f>ROUND($AY$6*BA5/$AZ$5,2)</f>
        <v>20000</v>
      </c>
      <c r="BB6" s="16">
        <f>ROUND($AY$6*BB5/$AZ$5,2)</f>
        <v>3813.71</v>
      </c>
      <c r="BC6" s="16">
        <f t="shared" ref="BC6:BH6" si="4">ROUND($AY$6*BC5/$AZ$5,2)</f>
        <v>6302.35</v>
      </c>
      <c r="BD6" s="16">
        <f t="shared" si="4"/>
        <v>9883.9500000000007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8" t="s">
        <v>1875</v>
      </c>
      <c r="B7" s="2108" t="s">
        <v>1876</v>
      </c>
      <c r="C7" s="2108" t="s">
        <v>1877</v>
      </c>
      <c r="D7" s="2108" t="s">
        <v>1878</v>
      </c>
      <c r="E7" s="2108" t="s">
        <v>1879</v>
      </c>
      <c r="F7" s="2108"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1882</v>
      </c>
      <c r="AV7" s="23" t="s">
        <v>1883</v>
      </c>
      <c r="AW7" s="2164" t="s">
        <v>1884</v>
      </c>
      <c r="AX7" s="23" t="s">
        <v>1877</v>
      </c>
      <c r="AY7" s="1806"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1"/>
      <c r="K8" s="1821"/>
      <c r="L8" s="1821"/>
      <c r="M8" s="1821"/>
      <c r="N8" s="1821"/>
      <c r="O8" s="1821"/>
      <c r="P8" s="1821"/>
      <c r="Q8" s="1821"/>
      <c r="R8" s="1821"/>
      <c r="S8" s="1821"/>
      <c r="T8" s="1821"/>
      <c r="U8" s="1821"/>
      <c r="V8" s="2184"/>
      <c r="W8" s="1821"/>
      <c r="X8" s="1821"/>
      <c r="Y8" s="1821"/>
      <c r="Z8" s="1821"/>
      <c r="AA8" s="2184"/>
      <c r="AB8" s="2185"/>
      <c r="AC8" s="984" t="s">
        <v>1888</v>
      </c>
      <c r="AD8" s="2186"/>
      <c r="AE8" s="2178"/>
      <c r="AF8" s="1821"/>
      <c r="AG8" s="1821"/>
      <c r="AH8" s="1821"/>
      <c r="AI8" s="1821"/>
      <c r="AJ8" s="1821"/>
      <c r="AK8" s="1821"/>
      <c r="AL8" s="1821"/>
      <c r="AM8" s="1821"/>
      <c r="AN8" s="1821"/>
      <c r="AO8" s="1821"/>
      <c r="AP8" s="1821"/>
      <c r="AQ8" s="1821"/>
      <c r="AR8" s="1821"/>
      <c r="AS8" s="1821"/>
      <c r="AT8" s="1295" t="s">
        <v>1889</v>
      </c>
      <c r="AU8" s="2180" t="s">
        <v>1890</v>
      </c>
      <c r="AV8" s="1295"/>
      <c r="AW8" s="2163"/>
      <c r="AX8" s="1295"/>
      <c r="AY8" s="2164"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1893</v>
      </c>
      <c r="I9" s="2189" t="s">
        <v>3062</v>
      </c>
      <c r="J9" s="984"/>
      <c r="K9" s="2189" t="s">
        <v>3062</v>
      </c>
      <c r="L9" s="984"/>
      <c r="M9" s="2189" t="s">
        <v>3062</v>
      </c>
      <c r="N9" s="984"/>
      <c r="O9" s="2189"/>
      <c r="P9" s="984"/>
      <c r="Q9" s="2189"/>
      <c r="R9" s="984"/>
      <c r="S9" s="2189"/>
      <c r="T9" s="984"/>
      <c r="U9" s="2189"/>
      <c r="V9" s="984"/>
      <c r="W9" s="2189"/>
      <c r="X9" s="2190"/>
      <c r="Y9" s="2189"/>
      <c r="Z9" s="984"/>
      <c r="AA9" s="2189"/>
      <c r="AB9" s="984"/>
      <c r="AC9" s="2181"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1"/>
      <c r="AT9" s="2180"/>
      <c r="AU9" s="2180" t="s">
        <v>1896</v>
      </c>
      <c r="AV9" s="1295"/>
      <c r="AW9" s="2163"/>
      <c r="AX9" s="1295"/>
      <c r="AY9" s="28"/>
      <c r="AZ9" s="28" t="s">
        <v>1886</v>
      </c>
      <c r="BA9" s="2192" t="s">
        <v>1897</v>
      </c>
      <c r="BB9" s="2193"/>
      <c r="BC9" s="1341"/>
      <c r="BD9" s="1341"/>
      <c r="BE9" s="1341"/>
      <c r="BF9" s="1341"/>
      <c r="BG9" s="1341"/>
      <c r="BH9" s="1341"/>
      <c r="BI9" s="1341"/>
      <c r="BJ9" s="1341"/>
      <c r="BK9" s="2194"/>
      <c r="BL9" s="15" t="s">
        <v>1898</v>
      </c>
      <c r="BM9" s="1821"/>
      <c r="BN9" s="2183"/>
      <c r="BO9" s="1821"/>
      <c r="BP9" s="1821"/>
      <c r="BQ9" s="1821"/>
      <c r="BR9" s="1821"/>
      <c r="BS9" s="1821"/>
      <c r="BT9" s="26"/>
    </row>
    <row r="10" spans="1:72" s="2187" customFormat="1" ht="12.75">
      <c r="A10" s="2180"/>
      <c r="B10" s="2180"/>
      <c r="C10" s="2180"/>
      <c r="D10" s="2180"/>
      <c r="E10" s="2180"/>
      <c r="F10" s="2180"/>
      <c r="G10" s="1295"/>
      <c r="H10" s="28"/>
      <c r="I10" s="2189" t="s">
        <v>6</v>
      </c>
      <c r="J10" s="984"/>
      <c r="K10" s="2195" t="s">
        <v>6</v>
      </c>
      <c r="L10" s="984"/>
      <c r="M10" s="2195" t="s">
        <v>6</v>
      </c>
      <c r="N10" s="984"/>
      <c r="O10" s="2195"/>
      <c r="P10" s="984"/>
      <c r="Q10" s="2195"/>
      <c r="R10" s="984"/>
      <c r="S10" s="2195"/>
      <c r="T10" s="984"/>
      <c r="U10" s="2195"/>
      <c r="V10" s="984"/>
      <c r="W10" s="2195"/>
      <c r="X10" s="984"/>
      <c r="Y10" s="2195"/>
      <c r="Z10" s="984"/>
      <c r="AA10" s="2195"/>
      <c r="AB10" s="984"/>
      <c r="AC10" s="1295"/>
      <c r="AD10" s="15" t="s">
        <v>1899</v>
      </c>
      <c r="AE10" s="2196"/>
      <c r="AF10" s="15" t="s">
        <v>1899</v>
      </c>
      <c r="AG10" s="2196"/>
      <c r="AH10" s="15" t="s">
        <v>1900</v>
      </c>
      <c r="AI10" s="2196"/>
      <c r="AJ10" s="15" t="s">
        <v>1900</v>
      </c>
      <c r="AK10" s="2196"/>
      <c r="AL10" s="15" t="s">
        <v>1901</v>
      </c>
      <c r="AM10" s="1301"/>
      <c r="AN10" s="15" t="s">
        <v>1901</v>
      </c>
      <c r="AO10" s="1301"/>
      <c r="AP10" s="15" t="s">
        <v>1902</v>
      </c>
      <c r="AQ10" s="1301"/>
      <c r="AR10" s="15" t="s">
        <v>1902</v>
      </c>
      <c r="AS10" s="1301"/>
      <c r="AT10" s="2180"/>
      <c r="AU10" s="2180"/>
      <c r="AV10" s="1295"/>
      <c r="AW10" s="2163"/>
      <c r="AX10" s="1295"/>
      <c r="AY10" s="28"/>
      <c r="AZ10" s="28"/>
      <c r="BA10" s="2197" t="s">
        <v>1893</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3063</v>
      </c>
      <c r="J11" s="2201"/>
      <c r="K11" s="2200" t="s">
        <v>3064</v>
      </c>
      <c r="L11" s="2201"/>
      <c r="M11" s="2200" t="s">
        <v>3065</v>
      </c>
      <c r="N11" s="2201"/>
      <c r="O11" s="2200"/>
      <c r="P11" s="2201"/>
      <c r="Q11" s="2200"/>
      <c r="R11" s="2201"/>
      <c r="S11" s="2200"/>
      <c r="T11" s="2201"/>
      <c r="U11" s="2200"/>
      <c r="V11" s="2201"/>
      <c r="W11" s="2200"/>
      <c r="X11" s="2201"/>
      <c r="Y11" s="2200"/>
      <c r="Z11" s="2201"/>
      <c r="AA11" s="2200"/>
      <c r="AB11" s="2201"/>
      <c r="AC11" s="1295"/>
      <c r="AD11" s="2202" t="s">
        <v>1903</v>
      </c>
      <c r="AE11" s="1822"/>
      <c r="AF11" s="2202" t="s">
        <v>1903</v>
      </c>
      <c r="AG11" s="1822"/>
      <c r="AH11" s="2202" t="s">
        <v>1904</v>
      </c>
      <c r="AI11" s="2203"/>
      <c r="AJ11" s="2202" t="s">
        <v>1904</v>
      </c>
      <c r="AK11" s="1822"/>
      <c r="AL11" s="1820"/>
      <c r="AM11" s="1822"/>
      <c r="AN11" s="1820"/>
      <c r="AO11" s="1822"/>
      <c r="AP11" s="1820"/>
      <c r="AQ11" s="1822"/>
      <c r="AR11" s="1820"/>
      <c r="AS11" s="1822"/>
      <c r="AT11" s="2163"/>
      <c r="AU11" s="2180"/>
      <c r="AV11" s="1295"/>
      <c r="AW11" s="2163"/>
      <c r="AX11" s="1295"/>
      <c r="AY11" s="28"/>
      <c r="AZ11" s="28"/>
      <c r="BA11" s="28"/>
      <c r="BB11" s="2185" t="str">
        <f>I10</f>
        <v>工业</v>
      </c>
      <c r="BC11" s="2185" t="str">
        <f>K10</f>
        <v>工业</v>
      </c>
      <c r="BD11" s="2185" t="str">
        <f>M10</f>
        <v>工业</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07"/>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办公楼</v>
      </c>
      <c r="BC12" s="2210" t="str">
        <f>K11</f>
        <v>标准厂房</v>
      </c>
      <c r="BD12" s="2210" t="str">
        <f>M11</f>
        <v>数据中心</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t="s">
        <v>3059</v>
      </c>
      <c r="D13" s="2211" t="s">
        <v>3047</v>
      </c>
      <c r="E13" s="16">
        <f>IF($C$3="是",ROUND($A$3*G13/$B$3,2),ROUND($A$3*(G13-AT13)/$B$3,2))</f>
        <v>3813.71</v>
      </c>
      <c r="F13" s="32"/>
      <c r="G13" s="33">
        <f>H13+AC13+AT13</f>
        <v>4081.21</v>
      </c>
      <c r="H13" s="20">
        <f>SUMIF(I$12:AB$12,"总值",I13:AB13)</f>
        <v>4081.21</v>
      </c>
      <c r="I13" s="2212">
        <v>4081.21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3813.71</v>
      </c>
      <c r="AZ13" s="16">
        <f>BA13+BL13</f>
        <v>4081.21</v>
      </c>
      <c r="BA13" s="16">
        <f>SUM(BB13:BK13)</f>
        <v>4081.21</v>
      </c>
      <c r="BB13" s="16">
        <f>IF($D13="是",I13-J13,0)</f>
        <v>4081.21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t="s">
        <v>3060</v>
      </c>
      <c r="D14" s="2211" t="s">
        <v>3047</v>
      </c>
      <c r="E14" s="16">
        <f>IF($C$3="是",ROUND($A$3*G14/$B$3,2),ROUND($A$3*(G14-AT14)/$B$3,2))</f>
        <v>6302.35</v>
      </c>
      <c r="F14" s="32"/>
      <c r="G14" s="33">
        <f>H14+AC14+AT14</f>
        <v>6744.41</v>
      </c>
      <c r="H14" s="20">
        <f>SUMIF(I$12:AB$12,"总值",I14:AB14)</f>
        <v>6744.41</v>
      </c>
      <c r="I14" s="2212"/>
      <c r="J14" s="2212"/>
      <c r="K14" s="2212">
        <v>6744.41</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2幢</v>
      </c>
      <c r="AY14" s="1809">
        <f>ROUND($AY$6*AZ14/$AZ$5,2)</f>
        <v>6302.35</v>
      </c>
      <c r="AZ14" s="16">
        <f>BA14+BL14</f>
        <v>6744.41</v>
      </c>
      <c r="BA14" s="16">
        <f>SUM(BB14:BK14)</f>
        <v>6744.41</v>
      </c>
      <c r="BB14" s="16">
        <f>IF($D14="是",I14-J14,0)</f>
        <v>0</v>
      </c>
      <c r="BC14" s="16">
        <f>IF($D14="是",K14-L14,0)</f>
        <v>6744.41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1275" t="s">
        <v>3061</v>
      </c>
      <c r="D15" s="2211" t="s">
        <v>3047</v>
      </c>
      <c r="E15" s="16">
        <f>IF($C$3="是",ROUND($A$3*G15/$B$3,2),ROUND($A$3*(G15-AT15)/$B$3,2))</f>
        <v>9883.9500000000007</v>
      </c>
      <c r="F15" s="32"/>
      <c r="G15" s="33">
        <f>H15+AC15+AT15</f>
        <v>10577.23</v>
      </c>
      <c r="H15" s="20">
        <f>SUMIF(I$12:AB$12,"总值",I15:AB15)</f>
        <v>10577.23</v>
      </c>
      <c r="I15" s="2212"/>
      <c r="J15" s="2212"/>
      <c r="K15" s="2212"/>
      <c r="L15" s="2212"/>
      <c r="M15" s="2212">
        <v>10577.23</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3幢</v>
      </c>
      <c r="AY15" s="1809">
        <f>ROUND($AY$6*AZ15/$AZ$5,2)</f>
        <v>9883.9500000000007</v>
      </c>
      <c r="AZ15" s="16">
        <f>BA15+BL15</f>
        <v>10577.23</v>
      </c>
      <c r="BA15" s="16">
        <f>SUM(BB15:BK15)</f>
        <v>10577.23</v>
      </c>
      <c r="BB15" s="16">
        <f>IF($D15="是",I15-J15,0)</f>
        <v>0</v>
      </c>
      <c r="BC15" s="16">
        <f>IF($D15="是",K15-L15,0)</f>
        <v>0</v>
      </c>
      <c r="BD15" s="16">
        <f>IF($D15="是",M15-N15,0)</f>
        <v>10577.23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5"/>
      <c r="C1" s="1395"/>
      <c r="D1" s="1395"/>
      <c r="E1" s="1395"/>
      <c r="F1" s="1395"/>
      <c r="G1" s="1395"/>
      <c r="H1" s="1395"/>
      <c r="I1" s="1395"/>
      <c r="J1" s="1395"/>
      <c r="K1" s="1395"/>
      <c r="L1" s="1395"/>
      <c r="M1" s="1395"/>
      <c r="N1" s="1395"/>
      <c r="O1" s="1395"/>
      <c r="P1" s="1395"/>
    </row>
    <row r="2" spans="1:16" ht="15">
      <c r="A2" s="3078" t="s">
        <v>1933</v>
      </c>
      <c r="B2" s="3078"/>
      <c r="C2" s="3078"/>
      <c r="D2" s="970" t="s">
        <v>1909</v>
      </c>
      <c r="E2" s="2225" t="s">
        <v>1910</v>
      </c>
      <c r="F2" s="1395"/>
      <c r="G2" s="2226"/>
      <c r="H2" s="2227"/>
      <c r="I2" s="2228" t="s">
        <v>1934</v>
      </c>
      <c r="J2" s="1395"/>
      <c r="K2" s="1395"/>
      <c r="L2" s="1395"/>
      <c r="M2" s="1395"/>
      <c r="N2" s="1430"/>
      <c r="O2" s="1395"/>
      <c r="P2" s="1395"/>
    </row>
    <row r="3" spans="1:16" ht="15.75" thickBot="1">
      <c r="A3" s="3079" t="s">
        <v>1907</v>
      </c>
      <c r="B3" s="3079"/>
      <c r="C3" s="3079"/>
      <c r="D3" s="46">
        <f>'数据-基础表'!AY6</f>
        <v>20000</v>
      </c>
      <c r="E3" s="46">
        <f>'数据-基础表'!AZ5</f>
        <v>21402.85</v>
      </c>
      <c r="F3" s="1395"/>
      <c r="G3" s="1402"/>
      <c r="H3" s="1250" t="s">
        <v>1908</v>
      </c>
      <c r="I3" s="55">
        <f>ROUND('数据-基础表'!B3/'数据-基础表'!A3,2)</f>
        <v>1.07</v>
      </c>
      <c r="J3" s="1395"/>
      <c r="K3" s="1395"/>
      <c r="L3" s="1395"/>
      <c r="M3" s="1395"/>
      <c r="N3" s="1430"/>
      <c r="O3" s="1395"/>
      <c r="P3" s="1395"/>
    </row>
    <row r="4" spans="1:16" ht="15">
      <c r="A4" s="3080"/>
      <c r="B4" s="3081"/>
      <c r="C4" s="3082"/>
      <c r="D4" s="2229" t="s">
        <v>1909</v>
      </c>
      <c r="E4" s="2230" t="s">
        <v>1910</v>
      </c>
      <c r="F4" s="1395"/>
      <c r="G4" s="2231" t="s">
        <v>1935</v>
      </c>
      <c r="H4" s="1250" t="s">
        <v>1915</v>
      </c>
      <c r="I4" s="55">
        <f>ROUND(SUMIF('数据-基础表'!I9:AS9,"地上",'数据-基础表'!I5:AS5)/'数据-基础表'!A3,2)</f>
        <v>1.07</v>
      </c>
      <c r="J4" s="1395"/>
      <c r="K4" s="1395"/>
      <c r="L4" s="1395"/>
      <c r="M4" s="1395"/>
      <c r="N4" s="1430"/>
      <c r="O4" s="1395"/>
      <c r="P4" s="1395"/>
    </row>
    <row r="5" spans="1:16">
      <c r="A5" s="47" t="s">
        <v>1911</v>
      </c>
      <c r="B5" s="3083" t="s">
        <v>1912</v>
      </c>
      <c r="C5" s="3083"/>
      <c r="D5" s="48">
        <f>ROUND($D$3*E5/$E$3,2)</f>
        <v>0</v>
      </c>
      <c r="E5" s="49">
        <f>SUMIF('数据-基础表'!$11:$11,"住宅",'数据-基础表'!$5:$5)</f>
        <v>0</v>
      </c>
      <c r="F5" s="1395"/>
      <c r="G5" s="1402"/>
      <c r="H5" s="1250" t="s">
        <v>1908</v>
      </c>
      <c r="I5" s="55">
        <f>ROUND(E31/D31,2)</f>
        <v>1.07</v>
      </c>
      <c r="J5" s="1395"/>
      <c r="K5" s="1395"/>
      <c r="L5" s="1395"/>
      <c r="M5" s="1395"/>
      <c r="N5" s="1395"/>
      <c r="O5" s="1395"/>
      <c r="P5" s="1395"/>
    </row>
    <row r="6" spans="1:16" ht="15" thickBot="1">
      <c r="A6" s="2232"/>
      <c r="B6" s="3083" t="s">
        <v>1913</v>
      </c>
      <c r="C6" s="3083"/>
      <c r="D6" s="48">
        <f>ROUND($D$3*E6/$E$3,2)</f>
        <v>20000</v>
      </c>
      <c r="E6" s="49">
        <f>E3-E5</f>
        <v>21402.85</v>
      </c>
      <c r="F6" s="1395"/>
      <c r="G6" s="2233" t="s">
        <v>1914</v>
      </c>
      <c r="H6" s="1402" t="s">
        <v>1915</v>
      </c>
      <c r="I6" s="942">
        <f>ROUND(F31/D31,2)</f>
        <v>1.07</v>
      </c>
      <c r="J6" s="1395"/>
      <c r="K6" s="1395"/>
      <c r="L6" s="1395"/>
      <c r="M6" s="1395"/>
      <c r="N6" s="1395"/>
      <c r="O6" s="1395"/>
      <c r="P6" s="1395"/>
    </row>
    <row r="7" spans="1:16" ht="15">
      <c r="A7" s="3075"/>
      <c r="B7" s="3076"/>
      <c r="C7" s="3077"/>
      <c r="D7" s="2229" t="s">
        <v>1909</v>
      </c>
      <c r="E7" s="2234" t="s">
        <v>1916</v>
      </c>
      <c r="F7" s="1395"/>
      <c r="G7" s="2226" t="s">
        <v>1917</v>
      </c>
      <c r="H7" s="64"/>
      <c r="I7" s="420"/>
      <c r="J7" s="1395"/>
      <c r="K7" s="1395"/>
      <c r="L7" s="1395"/>
      <c r="M7" s="1395"/>
      <c r="N7" s="1395"/>
      <c r="O7" s="1395"/>
      <c r="P7" s="1395"/>
    </row>
    <row r="8" spans="1:16">
      <c r="A8" s="47" t="s">
        <v>1918</v>
      </c>
      <c r="B8" s="50" t="s">
        <v>1919</v>
      </c>
      <c r="C8" s="48" t="s">
        <v>1920</v>
      </c>
      <c r="D8" s="48">
        <f t="shared" ref="D8:D15" si="0">ROUND($D$3*E8/$E$3,2)</f>
        <v>20000</v>
      </c>
      <c r="E8" s="51">
        <f>SUMIF('数据-基础表'!BB10:BK10,"地上",'数据-基础表'!BB5:BK5)</f>
        <v>21402.85</v>
      </c>
      <c r="F8" s="1395"/>
      <c r="G8" s="2235"/>
      <c r="H8" s="2235"/>
      <c r="I8" s="1395"/>
      <c r="J8" s="1395"/>
      <c r="K8" s="1395"/>
      <c r="L8" s="1395"/>
      <c r="M8" s="1395"/>
      <c r="N8" s="1395"/>
      <c r="O8" s="1395"/>
      <c r="P8" s="1395"/>
    </row>
    <row r="9" spans="1:16">
      <c r="A9" s="2236"/>
      <c r="B9" s="2237"/>
      <c r="C9" s="48" t="s">
        <v>1921</v>
      </c>
      <c r="D9" s="48">
        <f t="shared" si="0"/>
        <v>0</v>
      </c>
      <c r="E9" s="52">
        <v>0</v>
      </c>
      <c r="F9" s="1395"/>
      <c r="G9" s="2235"/>
      <c r="H9" s="2235"/>
      <c r="I9" s="1395"/>
      <c r="J9" s="1395"/>
      <c r="K9" s="1395"/>
      <c r="L9" s="1395"/>
      <c r="M9" s="1395"/>
      <c r="N9" s="1395"/>
      <c r="O9" s="1395"/>
      <c r="P9" s="1395"/>
    </row>
    <row r="10" spans="1:16">
      <c r="A10" s="2236"/>
      <c r="B10" s="2237"/>
      <c r="C10" s="48" t="s">
        <v>1930</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1922</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1923</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1924</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1936</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1931</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1925</v>
      </c>
      <c r="D16" s="50">
        <f>SUM(D8:D15)</f>
        <v>20000</v>
      </c>
      <c r="E16" s="53">
        <f>SUM(E8:E15)</f>
        <v>21402.85</v>
      </c>
      <c r="F16" s="1395"/>
      <c r="G16" s="2235"/>
      <c r="H16" s="2238" t="s">
        <v>1937</v>
      </c>
      <c r="I16" s="2239"/>
      <c r="J16" s="1395"/>
      <c r="K16" s="3072" t="s">
        <v>1937</v>
      </c>
      <c r="L16" s="3073"/>
      <c r="M16" s="3073"/>
      <c r="N16" s="3073"/>
      <c r="O16" s="3073"/>
      <c r="P16" s="3074"/>
    </row>
    <row r="17" spans="1:19" ht="15">
      <c r="A17" s="2240" t="s">
        <v>1938</v>
      </c>
      <c r="B17" s="2241" t="s">
        <v>1939</v>
      </c>
      <c r="C17" s="2242" t="s">
        <v>1940</v>
      </c>
      <c r="D17" s="2243" t="s">
        <v>1928</v>
      </c>
      <c r="E17" s="2244" t="s">
        <v>1929</v>
      </c>
      <c r="F17" s="2245"/>
      <c r="G17" s="2246"/>
      <c r="H17" s="2247" t="s">
        <v>1941</v>
      </c>
      <c r="I17" s="2248" t="s">
        <v>1926</v>
      </c>
      <c r="J17" s="1395"/>
      <c r="K17" s="3069" t="s">
        <v>1942</v>
      </c>
      <c r="L17" s="3070"/>
      <c r="M17" s="3071"/>
      <c r="N17" s="3069" t="s">
        <v>1943</v>
      </c>
      <c r="O17" s="3070"/>
      <c r="P17" s="3071"/>
      <c r="R17" s="2226" t="s">
        <v>1944</v>
      </c>
      <c r="S17" s="64"/>
    </row>
    <row r="18" spans="1:19" ht="15">
      <c r="A18" s="2236"/>
      <c r="B18" s="2249"/>
      <c r="C18" s="2250"/>
      <c r="D18" s="2251"/>
      <c r="E18" s="2252" t="s">
        <v>1945</v>
      </c>
      <c r="F18" s="2253" t="s">
        <v>1946</v>
      </c>
      <c r="G18" s="2254" t="s">
        <v>1947</v>
      </c>
      <c r="H18" s="1265" t="s">
        <v>1948</v>
      </c>
      <c r="I18" s="2255" t="s">
        <v>1949</v>
      </c>
      <c r="J18" s="1395"/>
      <c r="K18" s="1265" t="s">
        <v>1950</v>
      </c>
      <c r="L18" s="2256" t="s">
        <v>1951</v>
      </c>
      <c r="M18" s="1049" t="s">
        <v>1952</v>
      </c>
      <c r="N18" s="1265" t="s">
        <v>1950</v>
      </c>
      <c r="O18" s="2256" t="s">
        <v>1951</v>
      </c>
      <c r="P18" s="1049" t="s">
        <v>1952</v>
      </c>
      <c r="R18" s="1250" t="s">
        <v>1953</v>
      </c>
      <c r="S18" s="1250" t="s">
        <v>1954</v>
      </c>
    </row>
    <row r="19" spans="1:19">
      <c r="A19" s="2257"/>
      <c r="B19" s="50" t="s">
        <v>1927</v>
      </c>
      <c r="C19" s="2954" t="s">
        <v>3067</v>
      </c>
      <c r="D19" s="48">
        <f>ROUND($D$3*E19/$E$3,2)</f>
        <v>3813.71</v>
      </c>
      <c r="E19" s="56">
        <f t="shared" ref="E19:E26" si="1">SUM(F19:G19)</f>
        <v>4081.21</v>
      </c>
      <c r="F19" s="57">
        <f>'数据-基础表'!I13</f>
        <v>4081.21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3813.71</v>
      </c>
      <c r="S19" s="1251">
        <f t="shared" si="5"/>
        <v>4081.21</v>
      </c>
    </row>
    <row r="20" spans="1:19">
      <c r="A20" s="2260"/>
      <c r="B20" s="50" t="s">
        <v>1955</v>
      </c>
      <c r="C20" s="2954" t="s">
        <v>3068</v>
      </c>
      <c r="D20" s="48">
        <f t="shared" ref="D20:D26" si="6">ROUND($D$3*E20/$E$3,2)</f>
        <v>6302.35</v>
      </c>
      <c r="E20" s="56">
        <f t="shared" si="1"/>
        <v>6744.41</v>
      </c>
      <c r="F20" s="57">
        <f>'数据-基础表'!K14</f>
        <v>6744.41</v>
      </c>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6302.35</v>
      </c>
      <c r="S20" s="1251">
        <f t="shared" si="5"/>
        <v>6744.41</v>
      </c>
    </row>
    <row r="21" spans="1:19">
      <c r="A21" s="2260"/>
      <c r="B21" s="50" t="s">
        <v>1955</v>
      </c>
      <c r="C21" s="2954" t="s">
        <v>3069</v>
      </c>
      <c r="D21" s="48">
        <f t="shared" si="6"/>
        <v>9883.9500000000007</v>
      </c>
      <c r="E21" s="56">
        <f t="shared" si="1"/>
        <v>10577.23</v>
      </c>
      <c r="F21" s="57">
        <f>'数据-基础表'!M15</f>
        <v>10577.23</v>
      </c>
      <c r="G21" s="58"/>
      <c r="H21" s="723">
        <f t="shared" si="7"/>
        <v>0</v>
      </c>
      <c r="I21" s="51">
        <f t="shared" si="2"/>
        <v>0</v>
      </c>
      <c r="J21" s="1395"/>
      <c r="K21" s="1394">
        <f t="shared" si="3"/>
        <v>0</v>
      </c>
      <c r="L21" s="1250">
        <f t="shared" si="4"/>
        <v>0</v>
      </c>
      <c r="M21" s="1406">
        <f t="shared" si="8"/>
        <v>0</v>
      </c>
      <c r="N21" s="2258"/>
      <c r="O21" s="2259"/>
      <c r="P21" s="1406">
        <f t="shared" si="9"/>
        <v>0</v>
      </c>
      <c r="R21" s="1250">
        <f t="shared" si="5"/>
        <v>9883.9500000000007</v>
      </c>
      <c r="S21" s="1251">
        <f t="shared" si="5"/>
        <v>10577.23</v>
      </c>
    </row>
    <row r="22" spans="1:19">
      <c r="A22" s="2260"/>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29.25" thickBot="1">
      <c r="A27" s="2260"/>
      <c r="B27" s="48"/>
      <c r="C27" s="2263" t="s">
        <v>1956</v>
      </c>
      <c r="D27" s="1396">
        <f>SUM(D19:D26)</f>
        <v>20000.010000000002</v>
      </c>
      <c r="E27" s="1397">
        <f>IF(SUM(E19:E26)='数据-基础表'!BA5,SUM(E19:E26),IF(F27="地上面积有误","面积有误","地下面积有误"))</f>
        <v>21402.85</v>
      </c>
      <c r="F27" s="1396">
        <f>IF(SUM(F19:F26)=E8,SUM(F19:F26),"地上面积有误")</f>
        <v>21402.85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20000.01误差0.01</v>
      </c>
      <c r="S27" s="1250">
        <f>IF(SUM(S19:S26)=$E$3,SUM(S19:S26),SUM(S19:S26)&amp;"误差"&amp;ROUND(SUM(S19:S26)-E3,2))</f>
        <v>21402.85</v>
      </c>
    </row>
    <row r="28" spans="1:19">
      <c r="A28" s="2260"/>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1957</v>
      </c>
      <c r="C29" s="2264"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1960</v>
      </c>
      <c r="D31" s="729">
        <f>D27+D30</f>
        <v>20000.010000000002</v>
      </c>
      <c r="E31" s="729">
        <f>E27+E30</f>
        <v>21402.85</v>
      </c>
      <c r="F31" s="730">
        <f>F27+F30</f>
        <v>21402.85</v>
      </c>
      <c r="G31" s="731">
        <f>G27+G30</f>
        <v>0</v>
      </c>
      <c r="H31" s="1395"/>
      <c r="I31" s="1395"/>
      <c r="J31" s="1395"/>
      <c r="K31" s="1395"/>
      <c r="L31" s="1395"/>
      <c r="M31" s="1395"/>
      <c r="N31" s="1395"/>
      <c r="O31" s="1395"/>
      <c r="P31" s="1395"/>
    </row>
    <row r="32" spans="1:19">
      <c r="A32" s="2231"/>
      <c r="B32" s="2231" t="s">
        <v>1961</v>
      </c>
      <c r="C32" s="2231"/>
      <c r="D32" s="2231"/>
      <c r="E32" s="1277">
        <f>SUMIF(C19:C26,"*住宅*",E19:E26)</f>
        <v>0</v>
      </c>
      <c r="F32" s="2231"/>
      <c r="G32" s="2231"/>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8" sqref="A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1963</v>
      </c>
      <c r="B2" s="1269">
        <f>项目基本情况!D3</f>
        <v>43294</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2" t="s">
        <v>1968</v>
      </c>
      <c r="AA4" s="2242"/>
      <c r="AB4" s="2242"/>
      <c r="AC4" s="2242"/>
      <c r="AD4" s="2242"/>
      <c r="AE4" s="2240" t="s">
        <v>1969</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1970</v>
      </c>
      <c r="B5" s="2287" t="s">
        <v>1971</v>
      </c>
      <c r="C5" s="2288" t="s">
        <v>1972</v>
      </c>
      <c r="D5" s="2289" t="s">
        <v>1973</v>
      </c>
      <c r="E5" s="1271" t="s">
        <v>1974</v>
      </c>
      <c r="F5" s="2290" t="s">
        <v>1975</v>
      </c>
      <c r="G5" s="1271" t="s">
        <v>1976</v>
      </c>
      <c r="H5" s="1271" t="s">
        <v>1977</v>
      </c>
      <c r="I5" s="1271" t="s">
        <v>1978</v>
      </c>
      <c r="J5" s="2291" t="s">
        <v>1979</v>
      </c>
      <c r="K5" s="2292" t="s">
        <v>1980</v>
      </c>
      <c r="L5" s="2293" t="s">
        <v>1981</v>
      </c>
      <c r="M5" s="2294" t="s">
        <v>1982</v>
      </c>
      <c r="N5" s="2295" t="s">
        <v>3070</v>
      </c>
      <c r="O5" s="2293" t="s">
        <v>1983</v>
      </c>
      <c r="P5" s="2296" t="s">
        <v>1984</v>
      </c>
      <c r="Q5" s="69" t="s">
        <v>1985</v>
      </c>
      <c r="R5" s="2297" t="s">
        <v>1986</v>
      </c>
      <c r="S5" s="2298" t="s">
        <v>1987</v>
      </c>
      <c r="T5" s="2299" t="s">
        <v>1988</v>
      </c>
      <c r="U5" s="1270" t="s">
        <v>1989</v>
      </c>
      <c r="V5" s="1271" t="s">
        <v>1990</v>
      </c>
      <c r="W5" s="1271" t="s">
        <v>1991</v>
      </c>
      <c r="X5" s="71"/>
      <c r="Y5" s="70" t="s">
        <v>1992</v>
      </c>
      <c r="Z5" s="2300" t="s">
        <v>1989</v>
      </c>
      <c r="AA5" s="1271" t="s">
        <v>1990</v>
      </c>
      <c r="AB5" s="1271" t="s">
        <v>1991</v>
      </c>
      <c r="AC5" s="71"/>
      <c r="AD5" s="71" t="s">
        <v>1992</v>
      </c>
      <c r="AE5" s="1270" t="s">
        <v>1993</v>
      </c>
      <c r="AF5" s="1271" t="s">
        <v>1994</v>
      </c>
      <c r="AG5" s="70" t="s">
        <v>1995</v>
      </c>
      <c r="AH5" s="1270" t="s">
        <v>1996</v>
      </c>
      <c r="AI5" s="2300" t="s">
        <v>1997</v>
      </c>
      <c r="AJ5" s="2300" t="s">
        <v>1998</v>
      </c>
      <c r="AK5" s="1271" t="s">
        <v>1999</v>
      </c>
      <c r="AL5" s="1271" t="s">
        <v>2000</v>
      </c>
      <c r="AM5" s="70" t="s">
        <v>2001</v>
      </c>
      <c r="AN5" s="2301" t="s">
        <v>2002</v>
      </c>
      <c r="AO5" s="2074" t="s">
        <v>2003</v>
      </c>
      <c r="AP5" s="1252" t="s">
        <v>2004</v>
      </c>
      <c r="AQ5" s="2302" t="s">
        <v>2005</v>
      </c>
      <c r="AR5" s="2302"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3" t="str">
        <f>'数据-汇总表'!C19</f>
        <v>办公楼</v>
      </c>
      <c r="B6" s="2304" t="str">
        <f>IF(A6=0,"","经营性")</f>
        <v>经营性</v>
      </c>
      <c r="C6" s="2305" t="s">
        <v>6</v>
      </c>
      <c r="D6" s="1054">
        <f>SUMIF(项目基本情况!D$12:I$12,C6,项目基本情况!D$14:I$14)</f>
        <v>50</v>
      </c>
      <c r="E6" s="1051">
        <f>IF(B6="","",SUMIF(项目基本情况!D$12:I$12,C6,项目基本情况!D$13:I$13))</f>
        <v>55991</v>
      </c>
      <c r="F6" s="72">
        <f>SUMIF(项目基本情况!D$12:I$12,C6,项目基本情况!D$15:I$15)</f>
        <v>34.78</v>
      </c>
      <c r="G6" s="73">
        <f>IF(ISERROR(ROUND(POWER(1+H6,D6-F6)*(POWER(1+H6,F6)-1)/(POWER(1+H6,D6)-1),3)),0,ROUND(POWER(1+H6,D6-F6)*(POWER(1+H6,F6)-1)/(POWER(1+H6,D6)-1),3))</f>
        <v>0.89500000000000002</v>
      </c>
      <c r="H6" s="802">
        <v>0.05</v>
      </c>
      <c r="I6" s="802">
        <v>5.5E-2</v>
      </c>
      <c r="J6" s="74">
        <v>8.5000000000000006E-2</v>
      </c>
      <c r="K6" s="1254">
        <f>SUMIF('数据-汇总表'!C$19:C$33,A6,'数据-汇总表'!E$19:E$33)</f>
        <v>4081.21</v>
      </c>
      <c r="L6" s="803">
        <v>3500</v>
      </c>
      <c r="M6" s="75">
        <f t="shared" ref="M6:M14" si="0">ROUND(K6*L6/10000,0)</f>
        <v>1428</v>
      </c>
      <c r="N6" s="2992">
        <f>Sheet1!I14</f>
        <v>0.85</v>
      </c>
      <c r="O6" s="75" t="str">
        <f>IF($N$5="成新度","——",ROUND(M6*N6,0))</f>
        <v>——</v>
      </c>
      <c r="P6" s="76" t="str">
        <f>IF($N$5="成新度","——",M6-O6)</f>
        <v>——</v>
      </c>
      <c r="Q6" s="804">
        <v>0.2</v>
      </c>
      <c r="R6" s="77">
        <f ca="1">SUMIF('数据-汇总表'!C$19:C$33,A6,'数据-汇总表'!R$19:R$27)</f>
        <v>3813.71</v>
      </c>
      <c r="S6" s="54">
        <f>IF('数据-汇总表'!$I$17="按面积比例",SUMIF('数据-汇总表'!C$19:C$33,A6,'数据-汇总表'!K$19:K$33),SUMIF('数据-汇总表'!C$19:C$33,A6,'数据-汇总表'!N$19:N$33))</f>
        <v>0</v>
      </c>
      <c r="T6" s="1446">
        <f>ROUND($L$14*S6/10000,0)</f>
        <v>0</v>
      </c>
      <c r="U6" s="78">
        <v>3.5</v>
      </c>
      <c r="V6" s="79">
        <v>2.5000000000000001E-2</v>
      </c>
      <c r="W6" s="79">
        <v>0.15</v>
      </c>
      <c r="X6" s="1264"/>
      <c r="Y6" s="80">
        <f>N6</f>
        <v>0.85</v>
      </c>
      <c r="Z6" s="81"/>
      <c r="AA6" s="74"/>
      <c r="AB6" s="74"/>
      <c r="AC6" s="1264"/>
      <c r="AD6" s="82"/>
      <c r="AE6" s="1265">
        <f ca="1">IF(AN6="",0,SUMIF(INDIRECT("'"&amp;AN6&amp;"'"&amp;"!E:E"),$AE$5,INDIRECT("'"&amp;AN6&amp;"'"&amp;"!F:F")))</f>
        <v>34.78</v>
      </c>
      <c r="AF6" s="1807"/>
      <c r="AG6" s="147">
        <f>IF(AF6="",0,AE6-AF6)</f>
        <v>0</v>
      </c>
      <c r="AH6" s="83"/>
      <c r="AI6" s="85">
        <v>365</v>
      </c>
      <c r="AJ6" s="86"/>
      <c r="AK6" s="87">
        <v>1.4999999999999999E-2</v>
      </c>
      <c r="AL6" s="88">
        <v>1.5E-3</v>
      </c>
      <c r="AM6" s="89">
        <v>1.4999999999999999E-2</v>
      </c>
      <c r="AN6" s="2306" t="s">
        <v>3119</v>
      </c>
      <c r="AO6" s="55">
        <f ca="1">SUMIF(INDIRECT("'"&amp;AN6&amp;"'"&amp;"!A:A"),"总价",INDIRECT("'"&amp;AN6&amp;"'"&amp;"!B:B"))</f>
        <v>6861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厂房</v>
      </c>
      <c r="B7" s="2304" t="str">
        <f t="shared" ref="B7:B13" si="1">IF(A7=0,"","经营性")</f>
        <v>经营性</v>
      </c>
      <c r="C7" s="2305" t="s">
        <v>6</v>
      </c>
      <c r="D7" s="1054">
        <f>SUMIF(项目基本情况!D$12:I$12,C7,项目基本情况!D$14:I$14)</f>
        <v>50</v>
      </c>
      <c r="E7" s="1051">
        <f>IF(B7="","",SUMIF(项目基本情况!D$12:I$12,C7,项目基本情况!D$13:I$13))</f>
        <v>55991</v>
      </c>
      <c r="F7" s="72">
        <f>SUMIF(项目基本情况!D$12:I$12,C7,项目基本情况!D$15:I$15)</f>
        <v>34.78</v>
      </c>
      <c r="G7" s="73">
        <f t="shared" ref="G7:G11" si="2">IF(ISERROR(ROUND(POWER(1+H7,D7-F7)*(POWER(1+H7,F7)-1)/(POWER(1+H7,D7)-1),3)),0,ROUND(POWER(1+H7,D7-F7)*(POWER(1+H7,F7)-1)/(POWER(1+H7,D7)-1),3))</f>
        <v>0.88100000000000001</v>
      </c>
      <c r="H7" s="802">
        <v>4.4999999999999998E-2</v>
      </c>
      <c r="I7" s="802">
        <v>0.05</v>
      </c>
      <c r="J7" s="74">
        <v>8.5000000000000006E-2</v>
      </c>
      <c r="K7" s="1254">
        <f>SUMIF('数据-汇总表'!C$19:C$33,A7,'数据-汇总表'!E$19:E$33)</f>
        <v>6744.41</v>
      </c>
      <c r="L7" s="803">
        <v>2000</v>
      </c>
      <c r="M7" s="75">
        <f t="shared" si="0"/>
        <v>1349</v>
      </c>
      <c r="N7" s="2992">
        <f>N6</f>
        <v>0.85</v>
      </c>
      <c r="O7" s="75" t="str">
        <f t="shared" ref="O7:O14" si="3">IF($N$5="成新度","——",ROUND(M7*N7,0))</f>
        <v>——</v>
      </c>
      <c r="P7" s="76" t="str">
        <f t="shared" ref="P7:P14" si="4">IF($N$5="成新度","——",M7-O7)</f>
        <v>——</v>
      </c>
      <c r="Q7" s="804">
        <v>0.1</v>
      </c>
      <c r="R7" s="77">
        <f ca="1">SUMIF('数据-汇总表'!C$19:C$33,A7,'数据-汇总表'!R$19:R$27)</f>
        <v>6302.35</v>
      </c>
      <c r="S7" s="54">
        <f>IF('数据-汇总表'!$I$17="按面积比例",SUMIF('数据-汇总表'!C$19:C$33,A7,'数据-汇总表'!K$19:K$33),SUMIF('数据-汇总表'!C$19:C$33,A7,'数据-汇总表'!N$19:N$33))</f>
        <v>0</v>
      </c>
      <c r="T7" s="1446">
        <f t="shared" ref="T7:T13" si="5">ROUND($L$14*S7/10000,0)</f>
        <v>0</v>
      </c>
      <c r="U7" s="78">
        <v>1.6</v>
      </c>
      <c r="V7" s="79">
        <v>1.4999999999999999E-2</v>
      </c>
      <c r="W7" s="79">
        <v>0.15</v>
      </c>
      <c r="X7" s="1264"/>
      <c r="Y7" s="80">
        <f>N7</f>
        <v>0.85</v>
      </c>
      <c r="Z7" s="81"/>
      <c r="AA7" s="74"/>
      <c r="AB7" s="74"/>
      <c r="AC7" s="1264"/>
      <c r="AD7" s="82"/>
      <c r="AE7" s="1265">
        <f t="shared" ref="AE7:AE13" ca="1" si="6">IF(AN7="",0,SUMIF(INDIRECT("'"&amp;AN7&amp;"'"&amp;"!E:E"),$AE$5,INDIRECT("'"&amp;AN7&amp;"'"&amp;"!F:F")))</f>
        <v>34.78</v>
      </c>
      <c r="AF7" s="1807"/>
      <c r="AG7" s="147">
        <f t="shared" ref="AG7:AG13" si="7">IF(AF7="",0,AE7-AF7)</f>
        <v>0</v>
      </c>
      <c r="AH7" s="83"/>
      <c r="AI7" s="85">
        <v>365</v>
      </c>
      <c r="AJ7" s="86"/>
      <c r="AK7" s="87">
        <v>1.4999999999999999E-2</v>
      </c>
      <c r="AL7" s="88">
        <v>1.5E-3</v>
      </c>
      <c r="AM7" s="89">
        <v>1.4999999999999999E-2</v>
      </c>
      <c r="AN7" s="2306" t="s">
        <v>3125</v>
      </c>
      <c r="AO7" s="55">
        <f t="shared" ref="AO7:AO13" ca="1" si="8">SUMIF(INDIRECT("'"&amp;AN7&amp;"'"&amp;"!A:A"),"总价",INDIRECT("'"&amp;AN7&amp;"'"&amp;"!B:B"))</f>
        <v>4728</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t="str">
        <f>'数据-汇总表'!C21</f>
        <v>数据中心</v>
      </c>
      <c r="B8" s="2304" t="str">
        <f t="shared" si="1"/>
        <v>经营性</v>
      </c>
      <c r="C8" s="2305" t="s">
        <v>6</v>
      </c>
      <c r="D8" s="1054">
        <f>SUMIF(项目基本情况!D$12:I$12,C8,项目基本情况!D$14:I$14)</f>
        <v>50</v>
      </c>
      <c r="E8" s="1051">
        <f>IF(B8="","",SUMIF(项目基本情况!D$12:I$12,C8,项目基本情况!D$13:I$13))</f>
        <v>55991</v>
      </c>
      <c r="F8" s="72">
        <f>SUMIF(项目基本情况!D$12:I$12,C8,项目基本情况!D$15:I$15)</f>
        <v>34.78</v>
      </c>
      <c r="G8" s="73">
        <f t="shared" si="2"/>
        <v>0.89500000000000002</v>
      </c>
      <c r="H8" s="802">
        <v>0.05</v>
      </c>
      <c r="I8" s="802">
        <v>5.5E-2</v>
      </c>
      <c r="J8" s="74">
        <v>8.5000000000000006E-2</v>
      </c>
      <c r="K8" s="1254">
        <f>SUMIF('数据-汇总表'!C$19:C$33,A8,'数据-汇总表'!E$19:E$33)</f>
        <v>10577.23</v>
      </c>
      <c r="L8" s="803">
        <v>9000</v>
      </c>
      <c r="M8" s="75">
        <f>ROUND(K8*L8/10000,0)</f>
        <v>9520</v>
      </c>
      <c r="N8" s="2992">
        <f>N6</f>
        <v>0.85</v>
      </c>
      <c r="O8" s="75" t="str">
        <f t="shared" si="3"/>
        <v>——</v>
      </c>
      <c r="P8" s="76" t="str">
        <f t="shared" si="4"/>
        <v>——</v>
      </c>
      <c r="Q8" s="804">
        <v>0.25</v>
      </c>
      <c r="R8" s="77">
        <f ca="1">SUMIF('数据-汇总表'!C$19:C$33,A8,'数据-汇总表'!R$19:R$27)</f>
        <v>9883.9500000000007</v>
      </c>
      <c r="S8" s="54">
        <f>IF('数据-汇总表'!$I$17="按面积比例",SUMIF('数据-汇总表'!C$19:C$33,A8,'数据-汇总表'!K$19:K$33),SUMIF('数据-汇总表'!C$19:C$33,A8,'数据-汇总表'!N$19:N$33))</f>
        <v>0</v>
      </c>
      <c r="T8" s="1446">
        <f t="shared" si="5"/>
        <v>0</v>
      </c>
      <c r="U8" s="805">
        <f>Sheet1!G4</f>
        <v>12</v>
      </c>
      <c r="V8" s="806">
        <v>0.01</v>
      </c>
      <c r="W8" s="806">
        <v>0.15</v>
      </c>
      <c r="X8" s="1264"/>
      <c r="Y8" s="807">
        <f>N8</f>
        <v>0.85</v>
      </c>
      <c r="Z8" s="81"/>
      <c r="AA8" s="74"/>
      <c r="AB8" s="74"/>
      <c r="AC8" s="1264"/>
      <c r="AD8" s="82"/>
      <c r="AE8" s="1265">
        <f t="shared" ca="1" si="6"/>
        <v>34.78</v>
      </c>
      <c r="AF8" s="1807"/>
      <c r="AG8" s="147">
        <f t="shared" si="7"/>
        <v>0</v>
      </c>
      <c r="AH8" s="808"/>
      <c r="AI8" s="85">
        <v>365</v>
      </c>
      <c r="AJ8" s="86"/>
      <c r="AK8" s="809">
        <v>2.5000000000000001E-2</v>
      </c>
      <c r="AL8" s="810">
        <v>2E-3</v>
      </c>
      <c r="AM8" s="811">
        <v>2.5000000000000001E-2</v>
      </c>
      <c r="AN8" s="2306" t="s">
        <v>3129</v>
      </c>
      <c r="AO8" s="55">
        <f t="shared" ca="1" si="8"/>
        <v>48109</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2007</v>
      </c>
      <c r="B14" s="2304" t="s">
        <v>2008</v>
      </c>
      <c r="C14" s="2309"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2009</v>
      </c>
      <c r="B15" s="2304" t="s">
        <v>2008</v>
      </c>
      <c r="C15" s="2309"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2011</v>
      </c>
      <c r="B16" s="97"/>
      <c r="C16" s="1008"/>
      <c r="D16" s="2311"/>
      <c r="E16" s="97"/>
      <c r="F16" s="97"/>
      <c r="G16" s="98">
        <f>ROUND(SUMPRODUCT(G6:G13,K6:K13)/SUMPRODUCT((G6:G13&gt;0)*(K6:K13)),3)</f>
        <v>0.89100000000000001</v>
      </c>
      <c r="H16" s="99">
        <f>ROUND(SUMPRODUCT(H6:H13,K6:K13)/SUMPRODUCT((H6:H13&gt;0)*(K6:K13)),3)</f>
        <v>4.8000000000000001E-2</v>
      </c>
      <c r="I16" s="100"/>
      <c r="J16" s="100"/>
      <c r="K16" s="101">
        <f>SUM(K6:K15)</f>
        <v>21402.85</v>
      </c>
      <c r="L16" s="102">
        <f>ROUND(M16*10000/SUM(K6:K14),0)</f>
        <v>5745</v>
      </c>
      <c r="M16" s="102">
        <f>SUM(M6:M14)</f>
        <v>12297</v>
      </c>
      <c r="N16" s="103">
        <f>ROUND(SUMPRODUCT(M6:M14,N6:N14)/M16,3)</f>
        <v>0.85</v>
      </c>
      <c r="O16" s="102">
        <f>SUM(O6:O14)</f>
        <v>0</v>
      </c>
      <c r="P16" s="102">
        <f>SUM(P6:P14)</f>
        <v>0</v>
      </c>
      <c r="Q16" s="104">
        <f>ROUND(SUMPRODUCT(Q6:Q13,K6:K13)/SUMPRODUCT((Q6:Q13&gt;0)*(K6:K13)),2)</f>
        <v>0.19</v>
      </c>
      <c r="R16" s="1258">
        <f ca="1">SUM(R6:R13)</f>
        <v>20000.010000000002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2013</v>
      </c>
      <c r="B19" s="112">
        <v>0</v>
      </c>
      <c r="C19" s="2274" t="s">
        <v>2014</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2015</v>
      </c>
      <c r="B20" s="113">
        <v>2</v>
      </c>
      <c r="C20" s="2274" t="s">
        <v>2016</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2017</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2018</v>
      </c>
      <c r="B22" s="114">
        <f>B19+B20</f>
        <v>2</v>
      </c>
      <c r="C22" s="2274"/>
      <c r="D22" s="2275"/>
      <c r="E22" s="2274"/>
      <c r="F22" s="2274"/>
      <c r="G22" s="2274"/>
      <c r="H22" s="2274"/>
      <c r="I22" s="2274"/>
      <c r="J22" s="2274"/>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2019</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2020</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2021</v>
      </c>
      <c r="B26" s="2317" t="s">
        <v>2022</v>
      </c>
      <c r="C26" s="2318" t="s">
        <v>2023</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2024</v>
      </c>
      <c r="B27" s="116">
        <v>0</v>
      </c>
      <c r="C27" s="1767" t="s">
        <v>2025</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2026</v>
      </c>
      <c r="B28" s="119">
        <v>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2027</v>
      </c>
      <c r="B29" s="121">
        <f ca="1">'成本法（办公）'!C10</f>
        <v>0</v>
      </c>
      <c r="C29" s="1767" t="s">
        <v>2028</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2029</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2030</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2031</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2032</v>
      </c>
      <c r="B33" s="726">
        <v>0.03</v>
      </c>
      <c r="C33" s="1766" t="s">
        <v>2033</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2034</v>
      </c>
      <c r="B34" s="122">
        <v>0</v>
      </c>
      <c r="C34" s="1766" t="s">
        <v>2035</v>
      </c>
      <c r="D34" s="2275" t="s">
        <v>2036</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2037</v>
      </c>
      <c r="B35" s="119">
        <v>200</v>
      </c>
      <c r="C35" s="1766" t="s">
        <v>2038</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2039</v>
      </c>
      <c r="B36" s="123">
        <v>1.4999999999999999E-2</v>
      </c>
      <c r="C36" s="1766" t="s">
        <v>2040</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2041</v>
      </c>
      <c r="B37" s="124">
        <v>0.02</v>
      </c>
      <c r="C37" s="1766" t="s">
        <v>2042</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2043</v>
      </c>
      <c r="B38" s="122">
        <v>0.02</v>
      </c>
      <c r="C38" s="1766" t="s">
        <v>2042</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2044</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2045</v>
      </c>
      <c r="B40" s="1303">
        <f ca="1">存贷款利率!G1</f>
        <v>4.7500000000000001E-2</v>
      </c>
      <c r="C40" s="1766" t="s">
        <v>2046</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2047</v>
      </c>
      <c r="B41" s="125">
        <f>B42+B43</f>
        <v>5.5000000000000007E-2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2048</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2049</v>
      </c>
      <c r="B43" s="127">
        <f>B42*(B44+B45+B46)+B47</f>
        <v>5.000000000000001E-3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2050</v>
      </c>
      <c r="B44" s="128">
        <v>0.05</v>
      </c>
      <c r="C44" s="1766" t="s">
        <v>2051</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2052</v>
      </c>
      <c r="B45" s="126">
        <v>0.03</v>
      </c>
      <c r="C45" s="1767" t="s">
        <v>2053</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2054</v>
      </c>
      <c r="B46" s="126">
        <v>0.02</v>
      </c>
      <c r="C46" s="1767" t="s">
        <v>2055</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2056</v>
      </c>
      <c r="B47" s="129"/>
      <c r="C47" s="1767" t="s">
        <v>2057</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2058</v>
      </c>
      <c r="B48" s="130">
        <v>0.03</v>
      </c>
      <c r="C48" s="1774" t="s">
        <v>2059</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2060</v>
      </c>
      <c r="B49" s="126">
        <v>5.0000000000000001E-4</v>
      </c>
      <c r="C49" s="1774" t="s">
        <v>2061</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2062</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2063</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2064</v>
      </c>
      <c r="B52" s="133">
        <f>SUMIF(A54:A63,B53,B54:B63)</f>
        <v>1.5</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2065</v>
      </c>
      <c r="B53" s="2333" t="s">
        <v>56</v>
      </c>
      <c r="C53" s="1430" t="s">
        <v>2066</v>
      </c>
      <c r="D53" s="2334" t="s">
        <v>2067</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2068</v>
      </c>
      <c r="B54" s="84">
        <f>C54</f>
        <v>30</v>
      </c>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2069</v>
      </c>
      <c r="B55" s="84">
        <f t="shared" ref="B55:B59" si="12">C55</f>
        <v>24</v>
      </c>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2070</v>
      </c>
      <c r="B56" s="84">
        <f t="shared" si="12"/>
        <v>18</v>
      </c>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2071</v>
      </c>
      <c r="B57" s="84">
        <f t="shared" si="12"/>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2072</v>
      </c>
      <c r="B58" s="84">
        <f t="shared" si="12"/>
        <v>3</v>
      </c>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2073</v>
      </c>
      <c r="B59" s="84">
        <f t="shared" si="12"/>
        <v>1.5</v>
      </c>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2074</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2075</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2076</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2077</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84" t="s">
        <v>2078</v>
      </c>
      <c r="B1" s="3085"/>
      <c r="C1" s="3085"/>
      <c r="D1" s="3085"/>
      <c r="E1" s="3085"/>
      <c r="F1" s="3085"/>
      <c r="G1" s="308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1" t="s">
        <v>2082</v>
      </c>
      <c r="C3" s="2367" t="s">
        <v>2083</v>
      </c>
      <c r="D3" s="2368"/>
      <c r="E3" s="431" t="s">
        <v>2081</v>
      </c>
      <c r="F3" s="2369" t="s">
        <v>2084</v>
      </c>
      <c r="G3" s="2988" t="s">
        <v>3111</v>
      </c>
      <c r="H3" s="2365"/>
      <c r="I3" s="2365"/>
      <c r="J3" s="2365"/>
      <c r="K3" s="2365"/>
      <c r="L3" s="2365"/>
      <c r="M3" s="2365"/>
      <c r="N3" s="2365"/>
      <c r="O3" s="2365"/>
      <c r="P3" s="2365"/>
      <c r="Q3" s="2365"/>
      <c r="R3" s="2365"/>
    </row>
    <row r="4" spans="1:29" ht="54">
      <c r="A4" s="431"/>
      <c r="B4" s="1798" t="s">
        <v>2085</v>
      </c>
      <c r="C4" s="2370" t="s">
        <v>2086</v>
      </c>
      <c r="D4" s="2368"/>
      <c r="E4" s="2371"/>
      <c r="F4" s="42" t="s">
        <v>2087</v>
      </c>
      <c r="G4" s="2989" t="s">
        <v>3112</v>
      </c>
      <c r="H4" s="2365"/>
      <c r="I4" s="2365"/>
      <c r="J4" s="2365"/>
      <c r="K4" s="2365"/>
      <c r="L4" s="2365"/>
      <c r="M4" s="2365"/>
      <c r="N4" s="2365"/>
      <c r="O4" s="2365"/>
      <c r="P4" s="2365"/>
      <c r="Q4" s="2365"/>
      <c r="R4" s="2365"/>
    </row>
    <row r="5" spans="1:29" ht="41.25">
      <c r="A5" s="431"/>
      <c r="B5" s="1798" t="s">
        <v>2089</v>
      </c>
      <c r="C5" s="2370" t="s">
        <v>2090</v>
      </c>
      <c r="D5" s="2368"/>
      <c r="E5" s="2371"/>
      <c r="F5" s="1798" t="s">
        <v>2091</v>
      </c>
      <c r="G5" s="2989" t="s">
        <v>3113</v>
      </c>
      <c r="H5" s="2365"/>
      <c r="I5" s="2365"/>
      <c r="J5" s="2365"/>
      <c r="K5" s="2365"/>
      <c r="L5" s="2365"/>
      <c r="M5" s="2365"/>
      <c r="N5" s="2365"/>
      <c r="O5" s="2365"/>
      <c r="P5" s="2365"/>
      <c r="Q5" s="2365"/>
      <c r="R5" s="2365"/>
    </row>
    <row r="6" spans="1:29" ht="54">
      <c r="A6" s="431"/>
      <c r="B6" s="1798" t="s">
        <v>2093</v>
      </c>
      <c r="C6" s="2372" t="s">
        <v>2088</v>
      </c>
      <c r="D6" s="2368"/>
      <c r="E6" s="2371"/>
      <c r="F6" s="1798" t="s">
        <v>2094</v>
      </c>
      <c r="G6" s="2989" t="s">
        <v>3114</v>
      </c>
      <c r="H6" s="2365"/>
      <c r="I6" s="2365"/>
      <c r="J6" s="2365"/>
      <c r="K6" s="2365"/>
      <c r="L6" s="2365"/>
      <c r="M6" s="2365"/>
      <c r="N6" s="2365"/>
      <c r="O6" s="2365"/>
      <c r="P6" s="2365"/>
      <c r="Q6" s="2365"/>
      <c r="R6" s="2365"/>
    </row>
    <row r="7" spans="1:29" ht="41.25" thickBot="1">
      <c r="A7" s="431"/>
      <c r="B7" s="1798" t="s">
        <v>2091</v>
      </c>
      <c r="C7" s="2372" t="s">
        <v>2092</v>
      </c>
      <c r="D7" s="2373"/>
      <c r="E7" s="2374"/>
      <c r="F7" s="2375" t="s">
        <v>2096</v>
      </c>
      <c r="G7" s="2991" t="s">
        <v>3116</v>
      </c>
      <c r="H7" s="2365"/>
      <c r="I7" s="2365"/>
      <c r="J7" s="2365"/>
      <c r="K7" s="2365"/>
      <c r="L7" s="2365"/>
      <c r="M7" s="2365"/>
      <c r="N7" s="2365"/>
      <c r="O7" s="2365"/>
      <c r="P7" s="2365"/>
      <c r="Q7" s="2365"/>
      <c r="R7" s="2365"/>
    </row>
    <row r="8" spans="1:29" ht="27">
      <c r="A8" s="431"/>
      <c r="B8" s="1798" t="s">
        <v>2094</v>
      </c>
      <c r="C8" s="2372" t="s">
        <v>2095</v>
      </c>
      <c r="D8" s="2373"/>
      <c r="E8" s="2373"/>
      <c r="F8" s="1136"/>
      <c r="G8" s="1136"/>
      <c r="H8" s="2365"/>
      <c r="I8" s="2365"/>
      <c r="J8" s="2365"/>
      <c r="K8" s="2365"/>
      <c r="L8" s="2365"/>
      <c r="M8" s="2365"/>
      <c r="N8" s="2365"/>
      <c r="O8" s="2365"/>
      <c r="P8" s="2365"/>
      <c r="Q8" s="2365"/>
      <c r="R8" s="2365"/>
    </row>
    <row r="9" spans="1:29" ht="27">
      <c r="A9" s="431"/>
      <c r="B9" s="1798" t="s">
        <v>2097</v>
      </c>
      <c r="C9" s="2370" t="s">
        <v>2098</v>
      </c>
      <c r="D9" s="2368"/>
      <c r="E9" s="2373"/>
      <c r="F9" s="1136"/>
      <c r="G9" s="1136"/>
      <c r="H9" s="2365"/>
      <c r="I9" s="2365"/>
      <c r="J9" s="2365"/>
      <c r="K9" s="2365"/>
      <c r="L9" s="2365"/>
      <c r="M9" s="2365"/>
      <c r="N9" s="2365"/>
      <c r="O9" s="2365"/>
      <c r="P9" s="2365"/>
      <c r="Q9" s="2365"/>
      <c r="R9" s="2365"/>
    </row>
    <row r="10" spans="1:29" s="117" customFormat="1" ht="15.75" thickBot="1">
      <c r="A10" s="2376"/>
      <c r="B10" s="2377" t="s">
        <v>2099</v>
      </c>
      <c r="C10" s="2378"/>
      <c r="D10" s="2368"/>
      <c r="E10" s="2368"/>
      <c r="F10" s="1136"/>
      <c r="G10" s="1136"/>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4"/>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4"/>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8"/>
      <c r="E14" s="2397"/>
      <c r="F14" s="2397"/>
      <c r="G14" s="2362" t="s">
        <v>2102</v>
      </c>
    </row>
    <row r="15" spans="1:29" ht="57">
      <c r="A15" s="68" t="s">
        <v>2103</v>
      </c>
      <c r="B15" s="1270" t="s">
        <v>2082</v>
      </c>
      <c r="C15" s="2398" t="str">
        <f>C3</f>
        <v>估价对象周边居住用地比例、居住小区规模和社区发展完善程度，综合评价居住社区成熟度一般</v>
      </c>
      <c r="D15" s="2368"/>
      <c r="E15" s="2399" t="s">
        <v>2104</v>
      </c>
      <c r="F15" s="1270" t="s">
        <v>2105</v>
      </c>
      <c r="G15" s="135" t="str">
        <f>G3</f>
        <v>估价对象位于天竺空港工业区，园区建设成熟度较好，产业集聚程度较好</v>
      </c>
    </row>
    <row r="16" spans="1:29" ht="57">
      <c r="A16" s="645"/>
      <c r="B16" s="2400" t="s">
        <v>2085</v>
      </c>
      <c r="C16" s="2401" t="str">
        <f>C4</f>
        <v>估价对象位于XX商圈，周边商业氛围成熟，人流量大，商业繁华度好</v>
      </c>
      <c r="D16" s="2368"/>
      <c r="E16" s="2402"/>
      <c r="F16" s="2403" t="s">
        <v>2087</v>
      </c>
      <c r="G16" s="136" t="str">
        <f>G4</f>
        <v>估价对象周边道路状况较好、公共交通通达情况较好、停车便捷程度较好，综合评价交通便捷度较好</v>
      </c>
    </row>
    <row r="17" spans="1:18" ht="42.75">
      <c r="A17" s="645"/>
      <c r="B17" s="2400" t="s">
        <v>2089</v>
      </c>
      <c r="C17" s="2401" t="str">
        <f>C5</f>
        <v>估价对象位于XX商圈，周边办公楼项目较多，入驻率高，办公集聚程度较好</v>
      </c>
      <c r="D17" s="2373"/>
      <c r="E17" s="2402"/>
      <c r="F17" s="2403" t="s">
        <v>2106</v>
      </c>
      <c r="G17" s="1572"/>
    </row>
    <row r="18" spans="1:18" ht="57">
      <c r="A18" s="645"/>
      <c r="B18" s="2403" t="s">
        <v>2093</v>
      </c>
      <c r="C18" s="136" t="str">
        <f>C6</f>
        <v>估价对象周边道路状况、公共交通通达情况、停车便捷程度，综合评价交通便捷度较好</v>
      </c>
      <c r="D18" s="2373"/>
      <c r="E18" s="2402"/>
      <c r="F18" s="2403" t="s">
        <v>2096</v>
      </c>
      <c r="G18" s="136" t="str">
        <f>G7</f>
        <v>该园区内无污染型企业，绿化情况一般，卫生条件一般，整体环境状况一般</v>
      </c>
    </row>
    <row r="19" spans="1:18" ht="28.5">
      <c r="A19" s="645"/>
      <c r="B19" s="2403" t="s">
        <v>2107</v>
      </c>
      <c r="C19" s="1572"/>
      <c r="D19" s="2368"/>
      <c r="E19" s="2402"/>
      <c r="F19" s="1798" t="s">
        <v>2091</v>
      </c>
      <c r="G19" s="136" t="str">
        <f>G5</f>
        <v>估价对象所在区域公共配套设施齐备情况一般</v>
      </c>
    </row>
    <row r="20" spans="1:18" ht="28.5">
      <c r="A20" s="645"/>
      <c r="B20" s="2403" t="s">
        <v>2108</v>
      </c>
      <c r="C20" s="2401" t="str">
        <f>C9</f>
        <v>区域自然环境：；人文环境；综合评价环境状况一般</v>
      </c>
      <c r="D20" s="2373"/>
      <c r="E20" s="2402"/>
      <c r="F20" s="1798" t="s">
        <v>2109</v>
      </c>
      <c r="G20" s="136" t="str">
        <f>G6</f>
        <v>估价对象所在区域基础设施水平为六通</v>
      </c>
    </row>
    <row r="21" spans="1:18" ht="28.5">
      <c r="A21" s="645"/>
      <c r="B21" s="1798" t="s">
        <v>2091</v>
      </c>
      <c r="C21" s="136" t="str">
        <f>C7</f>
        <v>估价对象所在区域公共配套设施齐备情况</v>
      </c>
      <c r="D21" s="2368"/>
      <c r="E21" s="2402"/>
      <c r="F21" s="2403" t="s">
        <v>2110</v>
      </c>
      <c r="G21" s="2404"/>
    </row>
    <row r="22" spans="1:18" ht="13.5" customHeight="1">
      <c r="A22" s="645"/>
      <c r="B22" s="1798" t="s">
        <v>2094</v>
      </c>
      <c r="C22" s="136" t="str">
        <f>C8</f>
        <v>估价对象所在区域基础设施水平</v>
      </c>
      <c r="D22" s="2368"/>
      <c r="E22" s="2402"/>
      <c r="F22" s="2403" t="s">
        <v>2099</v>
      </c>
      <c r="G22" s="1572"/>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0" sqref="E10"/>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21402.85</v>
      </c>
      <c r="C1" s="1745"/>
      <c r="D1" s="1745"/>
      <c r="E1" s="1745"/>
      <c r="F1" s="1745"/>
      <c r="G1" s="1743"/>
    </row>
    <row r="2" spans="1:10" ht="16.5">
      <c r="A2" s="1746" t="s">
        <v>1353</v>
      </c>
      <c r="B2" s="1746">
        <f>SUM(C14:C23)</f>
        <v>20000.010000000002</v>
      </c>
      <c r="C2" s="1745"/>
      <c r="D2" s="1745"/>
      <c r="E2" s="1745"/>
      <c r="F2" s="1745"/>
      <c r="G2" s="1743"/>
    </row>
    <row r="3" spans="1:10" ht="16.5">
      <c r="A3" s="1746" t="s">
        <v>1362</v>
      </c>
      <c r="B3" s="1747">
        <f>项目基本情况!D3</f>
        <v>43294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38183</v>
      </c>
      <c r="C5" s="1746">
        <f ca="1">ROUND(B5*10000/$B$1,0)</f>
        <v>17840</v>
      </c>
      <c r="D5" s="1746">
        <f ca="1">ROUND(B5*10000/$B$2,0)</f>
        <v>19091</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38183</v>
      </c>
      <c r="C7" s="1746">
        <f ca="1">ROUND(B7*10000/$B$1,0)</f>
        <v>17840</v>
      </c>
      <c r="D7" s="1746">
        <f ca="1">ROUND(B7*10000/$B$2,0)</f>
        <v>19091</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'结果表（办公）'!B118</f>
        <v>4081.21</v>
      </c>
      <c r="C14" s="1744">
        <f>'结果表（办公）'!C118</f>
        <v>3813.71</v>
      </c>
      <c r="D14" s="1744">
        <f ca="1">'结果表（办公）'!H118</f>
        <v>5489</v>
      </c>
      <c r="E14" s="1744">
        <f ca="1">ROUND(D14*10000/B14,0)</f>
        <v>13449</v>
      </c>
      <c r="F14" s="1744">
        <f ca="1">ROUND(D14*10000/C14,0)</f>
        <v>14393</v>
      </c>
      <c r="G14" s="1744" t="str">
        <f>'结果表（办公）'!D122</f>
        <v>——</v>
      </c>
      <c r="H14" s="1744">
        <f ca="1">'结果表（办公）'!D124</f>
        <v>5489</v>
      </c>
      <c r="I14" s="1744" t="str">
        <f>'结果表（办公）'!D126</f>
        <v>——</v>
      </c>
      <c r="J14" s="1743"/>
    </row>
    <row r="15" spans="1:10" ht="16.5">
      <c r="A15" s="1742" t="s">
        <v>1349</v>
      </c>
      <c r="B15" s="1749">
        <f>'数据-汇总表'!F20</f>
        <v>6744.41</v>
      </c>
      <c r="C15" s="1749">
        <f>'结果表 (厂房)'!C118</f>
        <v>6302.35</v>
      </c>
      <c r="D15" s="1749">
        <f ca="1">'结果表 (厂房)'!H118</f>
        <v>4238</v>
      </c>
      <c r="E15" s="1744">
        <f t="shared" ref="E15:E23" ca="1" si="0">ROUND(D15*10000/B15,0)</f>
        <v>6284</v>
      </c>
      <c r="F15" s="1744">
        <f t="shared" ref="F15:F23" ca="1" si="1">ROUND(D15*10000/C15,0)</f>
        <v>6724</v>
      </c>
      <c r="G15" s="1750" t="str">
        <f>'结果表 (厂房)'!D122</f>
        <v>——</v>
      </c>
      <c r="H15" s="1750">
        <f ca="1">'结果表 (厂房)'!D124</f>
        <v>4238</v>
      </c>
      <c r="I15" s="1749" t="str">
        <f>'结果表 (厂房)'!D126</f>
        <v>——</v>
      </c>
      <c r="J15" s="1743"/>
    </row>
    <row r="16" spans="1:10" ht="16.5">
      <c r="A16" s="1742" t="s">
        <v>1348</v>
      </c>
      <c r="B16" s="1749">
        <f>'数据-汇总表'!F21</f>
        <v>10577.23</v>
      </c>
      <c r="C16" s="1749">
        <f>'结果表 (数据中心)'!C118</f>
        <v>9883.9500000000007</v>
      </c>
      <c r="D16" s="1749">
        <f ca="1">'结果表 (数据中心)'!H118</f>
        <v>28456</v>
      </c>
      <c r="E16" s="1744">
        <f t="shared" ca="1" si="0"/>
        <v>26903</v>
      </c>
      <c r="F16" s="1744">
        <f t="shared" ca="1" si="1"/>
        <v>28790</v>
      </c>
      <c r="G16" s="1750" t="str">
        <f>'结果表 (数据中心)'!D122</f>
        <v>——</v>
      </c>
      <c r="H16" s="1750">
        <f ca="1">'结果表 (数据中心)'!D124</f>
        <v>28456</v>
      </c>
      <c r="I16" s="1749" t="str">
        <f>'结果表 (数据中心)'!D126</f>
        <v>——</v>
      </c>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G118" sqref="G11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2113</v>
      </c>
      <c r="B1" s="2414"/>
      <c r="C1" s="2415" t="s">
        <v>3063</v>
      </c>
      <c r="D1" s="2414"/>
      <c r="E1" s="2414"/>
      <c r="F1" s="2416" t="s">
        <v>2114</v>
      </c>
      <c r="G1" s="2071" t="s">
        <v>3053</v>
      </c>
      <c r="H1" s="2417" t="str">
        <f>IF(G1="现房","——","估价对象范围")</f>
        <v>——</v>
      </c>
      <c r="I1" s="2418" t="s">
        <v>3122</v>
      </c>
    </row>
    <row r="2" spans="1:12" ht="21.75" customHeight="1" thickBot="1">
      <c r="A2" s="3119" t="str">
        <f>项目基本情况!S2</f>
        <v>北京市顺义区竺园路6号1、2、3幢全部房地产</v>
      </c>
      <c r="B2" s="3120"/>
      <c r="C2" s="3120"/>
      <c r="D2" s="3120"/>
      <c r="E2" s="3120"/>
      <c r="F2" s="3120"/>
      <c r="G2" s="3120"/>
      <c r="H2" s="3120"/>
      <c r="I2" s="3121"/>
    </row>
    <row r="3" spans="1:12" ht="12.75">
      <c r="A3" s="3123" t="s">
        <v>2115</v>
      </c>
      <c r="B3" s="3124"/>
      <c r="C3" s="3124"/>
      <c r="D3" s="3124"/>
      <c r="E3" s="3124"/>
      <c r="F3" s="3124"/>
      <c r="G3" s="3124"/>
      <c r="H3" s="3124"/>
      <c r="I3" s="3124"/>
    </row>
    <row r="4" spans="1:12" ht="14.25">
      <c r="A4" s="2421" t="s">
        <v>2116</v>
      </c>
      <c r="B4" s="2422" t="s">
        <v>2117</v>
      </c>
      <c r="C4" s="2423" t="s">
        <v>3117</v>
      </c>
      <c r="D4" s="2423" t="s">
        <v>3119</v>
      </c>
      <c r="E4" s="3116" t="s">
        <v>2118</v>
      </c>
      <c r="F4" s="3117"/>
      <c r="G4" s="3117"/>
      <c r="H4" s="3117"/>
      <c r="I4" s="3125"/>
      <c r="K4" s="2424" t="str">
        <f>IF(ISNUMBER(FIND("比较法",'结果表（办公）'!C4)),"比较法",IF(ISNUMBER(FIND("成本法",'结果表（办公）'!C4)),"成本法",IF(ISNUMBER(FIND("假设开发法",'结果表（办公）'!C4)),"假设开发法",IF(ISNUMBER(FIND("收益法",'结果表（办公）'!C4)),"收益法","基准地价系数修正法"))))</f>
        <v>成本法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9" t="s">
        <v>2119</v>
      </c>
      <c r="B5" s="3037">
        <v>25</v>
      </c>
      <c r="C5" s="3102"/>
      <c r="D5" s="3122"/>
      <c r="E5" s="140" t="s">
        <v>2120</v>
      </c>
      <c r="F5" s="2425"/>
      <c r="G5" s="2425"/>
      <c r="H5" s="2425"/>
      <c r="I5" s="1834"/>
    </row>
    <row r="6" spans="1:12" ht="12.75">
      <c r="A6" s="3099"/>
      <c r="B6" s="3037"/>
      <c r="C6" s="3103"/>
      <c r="D6" s="3122"/>
      <c r="E6" s="140" t="s">
        <v>2121</v>
      </c>
      <c r="F6" s="2425"/>
      <c r="G6" s="2425"/>
      <c r="H6" s="2425"/>
      <c r="I6" s="1834"/>
    </row>
    <row r="7" spans="1:12" ht="12.75">
      <c r="A7" s="3099"/>
      <c r="B7" s="3037"/>
      <c r="C7" s="3104"/>
      <c r="D7" s="3122"/>
      <c r="E7" s="140" t="s">
        <v>2122</v>
      </c>
      <c r="F7" s="2425"/>
      <c r="G7" s="2425"/>
      <c r="H7" s="2425"/>
      <c r="I7" s="1834"/>
    </row>
    <row r="8" spans="1:12" ht="12.75">
      <c r="A8" s="3099" t="s">
        <v>2123</v>
      </c>
      <c r="B8" s="3037">
        <v>15</v>
      </c>
      <c r="C8" s="3102"/>
      <c r="D8" s="3122"/>
      <c r="E8" s="140" t="s">
        <v>2124</v>
      </c>
      <c r="F8" s="2425"/>
      <c r="G8" s="2425"/>
      <c r="H8" s="2425"/>
      <c r="I8" s="1834"/>
    </row>
    <row r="9" spans="1:12" ht="12.75">
      <c r="A9" s="3099"/>
      <c r="B9" s="3037"/>
      <c r="C9" s="3104"/>
      <c r="D9" s="3122"/>
      <c r="E9" s="140" t="s">
        <v>2125</v>
      </c>
      <c r="F9" s="2425"/>
      <c r="G9" s="2425"/>
      <c r="H9" s="2425"/>
      <c r="I9" s="1834"/>
    </row>
    <row r="10" spans="1:12" ht="12.75">
      <c r="A10" s="3099" t="s">
        <v>2126</v>
      </c>
      <c r="B10" s="3037">
        <v>15</v>
      </c>
      <c r="C10" s="3102"/>
      <c r="D10" s="3122"/>
      <c r="E10" s="140" t="s">
        <v>2127</v>
      </c>
      <c r="F10" s="2425"/>
      <c r="G10" s="2425"/>
      <c r="H10" s="2425"/>
      <c r="I10" s="1834"/>
    </row>
    <row r="11" spans="1:12" ht="12.75">
      <c r="A11" s="3099"/>
      <c r="B11" s="3037"/>
      <c r="C11" s="3104"/>
      <c r="D11" s="3122"/>
      <c r="E11" s="140" t="s">
        <v>2128</v>
      </c>
      <c r="F11" s="2425"/>
      <c r="G11" s="2425"/>
      <c r="H11" s="2425"/>
      <c r="I11" s="1834"/>
    </row>
    <row r="12" spans="1:12" ht="12.75">
      <c r="A12" s="3099" t="s">
        <v>2129</v>
      </c>
      <c r="B12" s="3037">
        <v>15</v>
      </c>
      <c r="C12" s="3102"/>
      <c r="D12" s="3122"/>
      <c r="E12" s="140" t="s">
        <v>2130</v>
      </c>
      <c r="F12" s="2425"/>
      <c r="G12" s="2425"/>
      <c r="H12" s="2425"/>
      <c r="I12" s="1834"/>
    </row>
    <row r="13" spans="1:12" ht="12.75">
      <c r="A13" s="3099"/>
      <c r="B13" s="3037"/>
      <c r="C13" s="3104"/>
      <c r="D13" s="3122"/>
      <c r="E13" s="140" t="s">
        <v>2131</v>
      </c>
      <c r="F13" s="2425"/>
      <c r="G13" s="2425"/>
      <c r="H13" s="2425"/>
      <c r="I13" s="1834"/>
    </row>
    <row r="14" spans="1:12" ht="12.75">
      <c r="A14" s="3099" t="s">
        <v>2132</v>
      </c>
      <c r="B14" s="3037">
        <v>30</v>
      </c>
      <c r="C14" s="3102">
        <v>35</v>
      </c>
      <c r="D14" s="3122">
        <v>65</v>
      </c>
      <c r="E14" s="140" t="s">
        <v>2133</v>
      </c>
      <c r="F14" s="2425"/>
      <c r="G14" s="2425"/>
      <c r="H14" s="2425"/>
      <c r="I14" s="1834"/>
    </row>
    <row r="15" spans="1:12" ht="12.75">
      <c r="A15" s="3099"/>
      <c r="B15" s="3037"/>
      <c r="C15" s="3103"/>
      <c r="D15" s="3122"/>
      <c r="E15" s="140" t="s">
        <v>2134</v>
      </c>
      <c r="F15" s="2425"/>
      <c r="G15" s="2425"/>
      <c r="H15" s="2425"/>
      <c r="I15" s="1834"/>
    </row>
    <row r="16" spans="1:12" ht="12.75">
      <c r="A16" s="3099"/>
      <c r="B16" s="3037"/>
      <c r="C16" s="3104"/>
      <c r="D16" s="3122"/>
      <c r="E16" s="140" t="s">
        <v>2135</v>
      </c>
      <c r="F16" s="2425"/>
      <c r="G16" s="2425"/>
      <c r="H16" s="2425"/>
      <c r="I16" s="1834"/>
    </row>
    <row r="17" spans="1:35" ht="15">
      <c r="A17" s="2426" t="s">
        <v>2136</v>
      </c>
      <c r="B17" s="64"/>
      <c r="C17" s="141">
        <f>SUM(C5:C16)</f>
        <v>35</v>
      </c>
      <c r="D17" s="141">
        <f>SUM(D5:D16)</f>
        <v>65</v>
      </c>
      <c r="E17" s="138"/>
      <c r="F17" s="138"/>
      <c r="G17" s="138"/>
      <c r="H17" s="138"/>
      <c r="I17" s="138"/>
      <c r="K17" s="2424"/>
      <c r="L17" s="2427" t="s">
        <v>2137</v>
      </c>
      <c r="M17" s="2427" t="s">
        <v>2138</v>
      </c>
    </row>
    <row r="18" spans="1:35" ht="15.75" thickBot="1">
      <c r="A18" s="2428" t="s">
        <v>2139</v>
      </c>
      <c r="B18" s="2429"/>
      <c r="C18" s="142">
        <f>ROUND(C17/SUM(C17:D17),2)</f>
        <v>0.35</v>
      </c>
      <c r="D18" s="142">
        <f>1-C18</f>
        <v>0.65</v>
      </c>
      <c r="E18" s="138"/>
      <c r="F18" s="138"/>
      <c r="G18" s="138"/>
      <c r="H18" s="138"/>
      <c r="I18" s="138"/>
      <c r="K18" s="2424" t="s">
        <v>2140</v>
      </c>
      <c r="L18" s="2424">
        <f>IF(C1="",'数据-汇总表'!E3,SUMIF(项目类型,C1,'数据-汇总表'!E17:E26)+SUMIF(项目类型,C1,'数据-汇总表'!I17:I26))</f>
        <v>4081.21</v>
      </c>
      <c r="M18" s="2424">
        <f>IF(C1="",'数据-汇总表'!E3,SUMIF(项目类型,C1,'数据-汇总表'!E17:E26))</f>
        <v>4081.21</v>
      </c>
    </row>
    <row r="19" spans="1:35" ht="15">
      <c r="A19" s="2430" t="s">
        <v>2141</v>
      </c>
      <c r="B19" s="2431" t="s">
        <v>2142</v>
      </c>
      <c r="C19" s="143">
        <f ca="1">SUMIF(INDIRECT("'"&amp;C4&amp;"'"&amp;"!A:A"),'结果表（办公）'!B19,INDIRECT("'"&amp;C4&amp;"'"&amp;"!B:B"))</f>
        <v>2940</v>
      </c>
      <c r="D19" s="144">
        <f ca="1">SUMIF(INDIRECT("'"&amp;D4&amp;"'"&amp;"!A:A"),'结果表（办公）'!B19,INDIRECT("'"&amp;D4&amp;"'"&amp;"!B:B"))</f>
        <v>6861</v>
      </c>
      <c r="E19" s="2430" t="s">
        <v>2143</v>
      </c>
      <c r="F19" s="2431" t="s">
        <v>2142</v>
      </c>
      <c r="G19" s="145">
        <f ca="1">ROUND(C19*$C$18+D19*$D$18,0)</f>
        <v>5489</v>
      </c>
      <c r="H19" s="2432" t="s">
        <v>2144</v>
      </c>
      <c r="I19" s="138"/>
      <c r="K19" s="2424" t="s">
        <v>2145</v>
      </c>
      <c r="L19" s="2424">
        <f>IF(C1="",'数据-汇总表'!D3,SUMIF(项目类型,C1,'数据-汇总表'!D17:D26)+SUMIF(项目类型,C1,'数据-汇总表'!H17:H27))</f>
        <v>3813.71</v>
      </c>
      <c r="M19" s="2424">
        <f>IF(C1="",'数据-汇总表'!D3,SUMIF(项目类型,C1,'数据-汇总表'!D17:D26))</f>
        <v>3813.71</v>
      </c>
    </row>
    <row r="20" spans="1:35" ht="15">
      <c r="A20" s="2433"/>
      <c r="B20" s="1250" t="s">
        <v>2146</v>
      </c>
      <c r="C20" s="146">
        <f ca="1">SUMIF(INDIRECT("'"&amp;C4&amp;"'"&amp;"!A:A"),'结果表（办公）'!B20,INDIRECT("'"&amp;C4&amp;"'"&amp;"!B:B"))</f>
        <v>7204</v>
      </c>
      <c r="D20" s="147">
        <f ca="1">SUMIF(INDIRECT("'"&amp;D4&amp;"'"&amp;"!A:A"),'结果表（办公）'!B20,INDIRECT("'"&amp;D4&amp;"'"&amp;"!B:B"))</f>
        <v>16811</v>
      </c>
      <c r="E20" s="2433"/>
      <c r="F20" s="1250" t="s">
        <v>2146</v>
      </c>
      <c r="G20" s="148">
        <f ca="1">ROUND(C20*$C$18+D20*$D$18,0)</f>
        <v>13449</v>
      </c>
      <c r="H20" s="983" t="s">
        <v>2147</v>
      </c>
      <c r="I20" s="138"/>
    </row>
    <row r="21" spans="1:35" ht="15" customHeight="1" thickBot="1">
      <c r="A21" s="1003"/>
      <c r="B21" s="2434" t="s">
        <v>2148</v>
      </c>
      <c r="C21" s="789">
        <f ca="1">ROUND(C19*10000/L19,0)</f>
        <v>7709</v>
      </c>
      <c r="D21" s="790">
        <f ca="1">ROUND(D19*10000/L19,0)</f>
        <v>17990</v>
      </c>
      <c r="E21" s="1003"/>
      <c r="F21" s="2434" t="s">
        <v>2148</v>
      </c>
      <c r="G21" s="149">
        <f ca="1">ROUND(G19*10000/L19,0)</f>
        <v>14393</v>
      </c>
      <c r="H21" s="2435" t="s">
        <v>2147</v>
      </c>
      <c r="I21" s="138"/>
    </row>
    <row r="22" spans="1:35" ht="15" thickBot="1">
      <c r="A22" s="2278" t="s">
        <v>2149</v>
      </c>
      <c r="B22" s="2436"/>
      <c r="C22" s="2437"/>
      <c r="D22" s="791">
        <f ca="1">IF(C19&lt;D19,D19/C19-1,C19/D19-1)</f>
        <v>1.333673469387755</v>
      </c>
      <c r="E22" s="138"/>
      <c r="F22" s="138"/>
      <c r="G22" s="138"/>
      <c r="H22" s="138"/>
      <c r="I22" s="138"/>
    </row>
    <row r="23" spans="1:35" ht="13.5" thickBot="1">
      <c r="A23" s="2414"/>
      <c r="B23" s="2414"/>
      <c r="C23" s="2414"/>
      <c r="D23" s="2414"/>
      <c r="E23" s="138"/>
      <c r="F23" s="138"/>
      <c r="G23" s="138"/>
      <c r="H23" s="138"/>
      <c r="I23" s="138"/>
    </row>
    <row r="24" spans="1:35" ht="14.25">
      <c r="A24" s="3093" t="s">
        <v>2150</v>
      </c>
      <c r="B24" s="2431" t="s">
        <v>2142</v>
      </c>
      <c r="C24" s="145">
        <f>IF(B30=0,0,D30)</f>
        <v>0</v>
      </c>
      <c r="D24" s="2438"/>
      <c r="E24" s="138"/>
      <c r="F24" s="138"/>
      <c r="G24" s="138"/>
      <c r="H24" s="138"/>
      <c r="I24" s="138"/>
    </row>
    <row r="25" spans="1:35" ht="14.25">
      <c r="A25" s="3094"/>
      <c r="B25" s="1250"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3"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2156</v>
      </c>
      <c r="B32" s="2444"/>
      <c r="C32" s="153">
        <f ca="1">IF(D32="总价",G19-C24,G20-C25)</f>
        <v>5489</v>
      </c>
      <c r="D32" s="2445" t="s">
        <v>2157</v>
      </c>
      <c r="E32" s="138"/>
      <c r="F32" s="138"/>
      <c r="G32" s="138"/>
      <c r="H32" s="138"/>
      <c r="I32" s="138"/>
    </row>
    <row r="33" spans="1:15" ht="15">
      <c r="A33" s="960" t="s">
        <v>2158</v>
      </c>
      <c r="B33" s="2446"/>
      <c r="C33" s="2447" t="s">
        <v>3121</v>
      </c>
      <c r="D33" s="2448" t="s">
        <v>3117</v>
      </c>
      <c r="E33" s="2449" t="s">
        <v>2159</v>
      </c>
      <c r="F33" s="2450" t="str">
        <f>IF(D32="楼面单价","取值（单价）","取值（总价）")</f>
        <v>取值（总价）</v>
      </c>
      <c r="G33" s="138"/>
      <c r="H33" s="138"/>
      <c r="I33" s="138"/>
    </row>
    <row r="34" spans="1:15" ht="15">
      <c r="A34" s="2451"/>
      <c r="B34" s="2452" t="s">
        <v>2160</v>
      </c>
      <c r="C34" s="157">
        <f ca="1">IF(C33="自定义",F34,C32-C35)</f>
        <v>2042</v>
      </c>
      <c r="D34" s="1058">
        <f ca="1">IF(C33="自定义",ROUND(C34/C32,3),IF(C33="收益比率",SUMIF(INDIRECT("'"&amp;D33&amp;"'"&amp;"!b:b"),"土地收益比率",INDIRECT("'"&amp;D33&amp;"'"&amp;"!c:c")),SUMIF(INDIRECT("'"&amp;D33&amp;"'"&amp;"!b:b"),"土地成本比率",INDIRECT("'"&amp;D33&amp;"'"&amp;"!c:c"))))</f>
        <v>0.372</v>
      </c>
      <c r="E34" s="2453" t="s">
        <v>2161</v>
      </c>
      <c r="F34" s="1739"/>
      <c r="G34" s="138"/>
      <c r="H34" s="138"/>
      <c r="I34" s="138"/>
    </row>
    <row r="35" spans="1:15" ht="15.75" thickBot="1">
      <c r="A35" s="2454"/>
      <c r="B35" s="2455" t="s">
        <v>2162</v>
      </c>
      <c r="C35" s="1444">
        <f ca="1">IF(C33="自定义",F35,ROUND(C32*D35,0))</f>
        <v>3447</v>
      </c>
      <c r="D35" s="1445">
        <f ca="1">IF(C33="自定义",ROUND(C35/C32,3),IF(C33="收益比率",SUMIF(INDIRECT("'"&amp;D33&amp;"'"&amp;"!b:b"),"建筑物收益比率",INDIRECT("'"&amp;D33&amp;"'"&amp;"!c:c")),SUMIF(INDIRECT("'"&amp;D33&amp;"'"&amp;"!b:b"),"建筑物成本比率",INDIRECT("'"&amp;D33&amp;"'"&amp;"!c:c"))))</f>
        <v>0.628</v>
      </c>
      <c r="E35" s="2456" t="s">
        <v>2163</v>
      </c>
      <c r="F35" s="163"/>
      <c r="G35" s="138"/>
      <c r="H35" s="138"/>
      <c r="I35" s="138"/>
    </row>
    <row r="36" spans="1:15" ht="15.75" thickBot="1">
      <c r="A36" s="3111" t="s">
        <v>2164</v>
      </c>
      <c r="B36" s="2457" t="s">
        <v>2165</v>
      </c>
      <c r="C36" s="154"/>
      <c r="D36" s="2458"/>
      <c r="E36" s="2459"/>
      <c r="F36" s="2460"/>
      <c r="G36" s="138"/>
      <c r="H36" s="138"/>
      <c r="I36" s="138"/>
    </row>
    <row r="37" spans="1:15" ht="15.75" thickBot="1">
      <c r="A37" s="3112"/>
      <c r="B37" s="2264" t="s">
        <v>2166</v>
      </c>
      <c r="C37" s="156"/>
      <c r="D37" s="1395"/>
      <c r="E37" s="1395"/>
      <c r="F37" s="2460"/>
      <c r="G37" s="138"/>
      <c r="H37" s="138"/>
      <c r="I37" s="138"/>
    </row>
    <row r="38" spans="1:15" ht="15.75" thickBot="1">
      <c r="A38" s="3113"/>
      <c r="B38" s="2461" t="s">
        <v>2167</v>
      </c>
      <c r="C38" s="727"/>
      <c r="D38" s="2462" t="s">
        <v>2168</v>
      </c>
      <c r="E38" s="1395"/>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90" t="s">
        <v>2178</v>
      </c>
      <c r="B45" s="3091"/>
      <c r="C45" s="3092"/>
      <c r="D45" s="164">
        <f ca="1">ROUND(H101*F45,0)</f>
        <v>5489</v>
      </c>
      <c r="E45" s="165" t="s">
        <v>2179</v>
      </c>
      <c r="F45" s="166">
        <v>1</v>
      </c>
      <c r="G45" s="167" t="s">
        <v>2180</v>
      </c>
      <c r="H45" s="138"/>
      <c r="I45" s="138"/>
      <c r="J45" s="3150" t="s">
        <v>2181</v>
      </c>
      <c r="K45" s="3150"/>
      <c r="L45" s="3150"/>
      <c r="M45" s="3150"/>
      <c r="N45" s="3150"/>
      <c r="O45" s="3150"/>
    </row>
    <row r="46" spans="1:15" ht="14.25" customHeight="1">
      <c r="A46" s="3087" t="s">
        <v>2182</v>
      </c>
      <c r="B46" s="3088"/>
      <c r="C46" s="3088"/>
      <c r="D46" s="3088"/>
      <c r="E46" s="3088"/>
      <c r="F46" s="3088"/>
      <c r="G46" s="3089"/>
      <c r="H46" s="2476"/>
      <c r="I46" s="168"/>
      <c r="J46" s="1812">
        <v>1</v>
      </c>
      <c r="K46" s="3150" t="s">
        <v>2183</v>
      </c>
      <c r="L46" s="3150"/>
      <c r="M46" s="3170"/>
      <c r="N46" s="3170"/>
      <c r="O46" s="3170"/>
    </row>
    <row r="47" spans="1:15" ht="12" customHeight="1">
      <c r="A47" s="169" t="s">
        <v>2184</v>
      </c>
      <c r="B47" s="170"/>
      <c r="C47" s="171"/>
      <c r="D47" s="172" t="s">
        <v>2185</v>
      </c>
      <c r="E47" s="24" t="s">
        <v>2186</v>
      </c>
      <c r="F47" s="173" t="s">
        <v>2187</v>
      </c>
      <c r="G47" s="174" t="s">
        <v>2188</v>
      </c>
      <c r="H47" s="2476"/>
      <c r="I47" s="168"/>
      <c r="J47" s="1812">
        <v>2</v>
      </c>
      <c r="K47" s="3150" t="s">
        <v>2189</v>
      </c>
      <c r="L47" s="3150"/>
      <c r="M47" s="3171">
        <f>'数据-取费表'!B2</f>
        <v>43294</v>
      </c>
      <c r="N47" s="3171"/>
      <c r="O47" s="3171"/>
    </row>
    <row r="48" spans="1:15" ht="25.5">
      <c r="A48" s="3118" t="s">
        <v>2190</v>
      </c>
      <c r="B48" s="3101"/>
      <c r="C48" s="3101"/>
      <c r="D48" s="140">
        <f>IF(H48="情况1",0,IF(H48="情况2",D52,IF(H48="情况3",D53,IF(H48="情况4",D54))))</f>
        <v>0</v>
      </c>
      <c r="E48" s="1801" t="str">
        <f>IF(H48="情况4","(销售额-原购置价)×税（费）率","销售额×税（费）率")</f>
        <v>销售额×税（费）率</v>
      </c>
      <c r="F48" s="175" t="str">
        <f>IF(H48="情况1","免征",'数据-取费表'!B41)</f>
        <v>免征</v>
      </c>
      <c r="G48" s="2477" t="s">
        <v>2191</v>
      </c>
      <c r="H48" s="2478" t="s">
        <v>2192</v>
      </c>
      <c r="I48" s="2476"/>
      <c r="J48" s="1812">
        <v>3</v>
      </c>
      <c r="K48" s="3150" t="s">
        <v>2193</v>
      </c>
      <c r="L48" s="3150"/>
      <c r="M48" s="3172">
        <f ca="1">H101</f>
        <v>5489</v>
      </c>
      <c r="N48" s="3172"/>
      <c r="O48" s="3172"/>
    </row>
    <row r="49" spans="1:35" ht="25.5" customHeight="1">
      <c r="A49" s="176" t="s">
        <v>2194</v>
      </c>
      <c r="B49" s="3086" t="s">
        <v>2195</v>
      </c>
      <c r="C49" s="3086"/>
      <c r="D49" s="177">
        <v>0</v>
      </c>
      <c r="E49" s="23" t="s">
        <v>2196</v>
      </c>
      <c r="F49" s="28" t="s">
        <v>34</v>
      </c>
      <c r="G49" s="3156"/>
      <c r="H49" s="138"/>
      <c r="I49" s="2479"/>
      <c r="J49" s="1812">
        <v>4</v>
      </c>
      <c r="K49" s="3150" t="str">
        <f>IF(项目基本情况!E8="房地产抵押价值","房地产抵押价值","抵押担保权已注销时的房地产抵押价值")</f>
        <v>抵押担保权已注销时的房地产抵押价值</v>
      </c>
      <c r="L49" s="3150"/>
      <c r="M49" s="3172">
        <f ca="1">IF(项目基本情况!E8="房地产抵押价值",H107,H109)</f>
        <v>5489</v>
      </c>
      <c r="N49" s="3172"/>
      <c r="O49" s="3172"/>
    </row>
    <row r="50" spans="1:35" ht="25.5" customHeight="1">
      <c r="A50" s="178"/>
      <c r="B50" s="3086" t="s">
        <v>2197</v>
      </c>
      <c r="C50" s="3086"/>
      <c r="D50" s="179"/>
      <c r="E50" s="31"/>
      <c r="F50" s="180"/>
      <c r="G50" s="3157"/>
      <c r="H50" s="138"/>
      <c r="I50" s="2479"/>
      <c r="J50" s="3150" t="s">
        <v>2198</v>
      </c>
      <c r="K50" s="3150"/>
      <c r="L50" s="3150"/>
      <c r="M50" s="3150"/>
      <c r="N50" s="3150"/>
      <c r="O50" s="3150"/>
    </row>
    <row r="51" spans="1:35" ht="12" customHeight="1">
      <c r="A51" s="181"/>
      <c r="B51" s="3086" t="s">
        <v>2199</v>
      </c>
      <c r="C51" s="3086"/>
      <c r="D51" s="182"/>
      <c r="E51" s="30"/>
      <c r="F51" s="180"/>
      <c r="G51" s="3158"/>
      <c r="H51" s="138"/>
      <c r="I51" s="2479"/>
      <c r="J51" s="2480" t="s">
        <v>2200</v>
      </c>
      <c r="K51" s="3150" t="s">
        <v>2201</v>
      </c>
      <c r="L51" s="3150"/>
      <c r="M51" s="2480" t="s">
        <v>2202</v>
      </c>
      <c r="N51" s="2480" t="s">
        <v>2203</v>
      </c>
      <c r="O51" s="2480" t="s">
        <v>2204</v>
      </c>
    </row>
    <row r="52" spans="1:35" ht="24" customHeight="1">
      <c r="A52" s="183" t="s">
        <v>2205</v>
      </c>
      <c r="B52" s="3086" t="s">
        <v>2206</v>
      </c>
      <c r="C52" s="3086"/>
      <c r="D52" s="182">
        <f ca="1">ROUND(D45*'数据-取费表'!B41/(1+'数据-取费表'!C42),0)</f>
        <v>288</v>
      </c>
      <c r="E52" s="11" t="s">
        <v>2207</v>
      </c>
      <c r="F52" s="184">
        <f>'数据-取费表'!B41</f>
        <v>5.5000000000000007E-2</v>
      </c>
      <c r="G52" s="2481"/>
      <c r="H52" s="138"/>
      <c r="I52" s="2479"/>
      <c r="J52" s="1812">
        <v>1</v>
      </c>
      <c r="K52" s="3151" t="s">
        <v>2208</v>
      </c>
      <c r="L52" s="3151"/>
      <c r="M52" s="1754">
        <f>D48</f>
        <v>0</v>
      </c>
      <c r="N52" s="1812" t="str">
        <f>E48</f>
        <v>销售额×税（费）率</v>
      </c>
      <c r="O52" s="1755" t="str">
        <f>F48</f>
        <v>免征</v>
      </c>
    </row>
    <row r="53" spans="1:35" ht="12" customHeight="1">
      <c r="A53" s="183" t="s">
        <v>2209</v>
      </c>
      <c r="B53" s="3109" t="s">
        <v>2210</v>
      </c>
      <c r="C53" s="3110"/>
      <c r="D53" s="182">
        <f ca="1">ROUND(D45*'数据-取费表'!B41/(1+'数据-取费表'!C42),0)</f>
        <v>288</v>
      </c>
      <c r="E53" s="11" t="s">
        <v>2207</v>
      </c>
      <c r="F53" s="184">
        <f>'数据-取费表'!B41</f>
        <v>5.5000000000000007E-2</v>
      </c>
      <c r="G53" s="2481"/>
      <c r="H53" s="138"/>
      <c r="I53" s="2479"/>
      <c r="J53" s="1812">
        <v>2</v>
      </c>
      <c r="K53" s="3151" t="s">
        <v>2211</v>
      </c>
      <c r="L53" s="3151"/>
      <c r="M53" s="1754">
        <f t="shared" ref="M53:O54" ca="1" si="0">D55</f>
        <v>3</v>
      </c>
      <c r="N53" s="1812" t="str">
        <f t="shared" si="0"/>
        <v>销售额×税（费）率</v>
      </c>
      <c r="O53" s="1755">
        <f t="shared" si="0"/>
        <v>5.0000000000000001E-4</v>
      </c>
    </row>
    <row r="54" spans="1:35" ht="12" customHeight="1">
      <c r="A54" s="183" t="s">
        <v>2212</v>
      </c>
      <c r="B54" s="3109" t="s">
        <v>2213</v>
      </c>
      <c r="C54" s="3110"/>
      <c r="D54" s="182">
        <f ca="1">C68</f>
        <v>288</v>
      </c>
      <c r="E54" s="30" t="s">
        <v>2214</v>
      </c>
      <c r="F54" s="184">
        <f>'数据-取费表'!B41</f>
        <v>5.5000000000000007E-2</v>
      </c>
      <c r="G54" s="2481"/>
      <c r="H54" s="2482"/>
      <c r="I54" s="2479"/>
      <c r="J54" s="1812">
        <v>3</v>
      </c>
      <c r="K54" s="3151" t="s">
        <v>2215</v>
      </c>
      <c r="L54" s="3151"/>
      <c r="M54" s="1754">
        <f t="shared" ca="1" si="0"/>
        <v>3112</v>
      </c>
      <c r="N54" s="1812" t="str">
        <f t="shared" si="0"/>
        <v>增值额×税（费）率</v>
      </c>
      <c r="O54" s="1756" t="str">
        <f t="shared" si="0"/>
        <v>——</v>
      </c>
    </row>
    <row r="55" spans="1:35" ht="24" customHeight="1">
      <c r="A55" s="3100" t="s">
        <v>2216</v>
      </c>
      <c r="B55" s="3101"/>
      <c r="C55" s="3101"/>
      <c r="D55" s="185">
        <f ca="1">IF(H55="个人住宅",0,ROUND(D45*I55,0))</f>
        <v>3</v>
      </c>
      <c r="E55" s="11" t="s">
        <v>2217</v>
      </c>
      <c r="F55" s="184">
        <f>IF(H55="正常",I55,"免征")</f>
        <v>5.0000000000000001E-4</v>
      </c>
      <c r="G55" s="2481"/>
      <c r="H55" s="2478" t="s">
        <v>2218</v>
      </c>
      <c r="I55" s="186">
        <f>'数据-取费表'!B49</f>
        <v>5.0000000000000001E-4</v>
      </c>
      <c r="J55" s="1812" t="str">
        <f>IF(H59="非个人房产","",4)</f>
        <v/>
      </c>
      <c r="K55" s="3151" t="str">
        <f>IF(H59="非个人房产","——","个人所得税")</f>
        <v>——</v>
      </c>
      <c r="L55" s="3151"/>
      <c r="M55" s="1757" t="str">
        <f>D59</f>
        <v>——</v>
      </c>
      <c r="N55" s="1810" t="str">
        <f>E59</f>
        <v>——</v>
      </c>
      <c r="O55" s="1758" t="str">
        <f>F59</f>
        <v>——</v>
      </c>
    </row>
    <row r="56" spans="1:35" ht="24.75">
      <c r="A56" s="3100" t="s">
        <v>2219</v>
      </c>
      <c r="B56" s="3101"/>
      <c r="C56" s="3101"/>
      <c r="D56" s="185">
        <f ca="1">IF(H56="个人住宅",D57,D58)</f>
        <v>3112</v>
      </c>
      <c r="E56" s="11" t="s">
        <v>2220</v>
      </c>
      <c r="F56" s="184" t="str">
        <f>IF(H56="正常",F58,"免征")</f>
        <v>——</v>
      </c>
      <c r="G56" s="2483" t="s">
        <v>2221</v>
      </c>
      <c r="H56" s="2484" t="s">
        <v>2218</v>
      </c>
      <c r="I56" s="2485"/>
      <c r="J56" s="1812" t="str">
        <f>IF(项目基本情况!K6="上海银行",IF(J55="",4,J55+1),"")</f>
        <v/>
      </c>
      <c r="K56" s="3174" t="str">
        <f>IF(项目基本情况!K6="上海银行","其他处置费用","")</f>
        <v/>
      </c>
      <c r="L56" s="3175"/>
      <c r="M56" s="1754" t="str">
        <f>IF(项目基本情况!K6="上海银行",M69,"")</f>
        <v/>
      </c>
      <c r="N56" s="3177" t="str">
        <f>IF(项目基本情况!K6="上海银行","包含处置中涉及的律师、诉讼、拍卖、评估等费用","")</f>
        <v/>
      </c>
      <c r="O56" s="3178"/>
    </row>
    <row r="57" spans="1:35" ht="12.75">
      <c r="A57" s="183" t="s">
        <v>2194</v>
      </c>
      <c r="B57" s="3116" t="s">
        <v>2222</v>
      </c>
      <c r="C57" s="3125"/>
      <c r="D57" s="187">
        <v>0</v>
      </c>
      <c r="E57" s="23" t="s">
        <v>2196</v>
      </c>
      <c r="F57" s="155"/>
      <c r="G57" s="2481"/>
      <c r="H57" s="2485"/>
      <c r="I57" s="2485"/>
      <c r="J57" s="3151">
        <f>IF(AND(J55="",J56=""),4,IF(项目基本情况!K6="上海银行",'结果表（办公）'!J56+1,'结果表（办公）'!J55+1))</f>
        <v>4</v>
      </c>
      <c r="K57" s="3151" t="s">
        <v>2223</v>
      </c>
      <c r="L57" s="2486" t="s">
        <v>2224</v>
      </c>
      <c r="M57" s="1759"/>
      <c r="N57" s="1760">
        <f ca="1">SUMIF(M52:M56,"&lt;9e307")</f>
        <v>3115</v>
      </c>
      <c r="O57" s="2487"/>
      <c r="P57" s="1753">
        <f ca="1">N57/M49</f>
        <v>0.56749863363089814</v>
      </c>
    </row>
    <row r="58" spans="1:35" ht="24.75">
      <c r="A58" s="183" t="s">
        <v>2205</v>
      </c>
      <c r="B58" s="3116" t="s">
        <v>2225</v>
      </c>
      <c r="C58" s="3117"/>
      <c r="D58" s="185">
        <f ca="1">IF(H58="转让取得",C81,C97)</f>
        <v>3112</v>
      </c>
      <c r="E58" s="11" t="s">
        <v>2220</v>
      </c>
      <c r="F58" s="24" t="s">
        <v>34</v>
      </c>
      <c r="G58" s="2481"/>
      <c r="H58" s="2484" t="s">
        <v>2226</v>
      </c>
      <c r="I58" s="2485"/>
      <c r="J58" s="3151"/>
      <c r="K58" s="3151"/>
      <c r="L58" s="2486" t="s">
        <v>2227</v>
      </c>
      <c r="M58" s="1761"/>
      <c r="N58" s="2488" t="str">
        <f ca="1">NUMBERSTRING(INT(N57*10000),2)&amp;"元整"</f>
        <v>叁仟壹佰壹拾伍万元整</v>
      </c>
      <c r="O58" s="2489"/>
    </row>
    <row r="59" spans="1:35" ht="24.75" thickBot="1">
      <c r="A59" s="3154" t="s">
        <v>2228</v>
      </c>
      <c r="B59" s="3155"/>
      <c r="C59" s="3155"/>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52">
        <f>J57+1</f>
        <v>5</v>
      </c>
      <c r="K59" s="3151" t="s">
        <v>2230</v>
      </c>
      <c r="L59" s="1812" t="s">
        <v>2224</v>
      </c>
      <c r="M59" s="1762"/>
      <c r="N59" s="1763">
        <f ca="1">M49-N57</f>
        <v>2374</v>
      </c>
      <c r="O59" s="2491"/>
    </row>
    <row r="60" spans="1:35" ht="12" customHeight="1">
      <c r="A60" s="2492"/>
      <c r="B60" s="2414"/>
      <c r="C60" s="2414"/>
      <c r="D60" s="2414"/>
      <c r="E60" s="2164"/>
      <c r="F60" s="2485"/>
      <c r="G60" s="2485"/>
      <c r="H60" s="2493"/>
      <c r="I60" s="138"/>
      <c r="J60" s="3153"/>
      <c r="K60" s="3151"/>
      <c r="L60" s="2486" t="s">
        <v>2227</v>
      </c>
      <c r="M60" s="1761"/>
      <c r="N60" s="2488" t="str">
        <f ca="1">NUMBERSTRING(INT(N59*10000),2)&amp;"元整"</f>
        <v>贰仟叁佰柒拾肆万元整</v>
      </c>
      <c r="O60" s="2489"/>
    </row>
    <row r="61" spans="1:35" ht="13.5" thickBot="1">
      <c r="A61" s="3098" t="s">
        <v>2231</v>
      </c>
      <c r="B61" s="3098"/>
      <c r="C61" s="3098"/>
      <c r="D61" s="3098"/>
      <c r="E61" s="3098"/>
      <c r="F61" s="2485"/>
      <c r="G61" s="2485"/>
      <c r="H61" s="2493"/>
      <c r="I61" s="138"/>
      <c r="J61" s="1812">
        <f>J59+1</f>
        <v>6</v>
      </c>
      <c r="K61" s="3151" t="s">
        <v>2232</v>
      </c>
      <c r="L61" s="3151"/>
      <c r="M61" s="1764"/>
      <c r="N61" s="1765">
        <f ca="1">ROUND(N59*10000/'数据-汇总表'!E3,0)</f>
        <v>1109</v>
      </c>
      <c r="O61" s="2494"/>
    </row>
    <row r="62" spans="1:35" ht="12.75">
      <c r="A62" s="3114" t="s">
        <v>2233</v>
      </c>
      <c r="B62" s="3115"/>
      <c r="C62" s="1804"/>
      <c r="D62" s="1804" t="s">
        <v>2234</v>
      </c>
      <c r="E62" s="192" t="s">
        <v>2235</v>
      </c>
      <c r="F62" s="2485"/>
      <c r="G62" s="2485"/>
      <c r="H62" s="2493"/>
      <c r="I62" s="138"/>
    </row>
    <row r="63" spans="1:35" ht="12.75">
      <c r="A63" s="203" t="s">
        <v>775</v>
      </c>
      <c r="B63" s="193" t="s">
        <v>2236</v>
      </c>
      <c r="C63" s="194">
        <f ca="1">ROUND((C64+C65)/(1+'数据-取费表'!C42),0)</f>
        <v>5228</v>
      </c>
      <c r="D63" s="195"/>
      <c r="E63" s="196"/>
      <c r="F63" s="2485"/>
      <c r="G63" s="2485"/>
      <c r="H63" s="2493"/>
      <c r="I63" s="138"/>
      <c r="J63" s="3176" t="s">
        <v>2237</v>
      </c>
      <c r="K63" s="2495" t="s">
        <v>2238</v>
      </c>
      <c r="L63" s="1752">
        <f ca="1">IF(M49&gt;10000,M49*0.5%,IF(AND(M49&gt;1000,M49&lt;=10000),M49*1%,IF(AND(M49&gt;100,M49&lt;=1000),M49*3%,IF(AND(M49&gt;10,M49&lt;=100),M49*5%,M49*8%))))</f>
        <v>54.89</v>
      </c>
      <c r="M63" s="24">
        <f ca="1">ROUND(L63,1)</f>
        <v>54.9</v>
      </c>
      <c r="Z63" s="2419"/>
      <c r="AI63" s="2420"/>
    </row>
    <row r="64" spans="1:35" ht="14.25" customHeight="1">
      <c r="A64" s="197" t="s">
        <v>770</v>
      </c>
      <c r="B64" s="198" t="s">
        <v>2239</v>
      </c>
      <c r="C64" s="199">
        <f ca="1">D45</f>
        <v>5489</v>
      </c>
      <c r="D64" s="200" t="s">
        <v>32</v>
      </c>
      <c r="E64" s="201"/>
      <c r="F64" s="2485"/>
      <c r="G64" s="2485"/>
      <c r="H64" s="2493"/>
      <c r="I64" s="138"/>
      <c r="J64" s="3176"/>
      <c r="K64" s="2495" t="s">
        <v>2240</v>
      </c>
      <c r="L64" s="1752">
        <f ca="1">IF(M49&gt;2000,M49*0.5%,IF(AND(M49&gt;1000,M49&lt;=2000),M49*0.6%,IF(AND(M49&gt;500,M49&lt;=1000),M49*0.7%,IF(AND(M49&gt;200,M49&lt;=500),M49*0.8%,IF(AND(M49&gt;100,M49&lt;=200),M49*0.9%,IF(AND(M49&gt;50,M49&lt;=100),M49*1%,IF(AND(M49&gt;20,M49&lt;=50),M49*1.5%,IF(AND(M49&gt;10,M49&lt;=20),M49*2%,IF(AND(M49&gt;1,M49&lt;=10),M49*2.5%)))))))))</f>
        <v>27.445</v>
      </c>
      <c r="M64" s="24">
        <f t="shared" ref="M64:M65" ca="1" si="1">ROUND(L64,1)</f>
        <v>27.4</v>
      </c>
      <c r="N64" s="138" t="s">
        <v>2241</v>
      </c>
      <c r="Z64" s="2419"/>
      <c r="AI64" s="2420"/>
    </row>
    <row r="65" spans="1:35" ht="14.25" customHeight="1">
      <c r="A65" s="197" t="s">
        <v>771</v>
      </c>
      <c r="B65" s="198" t="s">
        <v>2242</v>
      </c>
      <c r="C65" s="202"/>
      <c r="D65" s="200"/>
      <c r="E65" s="201"/>
      <c r="F65" s="2485"/>
      <c r="G65" s="2485"/>
      <c r="H65" s="2493"/>
      <c r="I65" s="138"/>
      <c r="J65" s="3176"/>
      <c r="K65" s="2495" t="s">
        <v>2243</v>
      </c>
      <c r="L65" s="1752">
        <f ca="1">IF(M49&gt;1000,M49*0.1%,IF(AND(M49&gt;500,M49&lt;=1000),M49*0.5%,IF(AND(M49&gt;50,M49&lt;=500),M49*1%,IF(AND(M49&gt;1,M49&lt;=50),M49*1.5%))))</f>
        <v>5.4889999999999999</v>
      </c>
      <c r="M65" s="24">
        <f t="shared" ca="1" si="1"/>
        <v>5.5</v>
      </c>
      <c r="N65" s="138" t="s">
        <v>2241</v>
      </c>
      <c r="Z65" s="2419"/>
      <c r="AI65" s="2420"/>
    </row>
    <row r="66" spans="1:35" ht="14.25" customHeight="1">
      <c r="A66" s="203" t="s">
        <v>772</v>
      </c>
      <c r="B66" s="204" t="s">
        <v>2244</v>
      </c>
      <c r="C66" s="205"/>
      <c r="D66" s="206" t="s">
        <v>32</v>
      </c>
      <c r="E66" s="1776" t="s">
        <v>1371</v>
      </c>
      <c r="F66" s="2485"/>
      <c r="G66" s="2485"/>
      <c r="H66" s="2493"/>
      <c r="I66" s="138"/>
      <c r="J66" s="3176"/>
      <c r="K66" s="2495" t="s">
        <v>2245</v>
      </c>
      <c r="L66" s="1752">
        <f ca="1">M49*0.5%</f>
        <v>27.445</v>
      </c>
      <c r="M66" s="24">
        <f ca="1">IF(L66&gt;0.5,0.5,ROUND(L66,0))</f>
        <v>0.5</v>
      </c>
      <c r="N66" s="138" t="s">
        <v>2246</v>
      </c>
      <c r="Z66" s="2419"/>
      <c r="AI66" s="2420"/>
    </row>
    <row r="67" spans="1:35" ht="14.25" customHeight="1">
      <c r="A67" s="203" t="s">
        <v>773</v>
      </c>
      <c r="B67" s="204" t="s">
        <v>2247</v>
      </c>
      <c r="C67" s="207">
        <f ca="1">C63-C66</f>
        <v>5228</v>
      </c>
      <c r="D67" s="200" t="s">
        <v>32</v>
      </c>
      <c r="E67" s="201"/>
      <c r="F67" s="2485"/>
      <c r="G67" s="2485"/>
      <c r="H67" s="2493"/>
      <c r="I67" s="138"/>
      <c r="J67" s="3176"/>
      <c r="K67" s="2495" t="s">
        <v>2248</v>
      </c>
      <c r="L67" s="1752">
        <f ca="1">IF(M49&gt;=10000,(8.25+(M49-10000)*0.01%),IF(AND(M49&gt;=8000,M49&lt;10000),(7.85+(M49-8000)*0.02%),IF(AND(M49&gt;=5000,M49&lt;8000),(6.65+(M49-5000)*0.04%),IF(AND(M49&gt;=2000,M49&lt;5000),(4.25+(PM49-2000)*0.08%),IF(AND(M49&gt;=1000,M49&lt;2000),(2.75+(M49-1000)*0.15%),IF(AND(M49&gt;=100,M49&lt;1000),(0.5+(M49-100)*0.25%),IF(AND(M49&gt;0,M49&lt;100),M49*0.5%)))))))</f>
        <v>6.8456000000000001</v>
      </c>
      <c r="M67" s="24">
        <f ca="1">ROUND(L67*0.9,1)</f>
        <v>6.2</v>
      </c>
      <c r="Z67" s="2419"/>
      <c r="AI67" s="2420"/>
    </row>
    <row r="68" spans="1:35" ht="14.25" customHeight="1" thickBot="1">
      <c r="A68" s="208" t="s">
        <v>774</v>
      </c>
      <c r="B68" s="209" t="s">
        <v>2249</v>
      </c>
      <c r="C68" s="210">
        <f ca="1">IF(C67&lt;=0,0,ROUND(C67*D68,0))</f>
        <v>288</v>
      </c>
      <c r="D68" s="211">
        <f>'数据-取费表'!B41</f>
        <v>5.5000000000000007E-2</v>
      </c>
      <c r="E68" s="212"/>
      <c r="F68" s="2485"/>
      <c r="G68" s="2485"/>
      <c r="H68" s="2493"/>
      <c r="I68" s="138"/>
      <c r="J68" s="3176"/>
      <c r="K68" s="2495" t="s">
        <v>2250</v>
      </c>
      <c r="L68" s="1752">
        <f ca="1">IF(M49&gt;10000,M49*0.5%,IF(AND(M49&gt;5000,M49&lt;=10000),M49*1%,IF(AND(M49&gt;1000,M49&lt;=5000),M49*2%,IF(AND(M49&gt;200,M49&lt;=1000),M49*3%,M49*5%))))</f>
        <v>54.89</v>
      </c>
      <c r="M68" s="24">
        <f ca="1">ROUND(L68,1)</f>
        <v>54.9</v>
      </c>
      <c r="Z68" s="2419"/>
      <c r="AI68" s="2420"/>
    </row>
    <row r="69" spans="1:35" s="2442" customFormat="1" ht="16.5" customHeight="1">
      <c r="A69" s="2496"/>
      <c r="B69" s="2497"/>
      <c r="C69" s="2498"/>
      <c r="D69" s="2499"/>
      <c r="E69" s="2500"/>
      <c r="F69" s="2164"/>
      <c r="G69" s="2164"/>
      <c r="H69" s="2163"/>
      <c r="I69" s="2414"/>
      <c r="J69" s="3176"/>
      <c r="K69" s="2495" t="s">
        <v>2251</v>
      </c>
      <c r="L69" s="2501"/>
      <c r="M69" s="24">
        <f ca="1">ROUND(SUM(M63:M68),0)</f>
        <v>149</v>
      </c>
      <c r="N69" s="1753">
        <f ca="1">M69/M49</f>
        <v>2.7145199489888867E-2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2252</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4" t="s">
        <v>2233</v>
      </c>
      <c r="B71" s="3115"/>
      <c r="C71" s="1804"/>
      <c r="D71" s="1804"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5228</v>
      </c>
      <c r="D72" s="200" t="s">
        <v>32</v>
      </c>
      <c r="E72" s="1803"/>
      <c r="F72" s="1797"/>
      <c r="G72" s="1797"/>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26</v>
      </c>
      <c r="D73" s="200" t="s">
        <v>32</v>
      </c>
      <c r="E73" s="1803"/>
      <c r="F73" s="1797"/>
      <c r="G73" s="1797"/>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1803"/>
      <c r="F74" s="1797"/>
      <c r="G74" s="1797"/>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09" t="s">
        <v>2261</v>
      </c>
      <c r="F76" s="3086"/>
      <c r="G76" s="3086"/>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9" t="s">
        <v>2264</v>
      </c>
      <c r="H77" s="180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26</v>
      </c>
      <c r="D78" s="226">
        <f>'数据-取费表'!B43</f>
        <v>5.000000000000001E-3</v>
      </c>
      <c r="E78" s="3095" t="s">
        <v>2266</v>
      </c>
      <c r="F78" s="3096"/>
      <c r="G78" s="3096"/>
      <c r="H78" s="31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2267</v>
      </c>
      <c r="C79" s="207">
        <f ca="1">C72-C73</f>
        <v>5202</v>
      </c>
      <c r="D79" s="200" t="s">
        <v>32</v>
      </c>
      <c r="E79" s="1803"/>
      <c r="F79" s="1797"/>
      <c r="G79" s="1797"/>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200.07692307692307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3112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2270</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4" t="s">
        <v>2233</v>
      </c>
      <c r="B84" s="3115"/>
      <c r="C84" s="1804"/>
      <c r="D84" s="1804"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5228</v>
      </c>
      <c r="D85" s="200" t="s">
        <v>32</v>
      </c>
      <c r="E85" s="1803"/>
      <c r="F85" s="1797"/>
      <c r="G85" s="1797"/>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26</v>
      </c>
      <c r="D86" s="235"/>
      <c r="E86" s="1803"/>
      <c r="F86" s="1797"/>
      <c r="G86" s="1797"/>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1799"/>
      <c r="F87" s="1800"/>
      <c r="G87" s="1800"/>
      <c r="H87" s="180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1800"/>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1800"/>
      <c r="G89" s="1800"/>
      <c r="H89" s="180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1800"/>
      <c r="G90" s="1800"/>
      <c r="H90" s="180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IF(H91="——",'成本法（办公）'!C33,I91)</f>
        <v>0</v>
      </c>
      <c r="D91" s="226"/>
      <c r="E91" s="3095" t="s">
        <v>2279</v>
      </c>
      <c r="F91" s="3096"/>
      <c r="G91" s="3096"/>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095" t="s">
        <v>2283</v>
      </c>
      <c r="F92" s="3096"/>
      <c r="G92" s="3096"/>
      <c r="H92" s="31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26</v>
      </c>
      <c r="D93" s="226">
        <f>'数据-取费表'!B43</f>
        <v>5.000000000000001E-3</v>
      </c>
      <c r="E93" s="3095" t="s">
        <v>2266</v>
      </c>
      <c r="F93" s="3096"/>
      <c r="G93" s="3096"/>
      <c r="H93" s="31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06" t="s">
        <v>2287</v>
      </c>
      <c r="F94" s="3107"/>
      <c r="G94" s="3107"/>
      <c r="H94" s="310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2267</v>
      </c>
      <c r="C95" s="207">
        <f ca="1">ROUND(C85-C86,0)</f>
        <v>5202</v>
      </c>
      <c r="D95" s="200" t="s">
        <v>32</v>
      </c>
      <c r="E95" s="1803"/>
      <c r="F95" s="1797"/>
      <c r="G95" s="1797"/>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200.07692307692307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3112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2288</v>
      </c>
      <c r="B99" s="2414"/>
      <c r="C99" s="2414"/>
      <c r="D99" s="2414"/>
      <c r="E99" s="2164"/>
      <c r="F99" s="2164"/>
      <c r="G99" s="2164"/>
      <c r="H99" s="2163"/>
      <c r="I99" s="138"/>
    </row>
    <row r="100" spans="1:35" ht="18.75" customHeight="1">
      <c r="A100" s="3080" t="s">
        <v>2289</v>
      </c>
      <c r="B100" s="3081"/>
      <c r="C100" s="3081"/>
      <c r="D100" s="3097"/>
      <c r="E100" s="3081" t="s">
        <v>2290</v>
      </c>
      <c r="F100" s="3081"/>
      <c r="G100" s="3081"/>
      <c r="H100" s="3097"/>
      <c r="I100" s="138"/>
    </row>
    <row r="101" spans="1:35" ht="18.75" customHeight="1">
      <c r="A101" s="3159" t="s">
        <v>2291</v>
      </c>
      <c r="B101" s="3160"/>
      <c r="C101" s="736" t="str">
        <f>C4</f>
        <v>成本法（办公）</v>
      </c>
      <c r="D101" s="737" t="str">
        <f>D4</f>
        <v>收益法（办公）</v>
      </c>
      <c r="E101" s="3173" t="s">
        <v>2292</v>
      </c>
      <c r="F101" s="3127"/>
      <c r="G101" s="2516" t="s">
        <v>2293</v>
      </c>
      <c r="H101" s="1048">
        <f ca="1">H118</f>
        <v>5489</v>
      </c>
      <c r="I101" s="138"/>
    </row>
    <row r="102" spans="1:35" ht="18.75" customHeight="1">
      <c r="A102" s="3129" t="s">
        <v>2294</v>
      </c>
      <c r="B102" s="2516" t="s">
        <v>2293</v>
      </c>
      <c r="C102" s="736">
        <f ca="1">C19</f>
        <v>2940</v>
      </c>
      <c r="D102" s="737">
        <f ca="1">D19</f>
        <v>6861</v>
      </c>
      <c r="E102" s="3173"/>
      <c r="F102" s="3127"/>
      <c r="G102" s="2516" t="s">
        <v>2295</v>
      </c>
      <c r="H102" s="371">
        <f ca="1">I118</f>
        <v>13449</v>
      </c>
      <c r="I102" s="138"/>
    </row>
    <row r="103" spans="1:35" ht="42.75" customHeight="1">
      <c r="A103" s="3129"/>
      <c r="B103" s="2516" t="s">
        <v>2295</v>
      </c>
      <c r="C103" s="738">
        <f ca="1">C20</f>
        <v>7204</v>
      </c>
      <c r="D103" s="739">
        <f ca="1">D20</f>
        <v>16811</v>
      </c>
      <c r="E103" s="3168" t="s">
        <v>2296</v>
      </c>
      <c r="F103" s="3169"/>
      <c r="G103" s="2517" t="s">
        <v>2297</v>
      </c>
      <c r="H103" s="1048">
        <f>IF(D36="正常操作",H104+H105+H106,H105+H106)</f>
        <v>0</v>
      </c>
      <c r="I103" s="138"/>
    </row>
    <row r="104" spans="1:35" ht="18.75" customHeight="1">
      <c r="A104" s="3129" t="s">
        <v>2298</v>
      </c>
      <c r="B104" s="2518" t="s">
        <v>2293</v>
      </c>
      <c r="C104" s="740">
        <f ca="1">H118</f>
        <v>5489</v>
      </c>
      <c r="D104" s="741"/>
      <c r="E104" s="2264" t="s">
        <v>2299</v>
      </c>
      <c r="F104" s="2256"/>
      <c r="G104" s="2517" t="s">
        <v>2297</v>
      </c>
      <c r="H104" s="1049">
        <f>IF(D36="同一抵押权人同一抵押物续贷",C36&amp;"（未扣减，详见特别提示）",C36)</f>
        <v>0</v>
      </c>
      <c r="I104" s="138"/>
    </row>
    <row r="105" spans="1:35" ht="18.75" customHeight="1" thickBot="1">
      <c r="A105" s="3130"/>
      <c r="B105" s="2519" t="s">
        <v>2295</v>
      </c>
      <c r="C105" s="742">
        <f ca="1">I118</f>
        <v>13449</v>
      </c>
      <c r="D105" s="743"/>
      <c r="E105" s="2264" t="s">
        <v>2300</v>
      </c>
      <c r="F105" s="2256"/>
      <c r="G105" s="2517" t="s">
        <v>2297</v>
      </c>
      <c r="H105" s="1049">
        <f>C37</f>
        <v>0</v>
      </c>
      <c r="I105" s="138"/>
    </row>
    <row r="106" spans="1:35" ht="18.75" customHeight="1">
      <c r="A106" s="2414" t="s">
        <v>2301</v>
      </c>
      <c r="B106" s="2414"/>
      <c r="C106" s="2414"/>
      <c r="D106" s="2414"/>
      <c r="E106" s="2520" t="s">
        <v>2302</v>
      </c>
      <c r="F106" s="2256"/>
      <c r="G106" s="2517" t="s">
        <v>2297</v>
      </c>
      <c r="H106" s="1049">
        <f>C38</f>
        <v>0</v>
      </c>
      <c r="I106" s="138"/>
    </row>
    <row r="107" spans="1:35" ht="18.75" customHeight="1">
      <c r="A107" s="138"/>
      <c r="B107" s="138"/>
      <c r="C107" s="138"/>
      <c r="D107" s="138"/>
      <c r="E107" s="3126" t="str">
        <f>IF(项目基本情况!E8="已注销","——","3.房地产抵押价值")</f>
        <v>——</v>
      </c>
      <c r="F107" s="3127"/>
      <c r="G107" s="2516" t="s">
        <v>2293</v>
      </c>
      <c r="H107" s="1048" t="str">
        <f>IF(E107="——","——",H101-H103)</f>
        <v>——</v>
      </c>
      <c r="I107" s="138"/>
    </row>
    <row r="108" spans="1:35" ht="18.75" customHeight="1">
      <c r="A108" s="138"/>
      <c r="B108" s="138"/>
      <c r="C108" s="138"/>
      <c r="D108" s="138"/>
      <c r="E108" s="3126"/>
      <c r="F108" s="3127"/>
      <c r="G108" s="2516" t="s">
        <v>2295</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127"/>
      <c r="G109" s="2516" t="s">
        <v>2293</v>
      </c>
      <c r="H109" s="348">
        <f ca="1">IF(E109="——","——",H101-H105-H106)</f>
        <v>5489</v>
      </c>
      <c r="I109" s="138"/>
    </row>
    <row r="110" spans="1:35" ht="18.75" customHeight="1">
      <c r="A110" s="138"/>
      <c r="B110" s="138"/>
      <c r="C110" s="138"/>
      <c r="D110" s="138"/>
      <c r="E110" s="3126"/>
      <c r="F110" s="3127"/>
      <c r="G110" s="2516" t="s">
        <v>2295</v>
      </c>
      <c r="H110" s="371">
        <f ca="1">IF(H109="——","——",ROUND(H109*10000/'数据-汇总表'!E3,0))</f>
        <v>2565</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6" t="s">
        <v>2293</v>
      </c>
      <c r="H111" s="1048" t="str">
        <f>IF(E111="——","——",N59)</f>
        <v>——</v>
      </c>
      <c r="I111" s="138"/>
    </row>
    <row r="112" spans="1:35" ht="18.75" customHeight="1" thickBot="1">
      <c r="A112" s="138"/>
      <c r="B112" s="138"/>
      <c r="C112" s="138"/>
      <c r="D112" s="138"/>
      <c r="E112" s="3163"/>
      <c r="F112" s="3164"/>
      <c r="G112" s="2521" t="s">
        <v>2295</v>
      </c>
      <c r="H112" s="790" t="str">
        <f>IF(E111="——","——",N61)</f>
        <v>——</v>
      </c>
      <c r="I112" s="138"/>
    </row>
    <row r="113" spans="1:11" ht="18.75" customHeight="1">
      <c r="A113" s="138"/>
      <c r="B113" s="138"/>
      <c r="C113" s="138"/>
      <c r="D113" s="138"/>
      <c r="E113" s="3131" t="s">
        <v>2301</v>
      </c>
      <c r="F113" s="3131"/>
      <c r="G113" s="3131"/>
      <c r="H113" s="3131"/>
      <c r="I113" s="138"/>
    </row>
    <row r="114" spans="1:11" ht="3.75" customHeight="1">
      <c r="A114" s="2414"/>
      <c r="B114" s="2414"/>
      <c r="C114" s="2414"/>
      <c r="D114" s="2414"/>
      <c r="E114" s="2492"/>
      <c r="F114" s="2492"/>
      <c r="G114" s="2492"/>
      <c r="H114" s="2492"/>
      <c r="I114" s="2414"/>
    </row>
    <row r="115" spans="1:11" ht="18.75" customHeight="1">
      <c r="A115" s="3144" t="s">
        <v>2303</v>
      </c>
      <c r="B115" s="3145"/>
      <c r="C115" s="3145"/>
      <c r="D115" s="3145"/>
      <c r="E115" s="3145"/>
      <c r="F115" s="3145"/>
      <c r="G115" s="3145"/>
      <c r="H115" s="3145"/>
      <c r="I115" s="3146"/>
    </row>
    <row r="116" spans="1:11" ht="27" customHeight="1">
      <c r="A116" s="3037" t="s">
        <v>2304</v>
      </c>
      <c r="B116" s="3132" t="s">
        <v>3136</v>
      </c>
      <c r="C116" s="3132" t="s">
        <v>3137</v>
      </c>
      <c r="D116" s="3148" t="s">
        <v>2305</v>
      </c>
      <c r="E116" s="3149"/>
      <c r="F116" s="3140" t="s">
        <v>3138</v>
      </c>
      <c r="G116" s="3140"/>
      <c r="H116" s="3037" t="s">
        <v>2306</v>
      </c>
      <c r="I116" s="3037"/>
    </row>
    <row r="117" spans="1:11" ht="18.75" customHeight="1">
      <c r="A117" s="3037"/>
      <c r="B117" s="3133"/>
      <c r="C117" s="3133"/>
      <c r="D117" s="1798" t="s">
        <v>2307</v>
      </c>
      <c r="E117" s="1798" t="s">
        <v>2308</v>
      </c>
      <c r="F117" s="1798" t="s">
        <v>2307</v>
      </c>
      <c r="G117" s="1798" t="s">
        <v>2309</v>
      </c>
      <c r="H117" s="1798" t="s">
        <v>2307</v>
      </c>
      <c r="I117" s="1798" t="s">
        <v>2309</v>
      </c>
    </row>
    <row r="118" spans="1:11" ht="24.75" customHeight="1">
      <c r="A118" s="2522" t="str">
        <f>项目基本情况!S2</f>
        <v>北京市顺义区竺园路6号1、2、3幢全部房地产</v>
      </c>
      <c r="B118" s="1798">
        <f>M18</f>
        <v>4081.21</v>
      </c>
      <c r="C118" s="1798">
        <f>M19</f>
        <v>3813.71</v>
      </c>
      <c r="D118" s="1798">
        <f ca="1">ROUND(IF(D32="总价",C34,E118*B118/10000),0)</f>
        <v>2042</v>
      </c>
      <c r="E118" s="1798">
        <f ca="1">ROUND(IF(C33="自定义",IF(D32="楼面单价",C34,D118*10000/B118),I118-G118),0)</f>
        <v>5003</v>
      </c>
      <c r="F118" s="1798">
        <f ca="1">ROUND(IF(D32="总价",C35,G118*B118/10000),0)</f>
        <v>3447</v>
      </c>
      <c r="G118" s="1798">
        <f ca="1">ROUND(IF(D32="楼面单价",C35,F118*10000/B118),0)</f>
        <v>8446</v>
      </c>
      <c r="H118" s="1798">
        <f ca="1">ROUND(IF(D32="总价",C32,I118*B118/10000),0)</f>
        <v>5489</v>
      </c>
      <c r="I118" s="1798">
        <f ca="1">ROUND(IF(D32="楼面单价",C32,H118*10000/B118),0)</f>
        <v>13449</v>
      </c>
    </row>
    <row r="119" spans="1:11" ht="18.75" customHeight="1">
      <c r="A119" s="3037" t="s">
        <v>2310</v>
      </c>
      <c r="B119" s="3037"/>
      <c r="C119" s="3037"/>
      <c r="D119" s="3137" t="str">
        <f ca="1">NUMBERSTRING(INT(D118*10000),2)&amp;"元整"</f>
        <v>贰仟零肆拾贰万元整</v>
      </c>
      <c r="E119" s="3139"/>
      <c r="F119" s="3137" t="str">
        <f ca="1">NUMBERSTRING(INT(F118*10000),2)&amp;"元整"</f>
        <v>叁仟肆佰肆拾柒万元整</v>
      </c>
      <c r="G119" s="3139"/>
      <c r="H119" s="3137" t="str">
        <f ca="1">NUMBERSTRING(INT(H118*10000),2)&amp;"元整"</f>
        <v>伍仟肆佰捌拾玖万元整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19" t="str">
        <f>IF(D120=0,"故，本次评估不存在"&amp;A120,"故，本次评估"&amp;A120&amp;"为人民币"&amp;D120&amp;"万元整。")</f>
        <v>故，本次评估不存在估价师知悉的法定优先受偿款</v>
      </c>
    </row>
    <row r="121" spans="1:11" ht="18.75" customHeight="1">
      <c r="A121" s="3141" t="s">
        <v>2310</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t="str">
        <f>H107</f>
        <v>——</v>
      </c>
      <c r="E122" s="3166"/>
      <c r="F122" s="3166"/>
      <c r="G122" s="3166"/>
      <c r="H122" s="3166"/>
      <c r="I122" s="3167"/>
    </row>
    <row r="123" spans="1:11" ht="18.75" customHeight="1">
      <c r="A123" s="3037" t="s">
        <v>2310</v>
      </c>
      <c r="B123" s="3037"/>
      <c r="C123" s="3037"/>
      <c r="D123" s="3137" t="e">
        <f>NUMBERSTRING(INT(D122*10000),2)&amp;"元整"</f>
        <v>#VALUE!</v>
      </c>
      <c r="E123" s="3138"/>
      <c r="F123" s="3138"/>
      <c r="G123" s="3138"/>
      <c r="H123" s="3138"/>
      <c r="I123" s="3139"/>
    </row>
    <row r="124" spans="1:11" ht="18.75" customHeight="1">
      <c r="A124" s="3128" t="str">
        <f>IF(项目基本情况!B9="房地产市场价值","",MID(E109,3,LEN(E109)-2))</f>
        <v>抵押担保权已注销时的房地产抵押价值</v>
      </c>
      <c r="B124" s="3128"/>
      <c r="C124" s="3128"/>
      <c r="D124" s="3165">
        <f ca="1">H109</f>
        <v>5489</v>
      </c>
      <c r="E124" s="3166"/>
      <c r="F124" s="3166"/>
      <c r="G124" s="3166"/>
      <c r="H124" s="3166"/>
      <c r="I124" s="3167"/>
    </row>
    <row r="125" spans="1:11" ht="18.75" customHeight="1">
      <c r="A125" s="3037" t="s">
        <v>2310</v>
      </c>
      <c r="B125" s="3037"/>
      <c r="C125" s="3037"/>
      <c r="D125" s="3137" t="str">
        <f ca="1">NUMBERSTRING(INT(D124*10000),2)&amp;"元整"</f>
        <v>伍仟肆佰捌拾玖万元整</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2310</v>
      </c>
      <c r="B127" s="3037"/>
      <c r="C127" s="3037"/>
      <c r="D127" s="3137" t="e">
        <f>NUMBERSTRING(INT(D126*10000),2)&amp;"元整"</f>
        <v>#VALUE!</v>
      </c>
      <c r="E127" s="3138"/>
      <c r="F127" s="3138"/>
      <c r="G127" s="3138"/>
      <c r="H127" s="3138"/>
      <c r="I127" s="3139"/>
    </row>
    <row r="128" spans="1:11" ht="21.75" customHeight="1">
      <c r="A128" s="3147" t="s">
        <v>2311</v>
      </c>
      <c r="B128" s="3147"/>
      <c r="C128" s="3147"/>
      <c r="D128" s="3147"/>
      <c r="E128" s="3147"/>
      <c r="F128" s="3147"/>
      <c r="G128" s="3147"/>
      <c r="H128" s="3147"/>
      <c r="I128" s="3147"/>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C17" sqref="C1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2113</v>
      </c>
      <c r="B1" s="2414"/>
      <c r="C1" s="2415" t="s">
        <v>3072</v>
      </c>
      <c r="D1" s="2414"/>
      <c r="E1" s="2414"/>
      <c r="F1" s="2416" t="s">
        <v>2114</v>
      </c>
      <c r="G1" s="2071" t="s">
        <v>3053</v>
      </c>
      <c r="H1" s="2417" t="str">
        <f>IF(G1="现房","——","估价对象范围")</f>
        <v>——</v>
      </c>
      <c r="I1" s="2418"/>
    </row>
    <row r="2" spans="1:12" ht="21.75" customHeight="1" thickBot="1">
      <c r="A2" s="3119" t="str">
        <f>项目基本情况!S2</f>
        <v>北京市顺义区竺园路6号1、2、3幢全部房地产</v>
      </c>
      <c r="B2" s="3120"/>
      <c r="C2" s="3120"/>
      <c r="D2" s="3120"/>
      <c r="E2" s="3120"/>
      <c r="F2" s="3120"/>
      <c r="G2" s="3120"/>
      <c r="H2" s="3120"/>
      <c r="I2" s="3121"/>
    </row>
    <row r="3" spans="1:12" ht="12.75">
      <c r="A3" s="3123" t="s">
        <v>2115</v>
      </c>
      <c r="B3" s="3124"/>
      <c r="C3" s="3124"/>
      <c r="D3" s="3124"/>
      <c r="E3" s="3124"/>
      <c r="F3" s="3124"/>
      <c r="G3" s="3124"/>
      <c r="H3" s="3124"/>
      <c r="I3" s="3124"/>
    </row>
    <row r="4" spans="1:12" ht="14.25">
      <c r="A4" s="2421" t="s">
        <v>2116</v>
      </c>
      <c r="B4" s="2422" t="s">
        <v>2117</v>
      </c>
      <c r="C4" s="2423" t="s">
        <v>3123</v>
      </c>
      <c r="D4" s="2423" t="s">
        <v>3125</v>
      </c>
      <c r="E4" s="3116" t="s">
        <v>2118</v>
      </c>
      <c r="F4" s="3117"/>
      <c r="G4" s="3117"/>
      <c r="H4" s="3117"/>
      <c r="I4" s="3125"/>
      <c r="K4" s="2424" t="str">
        <f>IF(ISNUMBER(FIND("比较法",'结果表 (厂房)'!C4)),"比较法",IF(ISNUMBER(FIND("成本法",'结果表 (厂房)'!C4)),"成本法",IF(ISNUMBER(FIND("假设开发法",'结果表 (厂房)'!C4)),"假设开发法",IF(ISNUMBER(FIND("收益法",'结果表 (厂房)'!C4)),"收益法","基准地价系数修正法"))))</f>
        <v>成本法</v>
      </c>
      <c r="L4" s="2424" t="str">
        <f>IF(ISNUMBER(FIND("比较法",'结果表 (厂房)'!D4)),"比较法",IF(ISNUMBER(FIND("成本法",'结果表 (厂房)'!D4)),"成本法",IF(ISNUMBER(FIND("假设开发法",'结果表 (厂房)'!D4)),"假设开发法",IF(ISNUMBER(FIND("收益法",'结果表 (厂房)'!D4)),"收益法","基准地价系数修正法"))))</f>
        <v>收益法</v>
      </c>
    </row>
    <row r="5" spans="1:12" ht="12.75">
      <c r="A5" s="3099" t="s">
        <v>2119</v>
      </c>
      <c r="B5" s="3037">
        <v>25</v>
      </c>
      <c r="C5" s="3102"/>
      <c r="D5" s="3122"/>
      <c r="E5" s="140" t="s">
        <v>2120</v>
      </c>
      <c r="F5" s="2425"/>
      <c r="G5" s="2425"/>
      <c r="H5" s="2425"/>
      <c r="I5" s="1834"/>
    </row>
    <row r="6" spans="1:12" ht="12.75">
      <c r="A6" s="3099"/>
      <c r="B6" s="3037"/>
      <c r="C6" s="3103"/>
      <c r="D6" s="3122"/>
      <c r="E6" s="140" t="s">
        <v>2121</v>
      </c>
      <c r="F6" s="2425"/>
      <c r="G6" s="2425"/>
      <c r="H6" s="2425"/>
      <c r="I6" s="1834"/>
    </row>
    <row r="7" spans="1:12" ht="12.75">
      <c r="A7" s="3099"/>
      <c r="B7" s="3037"/>
      <c r="C7" s="3104"/>
      <c r="D7" s="3122"/>
      <c r="E7" s="140" t="s">
        <v>2122</v>
      </c>
      <c r="F7" s="2425"/>
      <c r="G7" s="2425"/>
      <c r="H7" s="2425"/>
      <c r="I7" s="1834"/>
    </row>
    <row r="8" spans="1:12" ht="12.75">
      <c r="A8" s="3099" t="s">
        <v>2123</v>
      </c>
      <c r="B8" s="3037">
        <v>15</v>
      </c>
      <c r="C8" s="3102"/>
      <c r="D8" s="3122"/>
      <c r="E8" s="140" t="s">
        <v>2124</v>
      </c>
      <c r="F8" s="2425"/>
      <c r="G8" s="2425"/>
      <c r="H8" s="2425"/>
      <c r="I8" s="1834"/>
    </row>
    <row r="9" spans="1:12" ht="12.75">
      <c r="A9" s="3099"/>
      <c r="B9" s="3037"/>
      <c r="C9" s="3104"/>
      <c r="D9" s="3122"/>
      <c r="E9" s="140" t="s">
        <v>2125</v>
      </c>
      <c r="F9" s="2425"/>
      <c r="G9" s="2425"/>
      <c r="H9" s="2425"/>
      <c r="I9" s="1834"/>
    </row>
    <row r="10" spans="1:12" ht="12.75">
      <c r="A10" s="3099" t="s">
        <v>2126</v>
      </c>
      <c r="B10" s="3037">
        <v>15</v>
      </c>
      <c r="C10" s="3102"/>
      <c r="D10" s="3122"/>
      <c r="E10" s="140" t="s">
        <v>2127</v>
      </c>
      <c r="F10" s="2425"/>
      <c r="G10" s="2425"/>
      <c r="H10" s="2425"/>
      <c r="I10" s="1834"/>
    </row>
    <row r="11" spans="1:12" ht="12.75">
      <c r="A11" s="3099"/>
      <c r="B11" s="3037"/>
      <c r="C11" s="3104"/>
      <c r="D11" s="3122"/>
      <c r="E11" s="140" t="s">
        <v>2128</v>
      </c>
      <c r="F11" s="2425"/>
      <c r="G11" s="2425"/>
      <c r="H11" s="2425"/>
      <c r="I11" s="1834"/>
    </row>
    <row r="12" spans="1:12" ht="12.75">
      <c r="A12" s="3099" t="s">
        <v>2129</v>
      </c>
      <c r="B12" s="3037">
        <v>15</v>
      </c>
      <c r="C12" s="3102"/>
      <c r="D12" s="3122"/>
      <c r="E12" s="140" t="s">
        <v>2130</v>
      </c>
      <c r="F12" s="2425"/>
      <c r="G12" s="2425"/>
      <c r="H12" s="2425"/>
      <c r="I12" s="1834"/>
    </row>
    <row r="13" spans="1:12" ht="12.75">
      <c r="A13" s="3099"/>
      <c r="B13" s="3037"/>
      <c r="C13" s="3104"/>
      <c r="D13" s="3122"/>
      <c r="E13" s="140" t="s">
        <v>2131</v>
      </c>
      <c r="F13" s="2425"/>
      <c r="G13" s="2425"/>
      <c r="H13" s="2425"/>
      <c r="I13" s="1834"/>
    </row>
    <row r="14" spans="1:12" ht="12.75">
      <c r="A14" s="3099" t="s">
        <v>2132</v>
      </c>
      <c r="B14" s="3037">
        <v>30</v>
      </c>
      <c r="C14" s="3102">
        <v>35</v>
      </c>
      <c r="D14" s="3122">
        <v>65</v>
      </c>
      <c r="E14" s="140" t="s">
        <v>2133</v>
      </c>
      <c r="F14" s="2425"/>
      <c r="G14" s="2425"/>
      <c r="H14" s="2425"/>
      <c r="I14" s="1834"/>
    </row>
    <row r="15" spans="1:12" ht="12.75">
      <c r="A15" s="3099"/>
      <c r="B15" s="3037"/>
      <c r="C15" s="3103"/>
      <c r="D15" s="3122"/>
      <c r="E15" s="140" t="s">
        <v>2134</v>
      </c>
      <c r="F15" s="2425"/>
      <c r="G15" s="2425"/>
      <c r="H15" s="2425"/>
      <c r="I15" s="1834"/>
    </row>
    <row r="16" spans="1:12" ht="12.75">
      <c r="A16" s="3099"/>
      <c r="B16" s="3037"/>
      <c r="C16" s="3104"/>
      <c r="D16" s="3122"/>
      <c r="E16" s="140" t="s">
        <v>2135</v>
      </c>
      <c r="F16" s="2425"/>
      <c r="G16" s="2425"/>
      <c r="H16" s="2425"/>
      <c r="I16" s="1834"/>
    </row>
    <row r="17" spans="1:35" ht="15">
      <c r="A17" s="2426" t="s">
        <v>2136</v>
      </c>
      <c r="B17" s="64"/>
      <c r="C17" s="141">
        <f>SUM(C5:C16)</f>
        <v>35</v>
      </c>
      <c r="D17" s="141">
        <f>SUM(D5:D16)</f>
        <v>65</v>
      </c>
      <c r="E17" s="138"/>
      <c r="F17" s="138"/>
      <c r="G17" s="138"/>
      <c r="H17" s="138"/>
      <c r="I17" s="138"/>
      <c r="K17" s="2424"/>
      <c r="L17" s="2427" t="s">
        <v>2137</v>
      </c>
      <c r="M17" s="2427" t="s">
        <v>2138</v>
      </c>
    </row>
    <row r="18" spans="1:35" ht="15.75" thickBot="1">
      <c r="A18" s="2428" t="s">
        <v>2139</v>
      </c>
      <c r="B18" s="2429"/>
      <c r="C18" s="142">
        <f>ROUND(C17/SUM(C17:D17),2)</f>
        <v>0.35</v>
      </c>
      <c r="D18" s="142">
        <f>1-C18</f>
        <v>0.65</v>
      </c>
      <c r="E18" s="138"/>
      <c r="F18" s="138"/>
      <c r="G18" s="138"/>
      <c r="H18" s="138"/>
      <c r="I18" s="138"/>
      <c r="K18" s="2424" t="s">
        <v>2140</v>
      </c>
      <c r="L18" s="2424">
        <f>IF(C1="",'数据-汇总表'!E3,SUMIF(项目类型,C1,'数据-汇总表'!E17:E26)+SUMIF(项目类型,C1,'数据-汇总表'!I17:I26))</f>
        <v>6744.41</v>
      </c>
      <c r="M18" s="2424">
        <f>IF(C1="",'数据-汇总表'!E3,SUMIF(项目类型,C1,'数据-汇总表'!E17:E26))</f>
        <v>6744.41</v>
      </c>
    </row>
    <row r="19" spans="1:35" ht="15">
      <c r="A19" s="2430" t="s">
        <v>2141</v>
      </c>
      <c r="B19" s="2431" t="s">
        <v>2142</v>
      </c>
      <c r="C19" s="143">
        <f ca="1">SUMIF(INDIRECT("'"&amp;C4&amp;"'"&amp;"!A:A"),'结果表 (厂房)'!B19,INDIRECT("'"&amp;C4&amp;"'"&amp;"!B:B"))</f>
        <v>3327</v>
      </c>
      <c r="D19" s="144">
        <f ca="1">SUMIF(INDIRECT("'"&amp;D4&amp;"'"&amp;"!A:A"),'结果表 (厂房)'!B19,INDIRECT("'"&amp;D4&amp;"'"&amp;"!B:B"))</f>
        <v>4728</v>
      </c>
      <c r="E19" s="2430" t="s">
        <v>2143</v>
      </c>
      <c r="F19" s="2431" t="s">
        <v>2142</v>
      </c>
      <c r="G19" s="145">
        <f ca="1">ROUND(C19*$C$18+D19*$D$18,0)</f>
        <v>4238</v>
      </c>
      <c r="H19" s="2432" t="s">
        <v>2144</v>
      </c>
      <c r="I19" s="138"/>
      <c r="K19" s="2424" t="s">
        <v>2145</v>
      </c>
      <c r="L19" s="2424">
        <f>IF(C1="",'数据-汇总表'!D3,SUMIF(项目类型,C1,'数据-汇总表'!D17:D26)+SUMIF(项目类型,C1,'数据-汇总表'!H17:H27))</f>
        <v>6302.35</v>
      </c>
      <c r="M19" s="2424">
        <f>IF(C1="",'数据-汇总表'!D3,SUMIF(项目类型,C1,'数据-汇总表'!D17:D26))</f>
        <v>6302.35</v>
      </c>
    </row>
    <row r="20" spans="1:35" ht="15">
      <c r="A20" s="2433"/>
      <c r="B20" s="1250" t="s">
        <v>2146</v>
      </c>
      <c r="C20" s="146">
        <f ca="1">SUMIF(INDIRECT("'"&amp;C4&amp;"'"&amp;"!A:A"),'结果表 (厂房)'!B20,INDIRECT("'"&amp;C4&amp;"'"&amp;"!B:B"))</f>
        <v>4933</v>
      </c>
      <c r="D20" s="147">
        <f ca="1">SUMIF(INDIRECT("'"&amp;D4&amp;"'"&amp;"!A:A"),'结果表 (厂房)'!B20,INDIRECT("'"&amp;D4&amp;"'"&amp;"!B:B"))</f>
        <v>7010</v>
      </c>
      <c r="E20" s="2433"/>
      <c r="F20" s="1250" t="s">
        <v>2146</v>
      </c>
      <c r="G20" s="148">
        <f ca="1">ROUND(C20*$C$18+D20*$D$18,0)</f>
        <v>6283</v>
      </c>
      <c r="H20" s="983" t="s">
        <v>2147</v>
      </c>
      <c r="I20" s="138"/>
    </row>
    <row r="21" spans="1:35" ht="15" customHeight="1" thickBot="1">
      <c r="A21" s="1003"/>
      <c r="B21" s="2434" t="s">
        <v>2148</v>
      </c>
      <c r="C21" s="789">
        <f ca="1">ROUND(C19*10000/L19,0)</f>
        <v>5279</v>
      </c>
      <c r="D21" s="790">
        <f ca="1">ROUND(D19*10000/L19,0)</f>
        <v>7502</v>
      </c>
      <c r="E21" s="1003"/>
      <c r="F21" s="2434" t="s">
        <v>2148</v>
      </c>
      <c r="G21" s="149">
        <f ca="1">ROUND(G19*10000/L19,0)</f>
        <v>6724</v>
      </c>
      <c r="H21" s="2435" t="s">
        <v>2147</v>
      </c>
      <c r="I21" s="138"/>
    </row>
    <row r="22" spans="1:35" ht="15" thickBot="1">
      <c r="A22" s="2278" t="s">
        <v>2149</v>
      </c>
      <c r="B22" s="2436"/>
      <c r="C22" s="2437"/>
      <c r="D22" s="791">
        <f ca="1">IF(C19&lt;D19,D19/C19-1,C19/D19-1)</f>
        <v>0.42110009017132555</v>
      </c>
      <c r="E22" s="138"/>
      <c r="F22" s="138"/>
      <c r="G22" s="138"/>
      <c r="H22" s="138"/>
      <c r="I22" s="138"/>
    </row>
    <row r="23" spans="1:35" ht="13.5" thickBot="1">
      <c r="A23" s="2414"/>
      <c r="B23" s="2414"/>
      <c r="C23" s="2414"/>
      <c r="D23" s="2414"/>
      <c r="E23" s="138"/>
      <c r="F23" s="138"/>
      <c r="G23" s="138"/>
      <c r="H23" s="138"/>
      <c r="I23" s="138"/>
    </row>
    <row r="24" spans="1:35" ht="14.25">
      <c r="A24" s="3093" t="s">
        <v>2150</v>
      </c>
      <c r="B24" s="2431" t="s">
        <v>2142</v>
      </c>
      <c r="C24" s="145">
        <f>IF(B30=0,0,D30)</f>
        <v>0</v>
      </c>
      <c r="D24" s="2438"/>
      <c r="E24" s="138"/>
      <c r="F24" s="138"/>
      <c r="G24" s="138"/>
      <c r="H24" s="138"/>
      <c r="I24" s="138"/>
    </row>
    <row r="25" spans="1:35" ht="14.25">
      <c r="A25" s="3094"/>
      <c r="B25" s="1250"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3"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2156</v>
      </c>
      <c r="B32" s="2444"/>
      <c r="C32" s="153">
        <f ca="1">IF(D32="总价",G19-C24,G20-C25)</f>
        <v>4238</v>
      </c>
      <c r="D32" s="2445" t="s">
        <v>2157</v>
      </c>
      <c r="E32" s="138"/>
      <c r="F32" s="138"/>
      <c r="G32" s="138"/>
      <c r="H32" s="138"/>
      <c r="I32" s="138"/>
    </row>
    <row r="33" spans="1:15" ht="15">
      <c r="A33" s="960" t="s">
        <v>2158</v>
      </c>
      <c r="B33" s="2446"/>
      <c r="C33" s="2447" t="s">
        <v>3121</v>
      </c>
      <c r="D33" s="2448" t="s">
        <v>3123</v>
      </c>
      <c r="E33" s="2449" t="s">
        <v>2159</v>
      </c>
      <c r="F33" s="2957" t="str">
        <f>IF(D32="楼面单价","取值（单价）","取值（总价）")</f>
        <v>取值（总价）</v>
      </c>
      <c r="G33" s="138"/>
      <c r="H33" s="138"/>
      <c r="I33" s="138"/>
    </row>
    <row r="34" spans="1:15" ht="15">
      <c r="A34" s="2451"/>
      <c r="B34" s="2452" t="s">
        <v>2160</v>
      </c>
      <c r="C34" s="157">
        <f ca="1">IF(C33="自定义",F34,C32-C35)</f>
        <v>2123</v>
      </c>
      <c r="D34" s="1058">
        <f ca="1">IF(C33="自定义",ROUND(C34/C32,3),IF(C33="收益比率",SUMIF(INDIRECT("'"&amp;D33&amp;"'"&amp;"!b:b"),"土地收益比率",INDIRECT("'"&amp;D33&amp;"'"&amp;"!c:c")),SUMIF(INDIRECT("'"&amp;D33&amp;"'"&amp;"!b:b"),"土地成本比率",INDIRECT("'"&amp;D33&amp;"'"&amp;"!c:c"))))</f>
        <v>0.501</v>
      </c>
      <c r="E34" s="2453" t="s">
        <v>2161</v>
      </c>
      <c r="F34" s="1739"/>
      <c r="G34" s="138"/>
      <c r="H34" s="138"/>
      <c r="I34" s="138"/>
    </row>
    <row r="35" spans="1:15" ht="15.75" thickBot="1">
      <c r="A35" s="2454"/>
      <c r="B35" s="2455" t="s">
        <v>2162</v>
      </c>
      <c r="C35" s="1444">
        <f ca="1">IF(C33="自定义",F35,ROUND(C32*D35,0))</f>
        <v>2115</v>
      </c>
      <c r="D35" s="1445">
        <f ca="1">IF(C33="自定义",ROUND(C35/C32,3),IF(C33="收益比率",SUMIF(INDIRECT("'"&amp;D33&amp;"'"&amp;"!b:b"),"建筑物收益比率",INDIRECT("'"&amp;D33&amp;"'"&amp;"!c:c")),SUMIF(INDIRECT("'"&amp;D33&amp;"'"&amp;"!b:b"),"建筑物成本比率",INDIRECT("'"&amp;D33&amp;"'"&amp;"!c:c"))))</f>
        <v>0.499</v>
      </c>
      <c r="E35" s="2456" t="s">
        <v>2163</v>
      </c>
      <c r="F35" s="163"/>
      <c r="G35" s="138"/>
      <c r="H35" s="138"/>
      <c r="I35" s="138"/>
    </row>
    <row r="36" spans="1:15" ht="15.75" thickBot="1">
      <c r="A36" s="3111" t="s">
        <v>2164</v>
      </c>
      <c r="B36" s="2457" t="s">
        <v>2165</v>
      </c>
      <c r="C36" s="154"/>
      <c r="D36" s="2458"/>
      <c r="E36" s="2459"/>
      <c r="F36" s="2460"/>
      <c r="G36" s="138"/>
      <c r="H36" s="138"/>
      <c r="I36" s="138"/>
    </row>
    <row r="37" spans="1:15" ht="15.75" thickBot="1">
      <c r="A37" s="3112"/>
      <c r="B37" s="2264" t="s">
        <v>2166</v>
      </c>
      <c r="C37" s="156"/>
      <c r="D37" s="1395"/>
      <c r="E37" s="1395"/>
      <c r="F37" s="2460"/>
      <c r="G37" s="138"/>
      <c r="H37" s="138"/>
      <c r="I37" s="138"/>
    </row>
    <row r="38" spans="1:15" ht="15.75" thickBot="1">
      <c r="A38" s="3113"/>
      <c r="B38" s="2461" t="s">
        <v>2167</v>
      </c>
      <c r="C38" s="727"/>
      <c r="D38" s="2462" t="s">
        <v>2168</v>
      </c>
      <c r="E38" s="1395"/>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90" t="s">
        <v>2178</v>
      </c>
      <c r="B45" s="3091"/>
      <c r="C45" s="3092"/>
      <c r="D45" s="164">
        <f ca="1">ROUND(H101*F45,0)</f>
        <v>4238</v>
      </c>
      <c r="E45" s="165" t="s">
        <v>2179</v>
      </c>
      <c r="F45" s="166">
        <v>1</v>
      </c>
      <c r="G45" s="167" t="s">
        <v>2180</v>
      </c>
      <c r="H45" s="138"/>
      <c r="I45" s="138"/>
      <c r="J45" s="3150" t="s">
        <v>2181</v>
      </c>
      <c r="K45" s="3150"/>
      <c r="L45" s="3150"/>
      <c r="M45" s="3150"/>
      <c r="N45" s="3150"/>
      <c r="O45" s="3150"/>
    </row>
    <row r="46" spans="1:15" ht="14.25" customHeight="1">
      <c r="A46" s="3087" t="s">
        <v>2182</v>
      </c>
      <c r="B46" s="3088"/>
      <c r="C46" s="3088"/>
      <c r="D46" s="3088"/>
      <c r="E46" s="3088"/>
      <c r="F46" s="3088"/>
      <c r="G46" s="3089"/>
      <c r="H46" s="2476"/>
      <c r="I46" s="168"/>
      <c r="J46" s="2969">
        <v>1</v>
      </c>
      <c r="K46" s="3150" t="s">
        <v>2183</v>
      </c>
      <c r="L46" s="3150"/>
      <c r="M46" s="3170"/>
      <c r="N46" s="3170"/>
      <c r="O46" s="3170"/>
    </row>
    <row r="47" spans="1:15" ht="12" customHeight="1">
      <c r="A47" s="169" t="s">
        <v>2184</v>
      </c>
      <c r="B47" s="170"/>
      <c r="C47" s="171"/>
      <c r="D47" s="172" t="s">
        <v>2185</v>
      </c>
      <c r="E47" s="24" t="s">
        <v>2186</v>
      </c>
      <c r="F47" s="173" t="s">
        <v>2187</v>
      </c>
      <c r="G47" s="174" t="s">
        <v>2188</v>
      </c>
      <c r="H47" s="2476"/>
      <c r="I47" s="168"/>
      <c r="J47" s="2969">
        <v>2</v>
      </c>
      <c r="K47" s="3150" t="s">
        <v>2189</v>
      </c>
      <c r="L47" s="3150"/>
      <c r="M47" s="3171">
        <f>'数据-取费表'!B2</f>
        <v>43294</v>
      </c>
      <c r="N47" s="3171"/>
      <c r="O47" s="3171"/>
    </row>
    <row r="48" spans="1:15" ht="25.5">
      <c r="A48" s="3118" t="s">
        <v>2190</v>
      </c>
      <c r="B48" s="3101"/>
      <c r="C48" s="3101"/>
      <c r="D48" s="140">
        <f>IF(H48="情况1",0,IF(H48="情况2",D52,IF(H48="情况3",D53,IF(H48="情况4",D54))))</f>
        <v>0</v>
      </c>
      <c r="E48" s="2961" t="str">
        <f>IF(H48="情况4","(销售额-原购置价)×税（费）率","销售额×税（费）率")</f>
        <v>销售额×税（费）率</v>
      </c>
      <c r="F48" s="175" t="str">
        <f>IF(H48="情况1","免征",'数据-取费表'!B41)</f>
        <v>免征</v>
      </c>
      <c r="G48" s="2477" t="s">
        <v>2191</v>
      </c>
      <c r="H48" s="2478" t="s">
        <v>2192</v>
      </c>
      <c r="I48" s="2476"/>
      <c r="J48" s="2969">
        <v>3</v>
      </c>
      <c r="K48" s="3150" t="s">
        <v>2193</v>
      </c>
      <c r="L48" s="3150"/>
      <c r="M48" s="3172">
        <f ca="1">H101</f>
        <v>4238</v>
      </c>
      <c r="N48" s="3172"/>
      <c r="O48" s="3172"/>
    </row>
    <row r="49" spans="1:35" ht="25.5" customHeight="1">
      <c r="A49" s="176" t="s">
        <v>2194</v>
      </c>
      <c r="B49" s="3086" t="s">
        <v>2195</v>
      </c>
      <c r="C49" s="3086"/>
      <c r="D49" s="177">
        <v>0</v>
      </c>
      <c r="E49" s="23" t="s">
        <v>2196</v>
      </c>
      <c r="F49" s="28" t="s">
        <v>34</v>
      </c>
      <c r="G49" s="3156"/>
      <c r="H49" s="138"/>
      <c r="I49" s="2479"/>
      <c r="J49" s="2969">
        <v>4</v>
      </c>
      <c r="K49" s="3150" t="str">
        <f>IF(项目基本情况!E8="房地产抵押价值","房地产抵押价值","抵押担保权已注销时的房地产抵押价值")</f>
        <v>抵押担保权已注销时的房地产抵押价值</v>
      </c>
      <c r="L49" s="3150"/>
      <c r="M49" s="3172">
        <f ca="1">IF(项目基本情况!E8="房地产抵押价值",H107,H109)</f>
        <v>4238</v>
      </c>
      <c r="N49" s="3172"/>
      <c r="O49" s="3172"/>
    </row>
    <row r="50" spans="1:35" ht="25.5" customHeight="1">
      <c r="A50" s="178"/>
      <c r="B50" s="3086" t="s">
        <v>2197</v>
      </c>
      <c r="C50" s="3086"/>
      <c r="D50" s="179"/>
      <c r="E50" s="31"/>
      <c r="F50" s="180"/>
      <c r="G50" s="3157"/>
      <c r="H50" s="138"/>
      <c r="I50" s="2479"/>
      <c r="J50" s="3150" t="s">
        <v>2198</v>
      </c>
      <c r="K50" s="3150"/>
      <c r="L50" s="3150"/>
      <c r="M50" s="3150"/>
      <c r="N50" s="3150"/>
      <c r="O50" s="3150"/>
    </row>
    <row r="51" spans="1:35" ht="12" customHeight="1">
      <c r="A51" s="181"/>
      <c r="B51" s="3086" t="s">
        <v>2199</v>
      </c>
      <c r="C51" s="3086"/>
      <c r="D51" s="182"/>
      <c r="E51" s="30"/>
      <c r="F51" s="180"/>
      <c r="G51" s="3158"/>
      <c r="H51" s="138"/>
      <c r="I51" s="2479"/>
      <c r="J51" s="2968" t="s">
        <v>2200</v>
      </c>
      <c r="K51" s="3150" t="s">
        <v>2201</v>
      </c>
      <c r="L51" s="3150"/>
      <c r="M51" s="2968" t="s">
        <v>2202</v>
      </c>
      <c r="N51" s="2968" t="s">
        <v>2203</v>
      </c>
      <c r="O51" s="2968" t="s">
        <v>2204</v>
      </c>
    </row>
    <row r="52" spans="1:35" ht="24" customHeight="1">
      <c r="A52" s="183" t="s">
        <v>2205</v>
      </c>
      <c r="B52" s="3086" t="s">
        <v>2206</v>
      </c>
      <c r="C52" s="3086"/>
      <c r="D52" s="182">
        <f ca="1">ROUND(D45*'数据-取费表'!B41/(1+'数据-取费表'!C42),0)</f>
        <v>222</v>
      </c>
      <c r="E52" s="11" t="s">
        <v>2207</v>
      </c>
      <c r="F52" s="184">
        <f>'数据-取费表'!B41</f>
        <v>5.5000000000000007E-2</v>
      </c>
      <c r="G52" s="2481"/>
      <c r="H52" s="138"/>
      <c r="I52" s="2479"/>
      <c r="J52" s="2969">
        <v>1</v>
      </c>
      <c r="K52" s="3151" t="s">
        <v>2208</v>
      </c>
      <c r="L52" s="3151"/>
      <c r="M52" s="1754">
        <f>D48</f>
        <v>0</v>
      </c>
      <c r="N52" s="2969" t="str">
        <f>E48</f>
        <v>销售额×税（费）率</v>
      </c>
      <c r="O52" s="1755" t="str">
        <f>F48</f>
        <v>免征</v>
      </c>
    </row>
    <row r="53" spans="1:35" ht="12" customHeight="1">
      <c r="A53" s="183" t="s">
        <v>2209</v>
      </c>
      <c r="B53" s="3109" t="s">
        <v>2210</v>
      </c>
      <c r="C53" s="3110"/>
      <c r="D53" s="182">
        <f ca="1">ROUND(D45*'数据-取费表'!B41/(1+'数据-取费表'!C42),0)</f>
        <v>222</v>
      </c>
      <c r="E53" s="11" t="s">
        <v>2207</v>
      </c>
      <c r="F53" s="184">
        <f>'数据-取费表'!B41</f>
        <v>5.5000000000000007E-2</v>
      </c>
      <c r="G53" s="2481"/>
      <c r="H53" s="138"/>
      <c r="I53" s="2479"/>
      <c r="J53" s="2969">
        <v>2</v>
      </c>
      <c r="K53" s="3151" t="s">
        <v>2211</v>
      </c>
      <c r="L53" s="3151"/>
      <c r="M53" s="1754">
        <f t="shared" ref="M53:O54" ca="1" si="0">D55</f>
        <v>2</v>
      </c>
      <c r="N53" s="2969" t="str">
        <f t="shared" si="0"/>
        <v>销售额×税（费）率</v>
      </c>
      <c r="O53" s="1755">
        <f t="shared" si="0"/>
        <v>5.0000000000000001E-4</v>
      </c>
    </row>
    <row r="54" spans="1:35" ht="12" customHeight="1">
      <c r="A54" s="183" t="s">
        <v>2212</v>
      </c>
      <c r="B54" s="3109" t="s">
        <v>2213</v>
      </c>
      <c r="C54" s="3110"/>
      <c r="D54" s="182">
        <f ca="1">C68</f>
        <v>222</v>
      </c>
      <c r="E54" s="30" t="s">
        <v>2214</v>
      </c>
      <c r="F54" s="184">
        <f>'数据-取费表'!B41</f>
        <v>5.5000000000000007E-2</v>
      </c>
      <c r="G54" s="2481"/>
      <c r="H54" s="2482"/>
      <c r="I54" s="2479"/>
      <c r="J54" s="2969">
        <v>3</v>
      </c>
      <c r="K54" s="3151" t="s">
        <v>2215</v>
      </c>
      <c r="L54" s="3151"/>
      <c r="M54" s="1754">
        <f t="shared" ca="1" si="0"/>
        <v>2403</v>
      </c>
      <c r="N54" s="2969" t="str">
        <f t="shared" si="0"/>
        <v>增值额×税（费）率</v>
      </c>
      <c r="O54" s="1756" t="str">
        <f t="shared" si="0"/>
        <v>——</v>
      </c>
    </row>
    <row r="55" spans="1:35" ht="24" customHeight="1">
      <c r="A55" s="3100" t="s">
        <v>2216</v>
      </c>
      <c r="B55" s="3101"/>
      <c r="C55" s="3101"/>
      <c r="D55" s="185">
        <f ca="1">IF(H55="个人住宅",0,ROUND(D45*I55,0))</f>
        <v>2</v>
      </c>
      <c r="E55" s="11" t="s">
        <v>2217</v>
      </c>
      <c r="F55" s="184">
        <f>IF(H55="正常",I55,"免征")</f>
        <v>5.0000000000000001E-4</v>
      </c>
      <c r="G55" s="2481"/>
      <c r="H55" s="2478" t="s">
        <v>2218</v>
      </c>
      <c r="I55" s="186">
        <f>'数据-取费表'!B49</f>
        <v>5.0000000000000001E-4</v>
      </c>
      <c r="J55" s="2969" t="str">
        <f>IF(H59="非个人房产","",4)</f>
        <v/>
      </c>
      <c r="K55" s="3151" t="str">
        <f>IF(H59="非个人房产","——","个人所得税")</f>
        <v>——</v>
      </c>
      <c r="L55" s="3151"/>
      <c r="M55" s="1757" t="str">
        <f>D59</f>
        <v>——</v>
      </c>
      <c r="N55" s="2970" t="str">
        <f>E59</f>
        <v>——</v>
      </c>
      <c r="O55" s="1758" t="str">
        <f>F59</f>
        <v>——</v>
      </c>
    </row>
    <row r="56" spans="1:35" ht="24.75">
      <c r="A56" s="3100" t="s">
        <v>2219</v>
      </c>
      <c r="B56" s="3101"/>
      <c r="C56" s="3101"/>
      <c r="D56" s="185">
        <f ca="1">IF(H56="个人住宅",D57,D58)</f>
        <v>2403</v>
      </c>
      <c r="E56" s="11" t="s">
        <v>2220</v>
      </c>
      <c r="F56" s="184" t="str">
        <f>IF(H56="正常",F58,"免征")</f>
        <v>——</v>
      </c>
      <c r="G56" s="2483" t="s">
        <v>2221</v>
      </c>
      <c r="H56" s="2484" t="s">
        <v>2218</v>
      </c>
      <c r="I56" s="2485"/>
      <c r="J56" s="2969" t="str">
        <f>IF(项目基本情况!K6="上海银行",IF(J55="",4,J55+1),"")</f>
        <v/>
      </c>
      <c r="K56" s="3174" t="str">
        <f>IF(项目基本情况!K6="上海银行","其他处置费用","")</f>
        <v/>
      </c>
      <c r="L56" s="3175"/>
      <c r="M56" s="1754" t="str">
        <f>IF(项目基本情况!K6="上海银行",M69,"")</f>
        <v/>
      </c>
      <c r="N56" s="3177" t="str">
        <f>IF(项目基本情况!K6="上海银行","包含处置中涉及的律师、诉讼、拍卖、评估等费用","")</f>
        <v/>
      </c>
      <c r="O56" s="3178"/>
    </row>
    <row r="57" spans="1:35" ht="12.75">
      <c r="A57" s="183" t="s">
        <v>2194</v>
      </c>
      <c r="B57" s="3116" t="s">
        <v>2222</v>
      </c>
      <c r="C57" s="3125"/>
      <c r="D57" s="187">
        <v>0</v>
      </c>
      <c r="E57" s="23" t="s">
        <v>2196</v>
      </c>
      <c r="F57" s="155"/>
      <c r="G57" s="2481"/>
      <c r="H57" s="2485"/>
      <c r="I57" s="2485"/>
      <c r="J57" s="3151">
        <f>IF(AND(J55="",J56=""),4,IF(项目基本情况!K6="上海银行",'结果表 (厂房)'!J56+1,'结果表 (厂房)'!J55+1))</f>
        <v>4</v>
      </c>
      <c r="K57" s="3151" t="s">
        <v>2223</v>
      </c>
      <c r="L57" s="2486" t="s">
        <v>2224</v>
      </c>
      <c r="M57" s="1759"/>
      <c r="N57" s="1760">
        <f ca="1">SUMIF(M52:M56,"&lt;9e307")</f>
        <v>2405</v>
      </c>
      <c r="O57" s="2487"/>
      <c r="P57" s="1753">
        <f ca="1">N57/M49</f>
        <v>0.56748466257668717</v>
      </c>
    </row>
    <row r="58" spans="1:35" ht="24.75">
      <c r="A58" s="183" t="s">
        <v>2205</v>
      </c>
      <c r="B58" s="3116" t="s">
        <v>2225</v>
      </c>
      <c r="C58" s="3117"/>
      <c r="D58" s="185">
        <f ca="1">IF(H58="转让取得",C81,C97)</f>
        <v>2403</v>
      </c>
      <c r="E58" s="11" t="s">
        <v>2220</v>
      </c>
      <c r="F58" s="24" t="s">
        <v>34</v>
      </c>
      <c r="G58" s="2481"/>
      <c r="H58" s="2484" t="s">
        <v>2226</v>
      </c>
      <c r="I58" s="2485"/>
      <c r="J58" s="3151"/>
      <c r="K58" s="3151"/>
      <c r="L58" s="2486" t="s">
        <v>2227</v>
      </c>
      <c r="M58" s="1761"/>
      <c r="N58" s="2488" t="str">
        <f ca="1">NUMBERSTRING(INT(N57*10000),2)&amp;"元整"</f>
        <v>贰仟肆佰零伍万元整</v>
      </c>
      <c r="O58" s="2489"/>
    </row>
    <row r="59" spans="1:35" ht="24.75" thickBot="1">
      <c r="A59" s="3154" t="s">
        <v>2228</v>
      </c>
      <c r="B59" s="3155"/>
      <c r="C59" s="3155"/>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52">
        <f>J57+1</f>
        <v>5</v>
      </c>
      <c r="K59" s="3151" t="s">
        <v>2230</v>
      </c>
      <c r="L59" s="2969" t="s">
        <v>2224</v>
      </c>
      <c r="M59" s="1762"/>
      <c r="N59" s="1763">
        <f ca="1">M49-N57</f>
        <v>1833</v>
      </c>
      <c r="O59" s="2491"/>
    </row>
    <row r="60" spans="1:35" ht="12" customHeight="1">
      <c r="A60" s="2492"/>
      <c r="B60" s="2414"/>
      <c r="C60" s="2414"/>
      <c r="D60" s="2414"/>
      <c r="E60" s="2164"/>
      <c r="F60" s="2485"/>
      <c r="G60" s="2485"/>
      <c r="H60" s="2493"/>
      <c r="I60" s="138"/>
      <c r="J60" s="3153"/>
      <c r="K60" s="3151"/>
      <c r="L60" s="2486" t="s">
        <v>2227</v>
      </c>
      <c r="M60" s="1761"/>
      <c r="N60" s="2488" t="str">
        <f ca="1">NUMBERSTRING(INT(N59*10000),2)&amp;"元整"</f>
        <v>壹仟捌佰叁拾叁万元整</v>
      </c>
      <c r="O60" s="2489"/>
    </row>
    <row r="61" spans="1:35" ht="13.5" thickBot="1">
      <c r="A61" s="3098" t="s">
        <v>2231</v>
      </c>
      <c r="B61" s="3098"/>
      <c r="C61" s="3098"/>
      <c r="D61" s="3098"/>
      <c r="E61" s="3098"/>
      <c r="F61" s="2485"/>
      <c r="G61" s="2485"/>
      <c r="H61" s="2493"/>
      <c r="I61" s="138"/>
      <c r="J61" s="2969">
        <f>J59+1</f>
        <v>6</v>
      </c>
      <c r="K61" s="3151" t="s">
        <v>2232</v>
      </c>
      <c r="L61" s="3151"/>
      <c r="M61" s="1764"/>
      <c r="N61" s="1765">
        <f ca="1">ROUND(N59*10000/'数据-汇总表'!E3,0)</f>
        <v>856</v>
      </c>
      <c r="O61" s="2494"/>
    </row>
    <row r="62" spans="1:35" ht="12.75">
      <c r="A62" s="3114" t="s">
        <v>2233</v>
      </c>
      <c r="B62" s="3115"/>
      <c r="C62" s="2964"/>
      <c r="D62" s="2964" t="s">
        <v>2234</v>
      </c>
      <c r="E62" s="192" t="s">
        <v>2235</v>
      </c>
      <c r="F62" s="2485"/>
      <c r="G62" s="2485"/>
      <c r="H62" s="2493"/>
      <c r="I62" s="138"/>
    </row>
    <row r="63" spans="1:35" ht="12.75">
      <c r="A63" s="203" t="s">
        <v>775</v>
      </c>
      <c r="B63" s="193" t="s">
        <v>2236</v>
      </c>
      <c r="C63" s="194">
        <f ca="1">ROUND((C64+C65)/(1+'数据-取费表'!C42),0)</f>
        <v>4036</v>
      </c>
      <c r="D63" s="195"/>
      <c r="E63" s="196"/>
      <c r="F63" s="2485"/>
      <c r="G63" s="2485"/>
      <c r="H63" s="2493"/>
      <c r="I63" s="138"/>
      <c r="J63" s="3176" t="s">
        <v>2237</v>
      </c>
      <c r="K63" s="2974" t="s">
        <v>2238</v>
      </c>
      <c r="L63" s="1752">
        <f ca="1">IF(M49&gt;10000,M49*0.5%,IF(AND(M49&gt;1000,M49&lt;=10000),M49*1%,IF(AND(M49&gt;100,M49&lt;=1000),M49*3%,IF(AND(M49&gt;10,M49&lt;=100),M49*5%,M49*8%))))</f>
        <v>42.38</v>
      </c>
      <c r="M63" s="24">
        <f ca="1">ROUND(L63,1)</f>
        <v>42.4</v>
      </c>
      <c r="Z63" s="2419"/>
      <c r="AI63" s="2420"/>
    </row>
    <row r="64" spans="1:35" ht="14.25" customHeight="1">
      <c r="A64" s="197" t="s">
        <v>770</v>
      </c>
      <c r="B64" s="198" t="s">
        <v>2239</v>
      </c>
      <c r="C64" s="199">
        <f ca="1">D45</f>
        <v>4238</v>
      </c>
      <c r="D64" s="200" t="s">
        <v>32</v>
      </c>
      <c r="E64" s="201"/>
      <c r="F64" s="2485"/>
      <c r="G64" s="2485"/>
      <c r="H64" s="2493"/>
      <c r="I64" s="138"/>
      <c r="J64" s="3176"/>
      <c r="K64" s="2974" t="s">
        <v>2240</v>
      </c>
      <c r="L64" s="1752">
        <f ca="1">IF(M49&gt;2000,M49*0.5%,IF(AND(M49&gt;1000,M49&lt;=2000),M49*0.6%,IF(AND(M49&gt;500,M49&lt;=1000),M49*0.7%,IF(AND(M49&gt;200,M49&lt;=500),M49*0.8%,IF(AND(M49&gt;100,M49&lt;=200),M49*0.9%,IF(AND(M49&gt;50,M49&lt;=100),M49*1%,IF(AND(M49&gt;20,M49&lt;=50),M49*1.5%,IF(AND(M49&gt;10,M49&lt;=20),M49*2%,IF(AND(M49&gt;1,M49&lt;=10),M49*2.5%)))))))))</f>
        <v>21.19</v>
      </c>
      <c r="M64" s="24">
        <f t="shared" ref="M64:M65" ca="1" si="1">ROUND(L64,1)</f>
        <v>21.2</v>
      </c>
      <c r="N64" s="138" t="s">
        <v>2241</v>
      </c>
      <c r="Z64" s="2419"/>
      <c r="AI64" s="2420"/>
    </row>
    <row r="65" spans="1:35" ht="14.25" customHeight="1">
      <c r="A65" s="197" t="s">
        <v>771</v>
      </c>
      <c r="B65" s="198" t="s">
        <v>2242</v>
      </c>
      <c r="C65" s="202"/>
      <c r="D65" s="200"/>
      <c r="E65" s="201"/>
      <c r="F65" s="2485"/>
      <c r="G65" s="2485"/>
      <c r="H65" s="2493"/>
      <c r="I65" s="138"/>
      <c r="J65" s="3176"/>
      <c r="K65" s="2974" t="s">
        <v>2243</v>
      </c>
      <c r="L65" s="1752">
        <f ca="1">IF(M49&gt;1000,M49*0.1%,IF(AND(M49&gt;500,M49&lt;=1000),M49*0.5%,IF(AND(M49&gt;50,M49&lt;=500),M49*1%,IF(AND(M49&gt;1,M49&lt;=50),M49*1.5%))))</f>
        <v>4.2380000000000004</v>
      </c>
      <c r="M65" s="24">
        <f t="shared" ca="1" si="1"/>
        <v>4.2</v>
      </c>
      <c r="N65" s="138" t="s">
        <v>2241</v>
      </c>
      <c r="Z65" s="2419"/>
      <c r="AI65" s="2420"/>
    </row>
    <row r="66" spans="1:35" ht="14.25" customHeight="1">
      <c r="A66" s="203" t="s">
        <v>772</v>
      </c>
      <c r="B66" s="204" t="s">
        <v>2244</v>
      </c>
      <c r="C66" s="205"/>
      <c r="D66" s="206" t="s">
        <v>32</v>
      </c>
      <c r="E66" s="1776" t="s">
        <v>1371</v>
      </c>
      <c r="F66" s="2485"/>
      <c r="G66" s="2485"/>
      <c r="H66" s="2493"/>
      <c r="I66" s="138"/>
      <c r="J66" s="3176"/>
      <c r="K66" s="2974" t="s">
        <v>2245</v>
      </c>
      <c r="L66" s="1752">
        <f ca="1">M49*0.5%</f>
        <v>21.19</v>
      </c>
      <c r="M66" s="24">
        <f ca="1">IF(L66&gt;0.5,0.5,ROUND(L66,0))</f>
        <v>0.5</v>
      </c>
      <c r="N66" s="138" t="s">
        <v>2246</v>
      </c>
      <c r="Z66" s="2419"/>
      <c r="AI66" s="2420"/>
    </row>
    <row r="67" spans="1:35" ht="14.25" customHeight="1">
      <c r="A67" s="203" t="s">
        <v>773</v>
      </c>
      <c r="B67" s="204" t="s">
        <v>2247</v>
      </c>
      <c r="C67" s="207">
        <f ca="1">C63-C66</f>
        <v>4036</v>
      </c>
      <c r="D67" s="200" t="s">
        <v>32</v>
      </c>
      <c r="E67" s="201"/>
      <c r="F67" s="2485"/>
      <c r="G67" s="2485"/>
      <c r="H67" s="2493"/>
      <c r="I67" s="138"/>
      <c r="J67" s="3176"/>
      <c r="K67" s="2974"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2249</v>
      </c>
      <c r="C68" s="210">
        <f ca="1">IF(C67&lt;=0,0,ROUND(C67*D68,0))</f>
        <v>222</v>
      </c>
      <c r="D68" s="211">
        <f>'数据-取费表'!B41</f>
        <v>5.5000000000000007E-2</v>
      </c>
      <c r="E68" s="212"/>
      <c r="F68" s="2485"/>
      <c r="G68" s="2485"/>
      <c r="H68" s="2493"/>
      <c r="I68" s="138"/>
      <c r="J68" s="3176"/>
      <c r="K68" s="2974" t="s">
        <v>2250</v>
      </c>
      <c r="L68" s="1752">
        <f ca="1">IF(M49&gt;10000,M49*0.5%,IF(AND(M49&gt;5000,M49&lt;=10000),M49*1%,IF(AND(M49&gt;1000,M49&lt;=5000),M49*2%,IF(AND(M49&gt;200,M49&lt;=1000),M49*3%,M49*5%))))</f>
        <v>84.76</v>
      </c>
      <c r="M68" s="24">
        <f ca="1">ROUND(L68,1)</f>
        <v>84.8</v>
      </c>
      <c r="Z68" s="2419"/>
      <c r="AI68" s="2420"/>
    </row>
    <row r="69" spans="1:35" s="2442" customFormat="1" ht="16.5" customHeight="1">
      <c r="A69" s="2496"/>
      <c r="B69" s="2497"/>
      <c r="C69" s="2498"/>
      <c r="D69" s="2499"/>
      <c r="E69" s="2500"/>
      <c r="F69" s="2164"/>
      <c r="G69" s="2164"/>
      <c r="H69" s="2163"/>
      <c r="I69" s="2414"/>
      <c r="J69" s="3176"/>
      <c r="K69" s="2974" t="s">
        <v>2251</v>
      </c>
      <c r="L69" s="2501"/>
      <c r="M69" s="24">
        <f ca="1">ROUND(SUM(M63:M68),0)</f>
        <v>156</v>
      </c>
      <c r="N69" s="1753">
        <f ca="1">M69/M49</f>
        <v>3.6809815950920248E-2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2252</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4" t="s">
        <v>2233</v>
      </c>
      <c r="B71" s="3115"/>
      <c r="C71" s="2964"/>
      <c r="D71" s="2964"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4036</v>
      </c>
      <c r="D72" s="200" t="s">
        <v>32</v>
      </c>
      <c r="E72" s="2963"/>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20</v>
      </c>
      <c r="D73" s="200" t="s">
        <v>32</v>
      </c>
      <c r="E73" s="2963"/>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2963"/>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09" t="s">
        <v>2261</v>
      </c>
      <c r="F76" s="3086"/>
      <c r="G76" s="3086"/>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2975" t="s">
        <v>2263</v>
      </c>
      <c r="F77" s="224"/>
      <c r="G77" s="2509" t="s">
        <v>2264</v>
      </c>
      <c r="H77" s="296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20</v>
      </c>
      <c r="D78" s="226">
        <f>'数据-取费表'!B43</f>
        <v>5.000000000000001E-3</v>
      </c>
      <c r="E78" s="3095" t="s">
        <v>2266</v>
      </c>
      <c r="F78" s="3096"/>
      <c r="G78" s="3096"/>
      <c r="H78" s="31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2267</v>
      </c>
      <c r="C79" s="207">
        <f ca="1">C72-C73</f>
        <v>4016</v>
      </c>
      <c r="D79" s="200" t="s">
        <v>32</v>
      </c>
      <c r="E79" s="2963"/>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200.8</v>
      </c>
      <c r="D80" s="200" t="s">
        <v>32</v>
      </c>
      <c r="E80" s="2975"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2403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2270</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4" t="s">
        <v>2233</v>
      </c>
      <c r="B84" s="3115"/>
      <c r="C84" s="2964"/>
      <c r="D84" s="2964"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4036</v>
      </c>
      <c r="D85" s="200" t="s">
        <v>32</v>
      </c>
      <c r="E85" s="2963"/>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20</v>
      </c>
      <c r="D86" s="235"/>
      <c r="E86" s="2963"/>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2959"/>
      <c r="F87" s="2960"/>
      <c r="G87" s="2960"/>
      <c r="H87" s="296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2960"/>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2960"/>
      <c r="G89" s="2960"/>
      <c r="H89" s="296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2960"/>
      <c r="G90" s="2960"/>
      <c r="H90" s="296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IF(H91="——",'成本法（办公）'!C33,I91)</f>
        <v>0</v>
      </c>
      <c r="D91" s="226"/>
      <c r="E91" s="3095" t="s">
        <v>2279</v>
      </c>
      <c r="F91" s="3096"/>
      <c r="G91" s="3096"/>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095" t="s">
        <v>2283</v>
      </c>
      <c r="F92" s="3096"/>
      <c r="G92" s="3096"/>
      <c r="H92" s="31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20</v>
      </c>
      <c r="D93" s="226">
        <f>'数据-取费表'!B43</f>
        <v>5.000000000000001E-3</v>
      </c>
      <c r="E93" s="3095" t="s">
        <v>2266</v>
      </c>
      <c r="F93" s="3096"/>
      <c r="G93" s="3096"/>
      <c r="H93" s="31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06" t="s">
        <v>2287</v>
      </c>
      <c r="F94" s="3107"/>
      <c r="G94" s="3107"/>
      <c r="H94" s="310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2267</v>
      </c>
      <c r="C95" s="207">
        <f ca="1">ROUND(C85-C86,0)</f>
        <v>4016</v>
      </c>
      <c r="D95" s="200" t="s">
        <v>32</v>
      </c>
      <c r="E95" s="2963"/>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200.8</v>
      </c>
      <c r="D96" s="200" t="s">
        <v>32</v>
      </c>
      <c r="E96" s="2975"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2403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2288</v>
      </c>
      <c r="B99" s="2414"/>
      <c r="C99" s="2414"/>
      <c r="D99" s="2414"/>
      <c r="E99" s="2164"/>
      <c r="F99" s="2164"/>
      <c r="G99" s="2164"/>
      <c r="H99" s="2163"/>
      <c r="I99" s="138"/>
    </row>
    <row r="100" spans="1:35" ht="18.75" customHeight="1">
      <c r="A100" s="3080" t="s">
        <v>2289</v>
      </c>
      <c r="B100" s="3081"/>
      <c r="C100" s="3081"/>
      <c r="D100" s="3097"/>
      <c r="E100" s="3081" t="s">
        <v>2290</v>
      </c>
      <c r="F100" s="3081"/>
      <c r="G100" s="3081"/>
      <c r="H100" s="3097"/>
      <c r="I100" s="138"/>
    </row>
    <row r="101" spans="1:35" ht="18.75" customHeight="1">
      <c r="A101" s="3159" t="s">
        <v>2291</v>
      </c>
      <c r="B101" s="3160"/>
      <c r="C101" s="736" t="str">
        <f>C4</f>
        <v>成本法（厂房）</v>
      </c>
      <c r="D101" s="737" t="str">
        <f>D4</f>
        <v>收益法（厂房）</v>
      </c>
      <c r="E101" s="3173" t="s">
        <v>2292</v>
      </c>
      <c r="F101" s="3127"/>
      <c r="G101" s="2516" t="s">
        <v>2293</v>
      </c>
      <c r="H101" s="1048">
        <f ca="1">H118</f>
        <v>4238</v>
      </c>
      <c r="I101" s="138"/>
    </row>
    <row r="102" spans="1:35" ht="18.75" customHeight="1">
      <c r="A102" s="3129" t="s">
        <v>2294</v>
      </c>
      <c r="B102" s="2516" t="s">
        <v>2293</v>
      </c>
      <c r="C102" s="736">
        <f ca="1">C19</f>
        <v>3327</v>
      </c>
      <c r="D102" s="737">
        <f ca="1">D19</f>
        <v>4728</v>
      </c>
      <c r="E102" s="3173"/>
      <c r="F102" s="3127"/>
      <c r="G102" s="2516" t="s">
        <v>2295</v>
      </c>
      <c r="H102" s="371">
        <f ca="1">I118</f>
        <v>6284</v>
      </c>
      <c r="I102" s="138"/>
    </row>
    <row r="103" spans="1:35" ht="42.75" customHeight="1">
      <c r="A103" s="3129"/>
      <c r="B103" s="2516" t="s">
        <v>2295</v>
      </c>
      <c r="C103" s="738">
        <f ca="1">C20</f>
        <v>4933</v>
      </c>
      <c r="D103" s="739">
        <f ca="1">D20</f>
        <v>7010</v>
      </c>
      <c r="E103" s="3168" t="s">
        <v>2296</v>
      </c>
      <c r="F103" s="3169"/>
      <c r="G103" s="2517" t="s">
        <v>2297</v>
      </c>
      <c r="H103" s="1048">
        <f>IF(D36="正常操作",H104+H105+H106,H105+H106)</f>
        <v>0</v>
      </c>
      <c r="I103" s="138"/>
    </row>
    <row r="104" spans="1:35" ht="18.75" customHeight="1">
      <c r="A104" s="3129" t="s">
        <v>2298</v>
      </c>
      <c r="B104" s="2518" t="s">
        <v>2293</v>
      </c>
      <c r="C104" s="740">
        <f ca="1">H118</f>
        <v>4238</v>
      </c>
      <c r="D104" s="741"/>
      <c r="E104" s="2264" t="s">
        <v>2299</v>
      </c>
      <c r="F104" s="2256"/>
      <c r="G104" s="2517" t="s">
        <v>2297</v>
      </c>
      <c r="H104" s="1049">
        <f>IF(D36="同一抵押权人同一抵押物续贷",C36&amp;"（未扣减，详见特别提示）",C36)</f>
        <v>0</v>
      </c>
      <c r="I104" s="138"/>
    </row>
    <row r="105" spans="1:35" ht="18.75" customHeight="1" thickBot="1">
      <c r="A105" s="3130"/>
      <c r="B105" s="2519" t="s">
        <v>2295</v>
      </c>
      <c r="C105" s="742">
        <f ca="1">I118</f>
        <v>6284</v>
      </c>
      <c r="D105" s="743"/>
      <c r="E105" s="2264" t="s">
        <v>2300</v>
      </c>
      <c r="F105" s="2256"/>
      <c r="G105" s="2517" t="s">
        <v>2297</v>
      </c>
      <c r="H105" s="1049">
        <f>C37</f>
        <v>0</v>
      </c>
      <c r="I105" s="138"/>
    </row>
    <row r="106" spans="1:35" ht="18.75" customHeight="1">
      <c r="A106" s="2414" t="s">
        <v>2301</v>
      </c>
      <c r="B106" s="2414"/>
      <c r="C106" s="2414"/>
      <c r="D106" s="2414"/>
      <c r="E106" s="2520" t="s">
        <v>2302</v>
      </c>
      <c r="F106" s="2256"/>
      <c r="G106" s="2517" t="s">
        <v>2297</v>
      </c>
      <c r="H106" s="1049">
        <f>C38</f>
        <v>0</v>
      </c>
      <c r="I106" s="138"/>
    </row>
    <row r="107" spans="1:35" ht="18.75" customHeight="1">
      <c r="A107" s="138"/>
      <c r="B107" s="138"/>
      <c r="C107" s="138"/>
      <c r="D107" s="138"/>
      <c r="E107" s="3126" t="str">
        <f>IF(项目基本情况!E8="已注销","——","3.房地产抵押价值")</f>
        <v>——</v>
      </c>
      <c r="F107" s="3127"/>
      <c r="G107" s="2516" t="s">
        <v>2293</v>
      </c>
      <c r="H107" s="1048" t="str">
        <f>IF(E107="——","——",H101-H103)</f>
        <v>——</v>
      </c>
      <c r="I107" s="138"/>
    </row>
    <row r="108" spans="1:35" ht="18.75" customHeight="1">
      <c r="A108" s="138"/>
      <c r="B108" s="138"/>
      <c r="C108" s="138"/>
      <c r="D108" s="138"/>
      <c r="E108" s="3126"/>
      <c r="F108" s="3127"/>
      <c r="G108" s="2516" t="s">
        <v>2295</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127"/>
      <c r="G109" s="2516" t="s">
        <v>2293</v>
      </c>
      <c r="H109" s="348">
        <f ca="1">IF(E109="——","——",H101-H105-H106)</f>
        <v>4238</v>
      </c>
      <c r="I109" s="138"/>
    </row>
    <row r="110" spans="1:35" ht="18.75" customHeight="1">
      <c r="A110" s="138"/>
      <c r="B110" s="138"/>
      <c r="C110" s="138"/>
      <c r="D110" s="138"/>
      <c r="E110" s="3126"/>
      <c r="F110" s="3127"/>
      <c r="G110" s="2516" t="s">
        <v>2295</v>
      </c>
      <c r="H110" s="371">
        <f ca="1">IF(H109="——","——",ROUND(H109*10000/'数据-汇总表'!E3,0))</f>
        <v>1980</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6" t="s">
        <v>2293</v>
      </c>
      <c r="H111" s="1048" t="str">
        <f>IF(E111="——","——",N59)</f>
        <v>——</v>
      </c>
      <c r="I111" s="138"/>
    </row>
    <row r="112" spans="1:35" ht="18.75" customHeight="1" thickBot="1">
      <c r="A112" s="138"/>
      <c r="B112" s="138"/>
      <c r="C112" s="138"/>
      <c r="D112" s="138"/>
      <c r="E112" s="3163"/>
      <c r="F112" s="3164"/>
      <c r="G112" s="2521" t="s">
        <v>2295</v>
      </c>
      <c r="H112" s="790" t="str">
        <f>IF(E111="——","——",N61)</f>
        <v>——</v>
      </c>
      <c r="I112" s="138"/>
    </row>
    <row r="113" spans="1:11" ht="18.75" customHeight="1">
      <c r="A113" s="138"/>
      <c r="B113" s="138"/>
      <c r="C113" s="138"/>
      <c r="D113" s="138"/>
      <c r="E113" s="3131" t="s">
        <v>2301</v>
      </c>
      <c r="F113" s="3131"/>
      <c r="G113" s="3131"/>
      <c r="H113" s="3131"/>
      <c r="I113" s="138"/>
    </row>
    <row r="114" spans="1:11" ht="3.75" customHeight="1">
      <c r="A114" s="2414"/>
      <c r="B114" s="2414"/>
      <c r="C114" s="2414"/>
      <c r="D114" s="2414"/>
      <c r="E114" s="2492"/>
      <c r="F114" s="2492"/>
      <c r="G114" s="2492"/>
      <c r="H114" s="2492"/>
      <c r="I114" s="2414"/>
    </row>
    <row r="115" spans="1:11" ht="18.75" customHeight="1">
      <c r="A115" s="3144" t="s">
        <v>2303</v>
      </c>
      <c r="B115" s="3145"/>
      <c r="C115" s="3145"/>
      <c r="D115" s="3145"/>
      <c r="E115" s="3145"/>
      <c r="F115" s="3145"/>
      <c r="G115" s="3145"/>
      <c r="H115" s="3145"/>
      <c r="I115" s="3146"/>
    </row>
    <row r="116" spans="1:11" ht="27" customHeight="1">
      <c r="A116" s="3037" t="s">
        <v>2304</v>
      </c>
      <c r="B116" s="3132" t="s">
        <v>3136</v>
      </c>
      <c r="C116" s="3132" t="s">
        <v>3137</v>
      </c>
      <c r="D116" s="3148" t="s">
        <v>2305</v>
      </c>
      <c r="E116" s="3149"/>
      <c r="F116" s="3140" t="s">
        <v>3138</v>
      </c>
      <c r="G116" s="3140"/>
      <c r="H116" s="3037" t="s">
        <v>2306</v>
      </c>
      <c r="I116" s="3037"/>
    </row>
    <row r="117" spans="1:11" ht="18.75" customHeight="1">
      <c r="A117" s="3037"/>
      <c r="B117" s="3133"/>
      <c r="C117" s="3133"/>
      <c r="D117" s="2956" t="s">
        <v>2307</v>
      </c>
      <c r="E117" s="2956" t="s">
        <v>2308</v>
      </c>
      <c r="F117" s="2956" t="s">
        <v>2307</v>
      </c>
      <c r="G117" s="2956" t="s">
        <v>2309</v>
      </c>
      <c r="H117" s="2956" t="s">
        <v>2307</v>
      </c>
      <c r="I117" s="2956" t="s">
        <v>2309</v>
      </c>
    </row>
    <row r="118" spans="1:11" ht="24.75" customHeight="1">
      <c r="A118" s="2522" t="str">
        <f>项目基本情况!S2</f>
        <v>北京市顺义区竺园路6号1、2、3幢全部房地产</v>
      </c>
      <c r="B118" s="2956">
        <f>M18</f>
        <v>6744.41</v>
      </c>
      <c r="C118" s="2956">
        <f>M19</f>
        <v>6302.35</v>
      </c>
      <c r="D118" s="2956">
        <f ca="1">ROUND(IF(D32="总价",C34,E118*B118/10000),0)</f>
        <v>2123</v>
      </c>
      <c r="E118" s="2956">
        <f ca="1">ROUND(IF(C33="自定义",IF(D32="楼面单价",C34,D118*10000/B118),I118-G118),0)</f>
        <v>3148</v>
      </c>
      <c r="F118" s="2956">
        <f ca="1">ROUND(IF(D32="总价",C35,G118*B118/10000),0)</f>
        <v>2115</v>
      </c>
      <c r="G118" s="2956">
        <f ca="1">ROUND(IF(D32="楼面单价",C35,F118*10000/B118),0)</f>
        <v>3136</v>
      </c>
      <c r="H118" s="2956">
        <f ca="1">ROUND(IF(D32="总价",C32,I118*B118/10000),0)</f>
        <v>4238</v>
      </c>
      <c r="I118" s="2956">
        <f ca="1">ROUND(IF(D32="楼面单价",C32,H118*10000/B118),0)</f>
        <v>6284</v>
      </c>
    </row>
    <row r="119" spans="1:11" ht="18.75" customHeight="1">
      <c r="A119" s="3037" t="s">
        <v>2310</v>
      </c>
      <c r="B119" s="3037"/>
      <c r="C119" s="3037"/>
      <c r="D119" s="3137" t="str">
        <f ca="1">NUMBERSTRING(INT(D118*10000),2)&amp;"元整"</f>
        <v>贰仟壹佰贰拾叁万元整</v>
      </c>
      <c r="E119" s="3139"/>
      <c r="F119" s="3137" t="str">
        <f ca="1">NUMBERSTRING(INT(F118*10000),2)&amp;"元整"</f>
        <v>贰仟壹佰壹拾伍万元整</v>
      </c>
      <c r="G119" s="3139"/>
      <c r="H119" s="3137" t="str">
        <f ca="1">NUMBERSTRING(INT(H118*10000),2)&amp;"元整"</f>
        <v>肆仟贰佰叁拾捌万元整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19" t="str">
        <f>IF(D120=0,"故，本次评估不存在"&amp;A120,"故，本次评估"&amp;A120&amp;"为人民币"&amp;D120&amp;"万元整。")</f>
        <v>故，本次评估不存在估价师知悉的法定优先受偿款</v>
      </c>
    </row>
    <row r="121" spans="1:11" ht="18.75" customHeight="1">
      <c r="A121" s="3141" t="s">
        <v>2310</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t="str">
        <f>H107</f>
        <v>——</v>
      </c>
      <c r="E122" s="3166"/>
      <c r="F122" s="3166"/>
      <c r="G122" s="3166"/>
      <c r="H122" s="3166"/>
      <c r="I122" s="3167"/>
    </row>
    <row r="123" spans="1:11" ht="18.75" customHeight="1">
      <c r="A123" s="3037" t="s">
        <v>2310</v>
      </c>
      <c r="B123" s="3037"/>
      <c r="C123" s="3037"/>
      <c r="D123" s="3137" t="e">
        <f>NUMBERSTRING(INT(D122*10000),2)&amp;"元整"</f>
        <v>#VALUE!</v>
      </c>
      <c r="E123" s="3138"/>
      <c r="F123" s="3138"/>
      <c r="G123" s="3138"/>
      <c r="H123" s="3138"/>
      <c r="I123" s="3139"/>
    </row>
    <row r="124" spans="1:11" ht="18.75" customHeight="1">
      <c r="A124" s="3128" t="str">
        <f>IF(项目基本情况!B9="房地产市场价值","",MID(E109,3,LEN(E109)-2))</f>
        <v>抵押担保权已注销时的房地产抵押价值</v>
      </c>
      <c r="B124" s="3128"/>
      <c r="C124" s="3128"/>
      <c r="D124" s="3165">
        <f ca="1">H109</f>
        <v>4238</v>
      </c>
      <c r="E124" s="3166"/>
      <c r="F124" s="3166"/>
      <c r="G124" s="3166"/>
      <c r="H124" s="3166"/>
      <c r="I124" s="3167"/>
    </row>
    <row r="125" spans="1:11" ht="18.75" customHeight="1">
      <c r="A125" s="3037" t="s">
        <v>2310</v>
      </c>
      <c r="B125" s="3037"/>
      <c r="C125" s="3037"/>
      <c r="D125" s="3137" t="str">
        <f ca="1">NUMBERSTRING(INT(D124*10000),2)&amp;"元整"</f>
        <v>肆仟贰佰叁拾捌万元整</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2310</v>
      </c>
      <c r="B127" s="3037"/>
      <c r="C127" s="3037"/>
      <c r="D127" s="3137" t="e">
        <f>NUMBERSTRING(INT(D126*10000),2)&amp;"元整"</f>
        <v>#VALUE!</v>
      </c>
      <c r="E127" s="3138"/>
      <c r="F127" s="3138"/>
      <c r="G127" s="3138"/>
      <c r="H127" s="3138"/>
      <c r="I127" s="3139"/>
    </row>
    <row r="128" spans="1:11" ht="21.75" customHeight="1">
      <c r="A128" s="3147" t="s">
        <v>2311</v>
      </c>
      <c r="B128" s="3147"/>
      <c r="C128" s="3147"/>
      <c r="D128" s="3147"/>
      <c r="E128" s="3147"/>
      <c r="F128" s="3147"/>
      <c r="G128" s="3147"/>
      <c r="H128" s="3147"/>
      <c r="I128" s="3147"/>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C10:D13">
    <cfRule type="cellIs" dxfId="177" priority="5" stopIfTrue="1" operator="equal">
      <formula>15</formula>
    </cfRule>
  </conditionalFormatting>
  <conditionalFormatting sqref="D14:D16">
    <cfRule type="cellIs" dxfId="176" priority="4"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北京市顺义区竺园路6号1、2、3幢全部房地产抵押价值预评估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t="str">
        <f>项目基本情况!B5</f>
        <v>华鑫国际信托有限公司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康正预评字2018-1-0506-P01DYGJ1号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L19" sqref="L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2113</v>
      </c>
      <c r="B1" s="2414"/>
      <c r="C1" s="2415" t="s">
        <v>3065</v>
      </c>
      <c r="D1" s="2414"/>
      <c r="E1" s="2414"/>
      <c r="F1" s="2416" t="s">
        <v>2114</v>
      </c>
      <c r="G1" s="2071" t="s">
        <v>3053</v>
      </c>
      <c r="H1" s="2417" t="str">
        <f>IF(G1="现房","——","估价对象范围")</f>
        <v>——</v>
      </c>
      <c r="I1" s="2418"/>
    </row>
    <row r="2" spans="1:12" ht="21.75" customHeight="1" thickBot="1">
      <c r="A2" s="3119" t="str">
        <f>项目基本情况!S2</f>
        <v>北京市顺义区竺园路6号1、2、3幢全部房地产</v>
      </c>
      <c r="B2" s="3120"/>
      <c r="C2" s="3120"/>
      <c r="D2" s="3120"/>
      <c r="E2" s="3120"/>
      <c r="F2" s="3120"/>
      <c r="G2" s="3120"/>
      <c r="H2" s="3120"/>
      <c r="I2" s="3121"/>
    </row>
    <row r="3" spans="1:12" ht="12.75">
      <c r="A3" s="3123" t="s">
        <v>2115</v>
      </c>
      <c r="B3" s="3124"/>
      <c r="C3" s="3124"/>
      <c r="D3" s="3124"/>
      <c r="E3" s="3124"/>
      <c r="F3" s="3124"/>
      <c r="G3" s="3124"/>
      <c r="H3" s="3124"/>
      <c r="I3" s="3124"/>
    </row>
    <row r="4" spans="1:12" ht="14.25">
      <c r="A4" s="2421" t="s">
        <v>2116</v>
      </c>
      <c r="B4" s="2422" t="s">
        <v>2117</v>
      </c>
      <c r="C4" s="2423" t="s">
        <v>3127</v>
      </c>
      <c r="D4" s="2423" t="s">
        <v>3129</v>
      </c>
      <c r="E4" s="3116" t="s">
        <v>2118</v>
      </c>
      <c r="F4" s="3117"/>
      <c r="G4" s="3117"/>
      <c r="H4" s="3117"/>
      <c r="I4" s="3125"/>
      <c r="K4" s="2424" t="str">
        <f>IF(ISNUMBER(FIND("比较法",'结果表 (数据中心)'!C4)),"比较法",IF(ISNUMBER(FIND("成本法",'结果表 (数据中心)'!C4)),"成本法",IF(ISNUMBER(FIND("假设开发法",'结果表 (数据中心)'!C4)),"假设开发法",IF(ISNUMBER(FIND("收益法",'结果表 (数据中心)'!C4)),"收益法","基准地价系数修正法"))))</f>
        <v>成本法</v>
      </c>
      <c r="L4" s="2424" t="str">
        <f>IF(ISNUMBER(FIND("比较法",'结果表 (数据中心)'!D4)),"比较法",IF(ISNUMBER(FIND("成本法",'结果表 (数据中心)'!D4)),"成本法",IF(ISNUMBER(FIND("假设开发法",'结果表 (数据中心)'!D4)),"假设开发法",IF(ISNUMBER(FIND("收益法",'结果表 (数据中心)'!D4)),"收益法","基准地价系数修正法"))))</f>
        <v>收益法</v>
      </c>
    </row>
    <row r="5" spans="1:12" ht="12.75">
      <c r="A5" s="3099" t="s">
        <v>2119</v>
      </c>
      <c r="B5" s="3037">
        <v>25</v>
      </c>
      <c r="C5" s="3102"/>
      <c r="D5" s="3122"/>
      <c r="E5" s="140" t="s">
        <v>2120</v>
      </c>
      <c r="F5" s="2425"/>
      <c r="G5" s="2425"/>
      <c r="H5" s="2425"/>
      <c r="I5" s="1834"/>
    </row>
    <row r="6" spans="1:12" ht="12.75">
      <c r="A6" s="3099"/>
      <c r="B6" s="3037"/>
      <c r="C6" s="3103"/>
      <c r="D6" s="3122"/>
      <c r="E6" s="140" t="s">
        <v>2121</v>
      </c>
      <c r="F6" s="2425"/>
      <c r="G6" s="2425"/>
      <c r="H6" s="2425"/>
      <c r="I6" s="1834"/>
    </row>
    <row r="7" spans="1:12" ht="12.75">
      <c r="A7" s="3099"/>
      <c r="B7" s="3037"/>
      <c r="C7" s="3104"/>
      <c r="D7" s="3122"/>
      <c r="E7" s="140" t="s">
        <v>2122</v>
      </c>
      <c r="F7" s="2425"/>
      <c r="G7" s="2425"/>
      <c r="H7" s="2425"/>
      <c r="I7" s="1834"/>
    </row>
    <row r="8" spans="1:12" ht="12.75">
      <c r="A8" s="3099" t="s">
        <v>2123</v>
      </c>
      <c r="B8" s="3037">
        <v>15</v>
      </c>
      <c r="C8" s="3102"/>
      <c r="D8" s="3122"/>
      <c r="E8" s="140" t="s">
        <v>2124</v>
      </c>
      <c r="F8" s="2425"/>
      <c r="G8" s="2425"/>
      <c r="H8" s="2425"/>
      <c r="I8" s="1834"/>
    </row>
    <row r="9" spans="1:12" ht="12.75">
      <c r="A9" s="3099"/>
      <c r="B9" s="3037"/>
      <c r="C9" s="3104"/>
      <c r="D9" s="3122"/>
      <c r="E9" s="140" t="s">
        <v>2125</v>
      </c>
      <c r="F9" s="2425"/>
      <c r="G9" s="2425"/>
      <c r="H9" s="2425"/>
      <c r="I9" s="1834"/>
    </row>
    <row r="10" spans="1:12" ht="12.75">
      <c r="A10" s="3099" t="s">
        <v>2126</v>
      </c>
      <c r="B10" s="3037">
        <v>15</v>
      </c>
      <c r="C10" s="3102"/>
      <c r="D10" s="3122"/>
      <c r="E10" s="140" t="s">
        <v>2127</v>
      </c>
      <c r="F10" s="2425"/>
      <c r="G10" s="2425"/>
      <c r="H10" s="2425"/>
      <c r="I10" s="1834"/>
    </row>
    <row r="11" spans="1:12" ht="12.75">
      <c r="A11" s="3099"/>
      <c r="B11" s="3037"/>
      <c r="C11" s="3104"/>
      <c r="D11" s="3122"/>
      <c r="E11" s="140" t="s">
        <v>2128</v>
      </c>
      <c r="F11" s="2425"/>
      <c r="G11" s="2425"/>
      <c r="H11" s="2425"/>
      <c r="I11" s="1834"/>
    </row>
    <row r="12" spans="1:12" ht="12.75">
      <c r="A12" s="3099" t="s">
        <v>2129</v>
      </c>
      <c r="B12" s="3037">
        <v>15</v>
      </c>
      <c r="C12" s="3102"/>
      <c r="D12" s="3122"/>
      <c r="E12" s="140" t="s">
        <v>2130</v>
      </c>
      <c r="F12" s="2425"/>
      <c r="G12" s="2425"/>
      <c r="H12" s="2425"/>
      <c r="I12" s="1834"/>
    </row>
    <row r="13" spans="1:12" ht="12.75">
      <c r="A13" s="3099"/>
      <c r="B13" s="3037"/>
      <c r="C13" s="3104"/>
      <c r="D13" s="3122"/>
      <c r="E13" s="140" t="s">
        <v>2131</v>
      </c>
      <c r="F13" s="2425"/>
      <c r="G13" s="2425"/>
      <c r="H13" s="2425"/>
      <c r="I13" s="1834"/>
    </row>
    <row r="14" spans="1:12" ht="12.75">
      <c r="A14" s="3099" t="s">
        <v>2132</v>
      </c>
      <c r="B14" s="3037">
        <v>30</v>
      </c>
      <c r="C14" s="3102">
        <v>6</v>
      </c>
      <c r="D14" s="3122">
        <v>4</v>
      </c>
      <c r="E14" s="140" t="s">
        <v>2133</v>
      </c>
      <c r="F14" s="2425"/>
      <c r="G14" s="2425"/>
      <c r="H14" s="2425"/>
      <c r="I14" s="1834"/>
    </row>
    <row r="15" spans="1:12" ht="12.75">
      <c r="A15" s="3099"/>
      <c r="B15" s="3037"/>
      <c r="C15" s="3103"/>
      <c r="D15" s="3122"/>
      <c r="E15" s="140" t="s">
        <v>2134</v>
      </c>
      <c r="F15" s="2425"/>
      <c r="G15" s="2425"/>
      <c r="H15" s="2425"/>
      <c r="I15" s="1834"/>
    </row>
    <row r="16" spans="1:12" ht="12.75">
      <c r="A16" s="3099"/>
      <c r="B16" s="3037"/>
      <c r="C16" s="3104"/>
      <c r="D16" s="3122"/>
      <c r="E16" s="140" t="s">
        <v>2135</v>
      </c>
      <c r="F16" s="2425"/>
      <c r="G16" s="2425"/>
      <c r="H16" s="2425"/>
      <c r="I16" s="1834"/>
    </row>
    <row r="17" spans="1:35" ht="15">
      <c r="A17" s="2426" t="s">
        <v>2136</v>
      </c>
      <c r="B17" s="64"/>
      <c r="C17" s="141">
        <f>SUM(C5:C16)</f>
        <v>6</v>
      </c>
      <c r="D17" s="141">
        <f>SUM(D5:D16)</f>
        <v>4</v>
      </c>
      <c r="E17" s="138"/>
      <c r="F17" s="138"/>
      <c r="G17" s="138"/>
      <c r="H17" s="138"/>
      <c r="I17" s="138"/>
      <c r="K17" s="2424"/>
      <c r="L17" s="2427" t="s">
        <v>2137</v>
      </c>
      <c r="M17" s="2427" t="s">
        <v>2138</v>
      </c>
    </row>
    <row r="18" spans="1:35" ht="15.75" thickBot="1">
      <c r="A18" s="2428" t="s">
        <v>2139</v>
      </c>
      <c r="B18" s="2429"/>
      <c r="C18" s="142">
        <f>ROUND(C17/SUM(C17:D17),2)</f>
        <v>0.6</v>
      </c>
      <c r="D18" s="142">
        <f>1-C18</f>
        <v>0.4</v>
      </c>
      <c r="E18" s="138"/>
      <c r="F18" s="138"/>
      <c r="G18" s="138"/>
      <c r="H18" s="138"/>
      <c r="I18" s="138"/>
      <c r="K18" s="2424" t="s">
        <v>2140</v>
      </c>
      <c r="L18" s="2424">
        <f>IF(C1="",'数据-汇总表'!E3,SUMIF(项目类型,C1,'数据-汇总表'!E17:E26)+SUMIF(项目类型,C1,'数据-汇总表'!I17:I26))</f>
        <v>10577.23</v>
      </c>
      <c r="M18" s="2424">
        <f>IF(C1="",'数据-汇总表'!E3,SUMIF(项目类型,C1,'数据-汇总表'!E17:E26))</f>
        <v>10577.23</v>
      </c>
    </row>
    <row r="19" spans="1:35" ht="15">
      <c r="A19" s="2430" t="s">
        <v>2141</v>
      </c>
      <c r="B19" s="2431" t="s">
        <v>2142</v>
      </c>
      <c r="C19" s="143">
        <f ca="1">SUMIF(INDIRECT("'"&amp;C4&amp;"'"&amp;"!A:A"),'结果表 (数据中心)'!B19,INDIRECT("'"&amp;C4&amp;"'"&amp;"!B:B"))</f>
        <v>15354</v>
      </c>
      <c r="D19" s="144">
        <f ca="1">SUMIF(INDIRECT("'"&amp;D4&amp;"'"&amp;"!A:A"),'结果表 (数据中心)'!B19,INDIRECT("'"&amp;D4&amp;"'"&amp;"!B:B"))</f>
        <v>48109</v>
      </c>
      <c r="E19" s="2430" t="s">
        <v>2143</v>
      </c>
      <c r="F19" s="2431" t="s">
        <v>2142</v>
      </c>
      <c r="G19" s="145">
        <f ca="1">ROUND(C19*$C$18+D19*$D$18,0)</f>
        <v>28456</v>
      </c>
      <c r="H19" s="2432" t="s">
        <v>2144</v>
      </c>
      <c r="I19" s="138"/>
      <c r="K19" s="2424" t="s">
        <v>2145</v>
      </c>
      <c r="L19" s="2424">
        <f>IF(C1="",'数据-汇总表'!D3,SUMIF(项目类型,C1,'数据-汇总表'!D17:D26)+SUMIF(项目类型,C1,'数据-汇总表'!H17:H27))</f>
        <v>9883.9500000000007</v>
      </c>
      <c r="M19" s="2424">
        <f>IF(C1="",'数据-汇总表'!D3,SUMIF(项目类型,C1,'数据-汇总表'!D17:D26))</f>
        <v>9883.9500000000007</v>
      </c>
    </row>
    <row r="20" spans="1:35" ht="15">
      <c r="A20" s="2433"/>
      <c r="B20" s="1250" t="s">
        <v>2146</v>
      </c>
      <c r="C20" s="146">
        <f ca="1">SUMIF(INDIRECT("'"&amp;C4&amp;"'"&amp;"!A:A"),'结果表 (数据中心)'!B20,INDIRECT("'"&amp;C4&amp;"'"&amp;"!B:B"))</f>
        <v>14516</v>
      </c>
      <c r="D20" s="147">
        <f ca="1">SUMIF(INDIRECT("'"&amp;D4&amp;"'"&amp;"!A:A"),'结果表 (数据中心)'!B20,INDIRECT("'"&amp;D4&amp;"'"&amp;"!B:B"))</f>
        <v>45484</v>
      </c>
      <c r="E20" s="2433"/>
      <c r="F20" s="1250" t="s">
        <v>2146</v>
      </c>
      <c r="G20" s="148">
        <f ca="1">ROUND(C20*$C$18+D20*$D$18,0)</f>
        <v>26903</v>
      </c>
      <c r="H20" s="983" t="s">
        <v>2147</v>
      </c>
      <c r="I20" s="138"/>
    </row>
    <row r="21" spans="1:35" ht="15" customHeight="1" thickBot="1">
      <c r="A21" s="1003"/>
      <c r="B21" s="2434" t="s">
        <v>2148</v>
      </c>
      <c r="C21" s="789">
        <f ca="1">ROUND(C19*10000/L19,0)</f>
        <v>15534</v>
      </c>
      <c r="D21" s="790">
        <f ca="1">ROUND(D19*10000/L19,0)</f>
        <v>48674</v>
      </c>
      <c r="E21" s="1003"/>
      <c r="F21" s="2434" t="s">
        <v>2148</v>
      </c>
      <c r="G21" s="149">
        <f ca="1">ROUND(G19*10000/L19,0)</f>
        <v>28790</v>
      </c>
      <c r="H21" s="2435" t="s">
        <v>2147</v>
      </c>
      <c r="I21" s="138"/>
    </row>
    <row r="22" spans="1:35" ht="15" thickBot="1">
      <c r="A22" s="2278" t="s">
        <v>2149</v>
      </c>
      <c r="B22" s="2436"/>
      <c r="C22" s="2437"/>
      <c r="D22" s="791">
        <f ca="1">IF(C19&lt;D19,D19/C19-1,C19/D19-1)</f>
        <v>2.1333203074117493</v>
      </c>
      <c r="E22" s="138"/>
      <c r="F22" s="138"/>
      <c r="G22" s="138"/>
      <c r="H22" s="138"/>
      <c r="I22" s="138"/>
    </row>
    <row r="23" spans="1:35" ht="13.5" thickBot="1">
      <c r="A23" s="2414"/>
      <c r="B23" s="2414"/>
      <c r="C23" s="2414"/>
      <c r="D23" s="2414"/>
      <c r="E23" s="138"/>
      <c r="F23" s="138"/>
      <c r="G23" s="138"/>
      <c r="H23" s="138"/>
      <c r="I23" s="138"/>
    </row>
    <row r="24" spans="1:35" ht="14.25">
      <c r="A24" s="3093" t="s">
        <v>2150</v>
      </c>
      <c r="B24" s="2431" t="s">
        <v>2142</v>
      </c>
      <c r="C24" s="145">
        <f>IF(B30=0,0,D30)</f>
        <v>0</v>
      </c>
      <c r="D24" s="2438"/>
      <c r="E24" s="138"/>
      <c r="F24" s="138"/>
      <c r="G24" s="138"/>
      <c r="H24" s="138"/>
      <c r="I24" s="138"/>
    </row>
    <row r="25" spans="1:35" ht="14.25">
      <c r="A25" s="3094"/>
      <c r="B25" s="1250"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3"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2156</v>
      </c>
      <c r="B32" s="2444"/>
      <c r="C32" s="153">
        <f ca="1">IF(D32="总价",G19-C24,G20-C25)</f>
        <v>28456</v>
      </c>
      <c r="D32" s="2445" t="s">
        <v>2157</v>
      </c>
      <c r="E32" s="138"/>
      <c r="F32" s="138"/>
      <c r="G32" s="138"/>
      <c r="H32" s="138"/>
      <c r="I32" s="138"/>
    </row>
    <row r="33" spans="1:15" ht="15">
      <c r="A33" s="960" t="s">
        <v>2158</v>
      </c>
      <c r="B33" s="2446"/>
      <c r="C33" s="2447" t="s">
        <v>3121</v>
      </c>
      <c r="D33" s="2448" t="s">
        <v>3127</v>
      </c>
      <c r="E33" s="2449" t="s">
        <v>2159</v>
      </c>
      <c r="F33" s="2957" t="str">
        <f>IF(D32="楼面单价","取值（单价）","取值（总价）")</f>
        <v>取值（总价）</v>
      </c>
      <c r="G33" s="138"/>
      <c r="H33" s="138"/>
      <c r="I33" s="138"/>
    </row>
    <row r="34" spans="1:15" ht="15">
      <c r="A34" s="2451"/>
      <c r="B34" s="2452" t="s">
        <v>2160</v>
      </c>
      <c r="C34" s="157">
        <f ca="1">IF(C33="自定义",F34,C32-C35)</f>
        <v>5464</v>
      </c>
      <c r="D34" s="1058">
        <f ca="1">IF(C33="自定义",ROUND(C34/C32,3),IF(C33="收益比率",SUMIF(INDIRECT("'"&amp;D33&amp;"'"&amp;"!b:b"),"土地收益比率",INDIRECT("'"&amp;D33&amp;"'"&amp;"!c:c")),SUMIF(INDIRECT("'"&amp;D33&amp;"'"&amp;"!b:b"),"土地成本比率",INDIRECT("'"&amp;D33&amp;"'"&amp;"!c:c"))))</f>
        <v>0.19199999999999995</v>
      </c>
      <c r="E34" s="2453" t="s">
        <v>2161</v>
      </c>
      <c r="F34" s="1739"/>
      <c r="G34" s="138"/>
      <c r="H34" s="138"/>
      <c r="I34" s="138"/>
    </row>
    <row r="35" spans="1:15" ht="15.75" thickBot="1">
      <c r="A35" s="2454"/>
      <c r="B35" s="2455" t="s">
        <v>2162</v>
      </c>
      <c r="C35" s="1444">
        <f ca="1">IF(C33="自定义",F35,ROUND(C32*D35,0))</f>
        <v>22992</v>
      </c>
      <c r="D35" s="1445">
        <f ca="1">IF(C33="自定义",ROUND(C35/C32,3),IF(C33="收益比率",SUMIF(INDIRECT("'"&amp;D33&amp;"'"&amp;"!b:b"),"建筑物收益比率",INDIRECT("'"&amp;D33&amp;"'"&amp;"!c:c")),SUMIF(INDIRECT("'"&amp;D33&amp;"'"&amp;"!b:b"),"建筑物成本比率",INDIRECT("'"&amp;D33&amp;"'"&amp;"!c:c"))))</f>
        <v>0.80800000000000005</v>
      </c>
      <c r="E35" s="2456" t="s">
        <v>2163</v>
      </c>
      <c r="F35" s="163"/>
      <c r="G35" s="138"/>
      <c r="H35" s="138"/>
      <c r="I35" s="138"/>
    </row>
    <row r="36" spans="1:15" ht="15.75" thickBot="1">
      <c r="A36" s="3111" t="s">
        <v>2164</v>
      </c>
      <c r="B36" s="2457" t="s">
        <v>2165</v>
      </c>
      <c r="C36" s="154"/>
      <c r="D36" s="2458"/>
      <c r="E36" s="2459"/>
      <c r="F36" s="2460"/>
      <c r="G36" s="138"/>
      <c r="H36" s="138"/>
      <c r="I36" s="138"/>
    </row>
    <row r="37" spans="1:15" ht="15.75" thickBot="1">
      <c r="A37" s="3112"/>
      <c r="B37" s="2264" t="s">
        <v>2166</v>
      </c>
      <c r="C37" s="156"/>
      <c r="D37" s="1395"/>
      <c r="E37" s="1395"/>
      <c r="F37" s="2460"/>
      <c r="G37" s="138"/>
      <c r="H37" s="138"/>
      <c r="I37" s="138"/>
    </row>
    <row r="38" spans="1:15" ht="15.75" thickBot="1">
      <c r="A38" s="3113"/>
      <c r="B38" s="2461" t="s">
        <v>2167</v>
      </c>
      <c r="C38" s="727"/>
      <c r="D38" s="2462" t="s">
        <v>2168</v>
      </c>
      <c r="E38" s="1395"/>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90" t="s">
        <v>2178</v>
      </c>
      <c r="B45" s="3091"/>
      <c r="C45" s="3092"/>
      <c r="D45" s="164">
        <f ca="1">ROUND(H101*F45,0)</f>
        <v>28456</v>
      </c>
      <c r="E45" s="165" t="s">
        <v>2179</v>
      </c>
      <c r="F45" s="166">
        <v>1</v>
      </c>
      <c r="G45" s="167" t="s">
        <v>2180</v>
      </c>
      <c r="H45" s="138"/>
      <c r="I45" s="138"/>
      <c r="J45" s="3150" t="s">
        <v>2181</v>
      </c>
      <c r="K45" s="3150"/>
      <c r="L45" s="3150"/>
      <c r="M45" s="3150"/>
      <c r="N45" s="3150"/>
      <c r="O45" s="3150"/>
    </row>
    <row r="46" spans="1:15" ht="14.25" customHeight="1">
      <c r="A46" s="3087" t="s">
        <v>2182</v>
      </c>
      <c r="B46" s="3088"/>
      <c r="C46" s="3088"/>
      <c r="D46" s="3088"/>
      <c r="E46" s="3088"/>
      <c r="F46" s="3088"/>
      <c r="G46" s="3089"/>
      <c r="H46" s="2476"/>
      <c r="I46" s="168"/>
      <c r="J46" s="2969">
        <v>1</v>
      </c>
      <c r="K46" s="3150" t="s">
        <v>2183</v>
      </c>
      <c r="L46" s="3150"/>
      <c r="M46" s="3170"/>
      <c r="N46" s="3170"/>
      <c r="O46" s="3170"/>
    </row>
    <row r="47" spans="1:15" ht="12" customHeight="1">
      <c r="A47" s="169" t="s">
        <v>2184</v>
      </c>
      <c r="B47" s="170"/>
      <c r="C47" s="171"/>
      <c r="D47" s="172" t="s">
        <v>2185</v>
      </c>
      <c r="E47" s="24" t="s">
        <v>2186</v>
      </c>
      <c r="F47" s="173" t="s">
        <v>2187</v>
      </c>
      <c r="G47" s="174" t="s">
        <v>2188</v>
      </c>
      <c r="H47" s="2476"/>
      <c r="I47" s="168"/>
      <c r="J47" s="2969">
        <v>2</v>
      </c>
      <c r="K47" s="3150" t="s">
        <v>2189</v>
      </c>
      <c r="L47" s="3150"/>
      <c r="M47" s="3171">
        <f>'数据-取费表'!B2</f>
        <v>43294</v>
      </c>
      <c r="N47" s="3171"/>
      <c r="O47" s="3171"/>
    </row>
    <row r="48" spans="1:15" ht="25.5">
      <c r="A48" s="3118" t="s">
        <v>2190</v>
      </c>
      <c r="B48" s="3101"/>
      <c r="C48" s="3101"/>
      <c r="D48" s="140">
        <f>IF(H48="情况1",0,IF(H48="情况2",D52,IF(H48="情况3",D53,IF(H48="情况4",D54))))</f>
        <v>0</v>
      </c>
      <c r="E48" s="2961" t="str">
        <f>IF(H48="情况4","(销售额-原购置价)×税（费）率","销售额×税（费）率")</f>
        <v>销售额×税（费）率</v>
      </c>
      <c r="F48" s="175" t="str">
        <f>IF(H48="情况1","免征",'数据-取费表'!B41)</f>
        <v>免征</v>
      </c>
      <c r="G48" s="2477" t="s">
        <v>2191</v>
      </c>
      <c r="H48" s="2478" t="s">
        <v>2192</v>
      </c>
      <c r="I48" s="2476"/>
      <c r="J48" s="2969">
        <v>3</v>
      </c>
      <c r="K48" s="3150" t="s">
        <v>2193</v>
      </c>
      <c r="L48" s="3150"/>
      <c r="M48" s="3172">
        <f ca="1">H101</f>
        <v>28456</v>
      </c>
      <c r="N48" s="3172"/>
      <c r="O48" s="3172"/>
    </row>
    <row r="49" spans="1:35" ht="25.5" customHeight="1">
      <c r="A49" s="176" t="s">
        <v>2194</v>
      </c>
      <c r="B49" s="3086" t="s">
        <v>2195</v>
      </c>
      <c r="C49" s="3086"/>
      <c r="D49" s="177">
        <v>0</v>
      </c>
      <c r="E49" s="23" t="s">
        <v>2196</v>
      </c>
      <c r="F49" s="28" t="s">
        <v>34</v>
      </c>
      <c r="G49" s="3156"/>
      <c r="H49" s="138"/>
      <c r="I49" s="2479"/>
      <c r="J49" s="2969">
        <v>4</v>
      </c>
      <c r="K49" s="3150" t="str">
        <f>IF(项目基本情况!E8="房地产抵押价值","房地产抵押价值","抵押担保权已注销时的房地产抵押价值")</f>
        <v>抵押担保权已注销时的房地产抵押价值</v>
      </c>
      <c r="L49" s="3150"/>
      <c r="M49" s="3172">
        <f ca="1">IF(项目基本情况!E8="房地产抵押价值",H107,H109)</f>
        <v>28456</v>
      </c>
      <c r="N49" s="3172"/>
      <c r="O49" s="3172"/>
    </row>
    <row r="50" spans="1:35" ht="25.5" customHeight="1">
      <c r="A50" s="178"/>
      <c r="B50" s="3086" t="s">
        <v>2197</v>
      </c>
      <c r="C50" s="3086"/>
      <c r="D50" s="179"/>
      <c r="E50" s="31"/>
      <c r="F50" s="180"/>
      <c r="G50" s="3157"/>
      <c r="H50" s="138"/>
      <c r="I50" s="2479"/>
      <c r="J50" s="3150" t="s">
        <v>2198</v>
      </c>
      <c r="K50" s="3150"/>
      <c r="L50" s="3150"/>
      <c r="M50" s="3150"/>
      <c r="N50" s="3150"/>
      <c r="O50" s="3150"/>
    </row>
    <row r="51" spans="1:35" ht="12" customHeight="1">
      <c r="A51" s="181"/>
      <c r="B51" s="3086" t="s">
        <v>2199</v>
      </c>
      <c r="C51" s="3086"/>
      <c r="D51" s="182"/>
      <c r="E51" s="30"/>
      <c r="F51" s="180"/>
      <c r="G51" s="3158"/>
      <c r="H51" s="138"/>
      <c r="I51" s="2479"/>
      <c r="J51" s="2968" t="s">
        <v>2200</v>
      </c>
      <c r="K51" s="3150" t="s">
        <v>2201</v>
      </c>
      <c r="L51" s="3150"/>
      <c r="M51" s="2968" t="s">
        <v>2202</v>
      </c>
      <c r="N51" s="2968" t="s">
        <v>2203</v>
      </c>
      <c r="O51" s="2968" t="s">
        <v>2204</v>
      </c>
    </row>
    <row r="52" spans="1:35" ht="24" customHeight="1">
      <c r="A52" s="183" t="s">
        <v>2205</v>
      </c>
      <c r="B52" s="3086" t="s">
        <v>2206</v>
      </c>
      <c r="C52" s="3086"/>
      <c r="D52" s="182">
        <f ca="1">ROUND(D45*'数据-取费表'!B41/(1+'数据-取费表'!C42),0)</f>
        <v>1491</v>
      </c>
      <c r="E52" s="11" t="s">
        <v>2207</v>
      </c>
      <c r="F52" s="184">
        <f>'数据-取费表'!B41</f>
        <v>5.5000000000000007E-2</v>
      </c>
      <c r="G52" s="2481"/>
      <c r="H52" s="138"/>
      <c r="I52" s="2479"/>
      <c r="J52" s="2969">
        <v>1</v>
      </c>
      <c r="K52" s="3151" t="s">
        <v>2208</v>
      </c>
      <c r="L52" s="3151"/>
      <c r="M52" s="1754">
        <f>D48</f>
        <v>0</v>
      </c>
      <c r="N52" s="2969" t="str">
        <f>E48</f>
        <v>销售额×税（费）率</v>
      </c>
      <c r="O52" s="1755" t="str">
        <f>F48</f>
        <v>免征</v>
      </c>
    </row>
    <row r="53" spans="1:35" ht="12" customHeight="1">
      <c r="A53" s="183" t="s">
        <v>2209</v>
      </c>
      <c r="B53" s="3109" t="s">
        <v>2210</v>
      </c>
      <c r="C53" s="3110"/>
      <c r="D53" s="182">
        <f ca="1">ROUND(D45*'数据-取费表'!B41/(1+'数据-取费表'!C42),0)</f>
        <v>1491</v>
      </c>
      <c r="E53" s="11" t="s">
        <v>2207</v>
      </c>
      <c r="F53" s="184">
        <f>'数据-取费表'!B41</f>
        <v>5.5000000000000007E-2</v>
      </c>
      <c r="G53" s="2481"/>
      <c r="H53" s="138"/>
      <c r="I53" s="2479"/>
      <c r="J53" s="2969">
        <v>2</v>
      </c>
      <c r="K53" s="3151" t="s">
        <v>2211</v>
      </c>
      <c r="L53" s="3151"/>
      <c r="M53" s="1754">
        <f t="shared" ref="M53:O54" ca="1" si="0">D55</f>
        <v>14</v>
      </c>
      <c r="N53" s="2969" t="str">
        <f t="shared" si="0"/>
        <v>销售额×税（费）率</v>
      </c>
      <c r="O53" s="1755">
        <f t="shared" si="0"/>
        <v>5.0000000000000001E-4</v>
      </c>
    </row>
    <row r="54" spans="1:35" ht="12" customHeight="1">
      <c r="A54" s="183" t="s">
        <v>2212</v>
      </c>
      <c r="B54" s="3109" t="s">
        <v>2213</v>
      </c>
      <c r="C54" s="3110"/>
      <c r="D54" s="182">
        <f ca="1">C68</f>
        <v>1491</v>
      </c>
      <c r="E54" s="30" t="s">
        <v>2214</v>
      </c>
      <c r="F54" s="184">
        <f>'数据-取费表'!B41</f>
        <v>5.5000000000000007E-2</v>
      </c>
      <c r="G54" s="2481"/>
      <c r="H54" s="2482"/>
      <c r="I54" s="2479"/>
      <c r="J54" s="2969">
        <v>3</v>
      </c>
      <c r="K54" s="3151" t="s">
        <v>2215</v>
      </c>
      <c r="L54" s="3151"/>
      <c r="M54" s="1754">
        <f t="shared" ca="1" si="0"/>
        <v>16131</v>
      </c>
      <c r="N54" s="2969" t="str">
        <f t="shared" si="0"/>
        <v>增值额×税（费）率</v>
      </c>
      <c r="O54" s="1756" t="str">
        <f t="shared" si="0"/>
        <v>——</v>
      </c>
    </row>
    <row r="55" spans="1:35" ht="24" customHeight="1">
      <c r="A55" s="3100" t="s">
        <v>2216</v>
      </c>
      <c r="B55" s="3101"/>
      <c r="C55" s="3101"/>
      <c r="D55" s="185">
        <f ca="1">IF(H55="个人住宅",0,ROUND(D45*I55,0))</f>
        <v>14</v>
      </c>
      <c r="E55" s="11" t="s">
        <v>2217</v>
      </c>
      <c r="F55" s="184">
        <f>IF(H55="正常",I55,"免征")</f>
        <v>5.0000000000000001E-4</v>
      </c>
      <c r="G55" s="2481"/>
      <c r="H55" s="2478" t="s">
        <v>2218</v>
      </c>
      <c r="I55" s="186">
        <f>'数据-取费表'!B49</f>
        <v>5.0000000000000001E-4</v>
      </c>
      <c r="J55" s="2969" t="str">
        <f>IF(H59="非个人房产","",4)</f>
        <v/>
      </c>
      <c r="K55" s="3151" t="str">
        <f>IF(H59="非个人房产","——","个人所得税")</f>
        <v>——</v>
      </c>
      <c r="L55" s="3151"/>
      <c r="M55" s="1757" t="str">
        <f>D59</f>
        <v>——</v>
      </c>
      <c r="N55" s="2970" t="str">
        <f>E59</f>
        <v>——</v>
      </c>
      <c r="O55" s="1758" t="str">
        <f>F59</f>
        <v>——</v>
      </c>
    </row>
    <row r="56" spans="1:35" ht="24.75">
      <c r="A56" s="3100" t="s">
        <v>2219</v>
      </c>
      <c r="B56" s="3101"/>
      <c r="C56" s="3101"/>
      <c r="D56" s="185">
        <f ca="1">IF(H56="个人住宅",D57,D58)</f>
        <v>16131</v>
      </c>
      <c r="E56" s="11" t="s">
        <v>2220</v>
      </c>
      <c r="F56" s="184" t="str">
        <f>IF(H56="正常",F58,"免征")</f>
        <v>——</v>
      </c>
      <c r="G56" s="2483" t="s">
        <v>2221</v>
      </c>
      <c r="H56" s="2484" t="s">
        <v>2218</v>
      </c>
      <c r="I56" s="2485"/>
      <c r="J56" s="2969" t="str">
        <f>IF(项目基本情况!K6="上海银行",IF(J55="",4,J55+1),"")</f>
        <v/>
      </c>
      <c r="K56" s="3174" t="str">
        <f>IF(项目基本情况!K6="上海银行","其他处置费用","")</f>
        <v/>
      </c>
      <c r="L56" s="3175"/>
      <c r="M56" s="1754" t="str">
        <f>IF(项目基本情况!K6="上海银行",M69,"")</f>
        <v/>
      </c>
      <c r="N56" s="3177" t="str">
        <f>IF(项目基本情况!K6="上海银行","包含处置中涉及的律师、诉讼、拍卖、评估等费用","")</f>
        <v/>
      </c>
      <c r="O56" s="3178"/>
    </row>
    <row r="57" spans="1:35" ht="12.75">
      <c r="A57" s="183" t="s">
        <v>2194</v>
      </c>
      <c r="B57" s="3116" t="s">
        <v>2222</v>
      </c>
      <c r="C57" s="3125"/>
      <c r="D57" s="187">
        <v>0</v>
      </c>
      <c r="E57" s="23" t="s">
        <v>2196</v>
      </c>
      <c r="F57" s="155"/>
      <c r="G57" s="2481"/>
      <c r="H57" s="2485"/>
      <c r="I57" s="2485"/>
      <c r="J57" s="3151">
        <f>IF(AND(J55="",J56=""),4,IF(项目基本情况!K6="上海银行",'结果表 (数据中心)'!J56+1,'结果表 (数据中心)'!J55+1))</f>
        <v>4</v>
      </c>
      <c r="K57" s="3151" t="s">
        <v>2223</v>
      </c>
      <c r="L57" s="2486" t="s">
        <v>2224</v>
      </c>
      <c r="M57" s="1759"/>
      <c r="N57" s="1760">
        <f ca="1">SUMIF(M52:M56,"&lt;9e307")</f>
        <v>16145</v>
      </c>
      <c r="O57" s="2487"/>
      <c r="P57" s="1753">
        <f ca="1">N57/M49</f>
        <v>0.56736716333989312</v>
      </c>
    </row>
    <row r="58" spans="1:35" ht="24.75">
      <c r="A58" s="183" t="s">
        <v>2205</v>
      </c>
      <c r="B58" s="3116" t="s">
        <v>2225</v>
      </c>
      <c r="C58" s="3117"/>
      <c r="D58" s="185">
        <f ca="1">IF(H58="转让取得",C81,C97)</f>
        <v>16131</v>
      </c>
      <c r="E58" s="11" t="s">
        <v>2220</v>
      </c>
      <c r="F58" s="24" t="s">
        <v>34</v>
      </c>
      <c r="G58" s="2481"/>
      <c r="H58" s="2484" t="s">
        <v>2226</v>
      </c>
      <c r="I58" s="2485"/>
      <c r="J58" s="3151"/>
      <c r="K58" s="3151"/>
      <c r="L58" s="2486" t="s">
        <v>2227</v>
      </c>
      <c r="M58" s="1761"/>
      <c r="N58" s="2488" t="str">
        <f ca="1">NUMBERSTRING(INT(N57*10000),2)&amp;"元整"</f>
        <v>壹亿陆仟壹佰肆拾伍万元整</v>
      </c>
      <c r="O58" s="2489"/>
    </row>
    <row r="59" spans="1:35" ht="24.75" thickBot="1">
      <c r="A59" s="3154" t="s">
        <v>2228</v>
      </c>
      <c r="B59" s="3155"/>
      <c r="C59" s="3155"/>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52">
        <f>J57+1</f>
        <v>5</v>
      </c>
      <c r="K59" s="3151" t="s">
        <v>2230</v>
      </c>
      <c r="L59" s="2969" t="s">
        <v>2224</v>
      </c>
      <c r="M59" s="1762"/>
      <c r="N59" s="1763">
        <f ca="1">M49-N57</f>
        <v>12311</v>
      </c>
      <c r="O59" s="2491"/>
    </row>
    <row r="60" spans="1:35" ht="12" customHeight="1">
      <c r="A60" s="2492"/>
      <c r="B60" s="2414"/>
      <c r="C60" s="2414"/>
      <c r="D60" s="2414"/>
      <c r="E60" s="2164"/>
      <c r="F60" s="2485"/>
      <c r="G60" s="2485"/>
      <c r="H60" s="2493"/>
      <c r="I60" s="138"/>
      <c r="J60" s="3153"/>
      <c r="K60" s="3151"/>
      <c r="L60" s="2486" t="s">
        <v>2227</v>
      </c>
      <c r="M60" s="1761"/>
      <c r="N60" s="2488" t="str">
        <f ca="1">NUMBERSTRING(INT(N59*10000),2)&amp;"元整"</f>
        <v>壹亿贰仟叁佰壹拾壹万元整</v>
      </c>
      <c r="O60" s="2489"/>
    </row>
    <row r="61" spans="1:35" ht="13.5" thickBot="1">
      <c r="A61" s="3098" t="s">
        <v>2231</v>
      </c>
      <c r="B61" s="3098"/>
      <c r="C61" s="3098"/>
      <c r="D61" s="3098"/>
      <c r="E61" s="3098"/>
      <c r="F61" s="2485"/>
      <c r="G61" s="2485"/>
      <c r="H61" s="2493"/>
      <c r="I61" s="138"/>
      <c r="J61" s="2969">
        <f>J59+1</f>
        <v>6</v>
      </c>
      <c r="K61" s="3151" t="s">
        <v>2232</v>
      </c>
      <c r="L61" s="3151"/>
      <c r="M61" s="1764"/>
      <c r="N61" s="1765">
        <f ca="1">ROUND(N59*10000/'数据-汇总表'!E3,0)</f>
        <v>5752</v>
      </c>
      <c r="O61" s="2494"/>
    </row>
    <row r="62" spans="1:35" ht="12.75">
      <c r="A62" s="3114" t="s">
        <v>2233</v>
      </c>
      <c r="B62" s="3115"/>
      <c r="C62" s="2964"/>
      <c r="D62" s="2964" t="s">
        <v>2234</v>
      </c>
      <c r="E62" s="192" t="s">
        <v>2235</v>
      </c>
      <c r="F62" s="2485"/>
      <c r="G62" s="2485"/>
      <c r="H62" s="2493"/>
      <c r="I62" s="138"/>
    </row>
    <row r="63" spans="1:35" ht="12.75">
      <c r="A63" s="203" t="s">
        <v>775</v>
      </c>
      <c r="B63" s="193" t="s">
        <v>2236</v>
      </c>
      <c r="C63" s="194">
        <f ca="1">ROUND((C64+C65)/(1+'数据-取费表'!C42),0)</f>
        <v>27101</v>
      </c>
      <c r="D63" s="195"/>
      <c r="E63" s="196"/>
      <c r="F63" s="2485"/>
      <c r="G63" s="2485"/>
      <c r="H63" s="2493"/>
      <c r="I63" s="138"/>
      <c r="J63" s="3176" t="s">
        <v>2237</v>
      </c>
      <c r="K63" s="2974" t="s">
        <v>2238</v>
      </c>
      <c r="L63" s="1752">
        <f ca="1">IF(M49&gt;10000,M49*0.5%,IF(AND(M49&gt;1000,M49&lt;=10000),M49*1%,IF(AND(M49&gt;100,M49&lt;=1000),M49*3%,IF(AND(M49&gt;10,M49&lt;=100),M49*5%,M49*8%))))</f>
        <v>142.28</v>
      </c>
      <c r="M63" s="24">
        <f ca="1">ROUND(L63,1)</f>
        <v>142.30000000000001</v>
      </c>
      <c r="Z63" s="2419"/>
      <c r="AI63" s="2420"/>
    </row>
    <row r="64" spans="1:35" ht="14.25" customHeight="1">
      <c r="A64" s="197" t="s">
        <v>770</v>
      </c>
      <c r="B64" s="198" t="s">
        <v>2239</v>
      </c>
      <c r="C64" s="199">
        <f ca="1">D45</f>
        <v>28456</v>
      </c>
      <c r="D64" s="200" t="s">
        <v>32</v>
      </c>
      <c r="E64" s="201"/>
      <c r="F64" s="2485"/>
      <c r="G64" s="2485"/>
      <c r="H64" s="2493"/>
      <c r="I64" s="138"/>
      <c r="J64" s="3176"/>
      <c r="K64" s="2974" t="s">
        <v>2240</v>
      </c>
      <c r="L64" s="1752">
        <f ca="1">IF(M49&gt;2000,M49*0.5%,IF(AND(M49&gt;1000,M49&lt;=2000),M49*0.6%,IF(AND(M49&gt;500,M49&lt;=1000),M49*0.7%,IF(AND(M49&gt;200,M49&lt;=500),M49*0.8%,IF(AND(M49&gt;100,M49&lt;=200),M49*0.9%,IF(AND(M49&gt;50,M49&lt;=100),M49*1%,IF(AND(M49&gt;20,M49&lt;=50),M49*1.5%,IF(AND(M49&gt;10,M49&lt;=20),M49*2%,IF(AND(M49&gt;1,M49&lt;=10),M49*2.5%)))))))))</f>
        <v>142.28</v>
      </c>
      <c r="M64" s="24">
        <f t="shared" ref="M64:M65" ca="1" si="1">ROUND(L64,1)</f>
        <v>142.30000000000001</v>
      </c>
      <c r="N64" s="138" t="s">
        <v>2241</v>
      </c>
      <c r="Z64" s="2419"/>
      <c r="AI64" s="2420"/>
    </row>
    <row r="65" spans="1:35" ht="14.25" customHeight="1">
      <c r="A65" s="197" t="s">
        <v>771</v>
      </c>
      <c r="B65" s="198" t="s">
        <v>2242</v>
      </c>
      <c r="C65" s="202"/>
      <c r="D65" s="200"/>
      <c r="E65" s="201"/>
      <c r="F65" s="2485"/>
      <c r="G65" s="2485"/>
      <c r="H65" s="2493"/>
      <c r="I65" s="138"/>
      <c r="J65" s="3176"/>
      <c r="K65" s="2974" t="s">
        <v>2243</v>
      </c>
      <c r="L65" s="1752">
        <f ca="1">IF(M49&gt;1000,M49*0.1%,IF(AND(M49&gt;500,M49&lt;=1000),M49*0.5%,IF(AND(M49&gt;50,M49&lt;=500),M49*1%,IF(AND(M49&gt;1,M49&lt;=50),M49*1.5%))))</f>
        <v>28.456</v>
      </c>
      <c r="M65" s="24">
        <f t="shared" ca="1" si="1"/>
        <v>28.5</v>
      </c>
      <c r="N65" s="138" t="s">
        <v>2241</v>
      </c>
      <c r="Z65" s="2419"/>
      <c r="AI65" s="2420"/>
    </row>
    <row r="66" spans="1:35" ht="14.25" customHeight="1">
      <c r="A66" s="203" t="s">
        <v>772</v>
      </c>
      <c r="B66" s="204" t="s">
        <v>2244</v>
      </c>
      <c r="C66" s="205"/>
      <c r="D66" s="206" t="s">
        <v>32</v>
      </c>
      <c r="E66" s="1776" t="s">
        <v>1371</v>
      </c>
      <c r="F66" s="2485"/>
      <c r="G66" s="2485"/>
      <c r="H66" s="2493"/>
      <c r="I66" s="138"/>
      <c r="J66" s="3176"/>
      <c r="K66" s="2974" t="s">
        <v>2245</v>
      </c>
      <c r="L66" s="1752">
        <f ca="1">M49*0.5%</f>
        <v>142.28</v>
      </c>
      <c r="M66" s="24">
        <f ca="1">IF(L66&gt;0.5,0.5,ROUND(L66,0))</f>
        <v>0.5</v>
      </c>
      <c r="N66" s="138" t="s">
        <v>2246</v>
      </c>
      <c r="Z66" s="2419"/>
      <c r="AI66" s="2420"/>
    </row>
    <row r="67" spans="1:35" ht="14.25" customHeight="1">
      <c r="A67" s="203" t="s">
        <v>773</v>
      </c>
      <c r="B67" s="204" t="s">
        <v>2247</v>
      </c>
      <c r="C67" s="207">
        <f ca="1">C63-C66</f>
        <v>27101</v>
      </c>
      <c r="D67" s="200" t="s">
        <v>32</v>
      </c>
      <c r="E67" s="201"/>
      <c r="F67" s="2485"/>
      <c r="G67" s="2485"/>
      <c r="H67" s="2493"/>
      <c r="I67" s="138"/>
      <c r="J67" s="3176"/>
      <c r="K67" s="2974" t="s">
        <v>2248</v>
      </c>
      <c r="L67" s="1752">
        <f ca="1">IF(M49&gt;=10000,(8.25+(M49-10000)*0.01%),IF(AND(M49&gt;=8000,M49&lt;10000),(7.85+(M49-8000)*0.02%),IF(AND(M49&gt;=5000,M49&lt;8000),(6.65+(M49-5000)*0.04%),IF(AND(M49&gt;=2000,M49&lt;5000),(4.25+(PM49-2000)*0.08%),IF(AND(M49&gt;=1000,M49&lt;2000),(2.75+(M49-1000)*0.15%),IF(AND(M49&gt;=100,M49&lt;1000),(0.5+(M49-100)*0.25%),IF(AND(M49&gt;0,M49&lt;100),M49*0.5%)))))))</f>
        <v>10.095600000000001</v>
      </c>
      <c r="M67" s="24">
        <f ca="1">ROUND(L67*0.9,1)</f>
        <v>9.1</v>
      </c>
      <c r="Z67" s="2419"/>
      <c r="AI67" s="2420"/>
    </row>
    <row r="68" spans="1:35" ht="14.25" customHeight="1" thickBot="1">
      <c r="A68" s="208" t="s">
        <v>774</v>
      </c>
      <c r="B68" s="209" t="s">
        <v>2249</v>
      </c>
      <c r="C68" s="210">
        <f ca="1">IF(C67&lt;=0,0,ROUND(C67*D68,0))</f>
        <v>1491</v>
      </c>
      <c r="D68" s="211">
        <f>'数据-取费表'!B41</f>
        <v>5.5000000000000007E-2</v>
      </c>
      <c r="E68" s="212"/>
      <c r="F68" s="2485"/>
      <c r="G68" s="2485"/>
      <c r="H68" s="2493"/>
      <c r="I68" s="138"/>
      <c r="J68" s="3176"/>
      <c r="K68" s="2974" t="s">
        <v>2250</v>
      </c>
      <c r="L68" s="1752">
        <f ca="1">IF(M49&gt;10000,M49*0.5%,IF(AND(M49&gt;5000,M49&lt;=10000),M49*1%,IF(AND(M49&gt;1000,M49&lt;=5000),M49*2%,IF(AND(M49&gt;200,M49&lt;=1000),M49*3%,M49*5%))))</f>
        <v>142.28</v>
      </c>
      <c r="M68" s="24">
        <f ca="1">ROUND(L68,1)</f>
        <v>142.30000000000001</v>
      </c>
      <c r="Z68" s="2419"/>
      <c r="AI68" s="2420"/>
    </row>
    <row r="69" spans="1:35" s="2442" customFormat="1" ht="16.5" customHeight="1">
      <c r="A69" s="2496"/>
      <c r="B69" s="2497"/>
      <c r="C69" s="2498"/>
      <c r="D69" s="2499"/>
      <c r="E69" s="2500"/>
      <c r="F69" s="2164"/>
      <c r="G69" s="2164"/>
      <c r="H69" s="2163"/>
      <c r="I69" s="2414"/>
      <c r="J69" s="3176"/>
      <c r="K69" s="2974" t="s">
        <v>2251</v>
      </c>
      <c r="L69" s="2501"/>
      <c r="M69" s="24">
        <f ca="1">ROUND(SUM(M63:M68),0)</f>
        <v>465</v>
      </c>
      <c r="N69" s="1753">
        <f ca="1">M69/M49</f>
        <v>1.6341017711554683E-2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2252</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4" t="s">
        <v>2233</v>
      </c>
      <c r="B71" s="3115"/>
      <c r="C71" s="2964"/>
      <c r="D71" s="2964"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27101</v>
      </c>
      <c r="D72" s="200" t="s">
        <v>32</v>
      </c>
      <c r="E72" s="2963"/>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136</v>
      </c>
      <c r="D73" s="200" t="s">
        <v>32</v>
      </c>
      <c r="E73" s="2963"/>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2963"/>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09" t="s">
        <v>2261</v>
      </c>
      <c r="F76" s="3086"/>
      <c r="G76" s="3086"/>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2975" t="s">
        <v>2263</v>
      </c>
      <c r="F77" s="224"/>
      <c r="G77" s="2509" t="s">
        <v>2264</v>
      </c>
      <c r="H77" s="296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136</v>
      </c>
      <c r="D78" s="226">
        <f>'数据-取费表'!B43</f>
        <v>5.000000000000001E-3</v>
      </c>
      <c r="E78" s="3095" t="s">
        <v>2266</v>
      </c>
      <c r="F78" s="3096"/>
      <c r="G78" s="3096"/>
      <c r="H78" s="31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2267</v>
      </c>
      <c r="C79" s="207">
        <f ca="1">C72-C73</f>
        <v>26965</v>
      </c>
      <c r="D79" s="200" t="s">
        <v>32</v>
      </c>
      <c r="E79" s="2963"/>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198.27205882352942</v>
      </c>
      <c r="D80" s="200" t="s">
        <v>32</v>
      </c>
      <c r="E80" s="2975"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16131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2270</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4" t="s">
        <v>2233</v>
      </c>
      <c r="B84" s="3115"/>
      <c r="C84" s="2964"/>
      <c r="D84" s="2964"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27101</v>
      </c>
      <c r="D85" s="200" t="s">
        <v>32</v>
      </c>
      <c r="E85" s="2963"/>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136</v>
      </c>
      <c r="D86" s="235"/>
      <c r="E86" s="2963"/>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2959"/>
      <c r="F87" s="2960"/>
      <c r="G87" s="2960"/>
      <c r="H87" s="296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2960"/>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2960"/>
      <c r="G89" s="2960"/>
      <c r="H89" s="296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2960"/>
      <c r="G90" s="2960"/>
      <c r="H90" s="296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IF(H91="——",'成本法（办公）'!C33,I91)</f>
        <v>0</v>
      </c>
      <c r="D91" s="226"/>
      <c r="E91" s="3095" t="s">
        <v>2279</v>
      </c>
      <c r="F91" s="3096"/>
      <c r="G91" s="3096"/>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095" t="s">
        <v>2283</v>
      </c>
      <c r="F92" s="3096"/>
      <c r="G92" s="3096"/>
      <c r="H92" s="31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136</v>
      </c>
      <c r="D93" s="226">
        <f>'数据-取费表'!B43</f>
        <v>5.000000000000001E-3</v>
      </c>
      <c r="E93" s="3095" t="s">
        <v>2266</v>
      </c>
      <c r="F93" s="3096"/>
      <c r="G93" s="3096"/>
      <c r="H93" s="31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06" t="s">
        <v>2287</v>
      </c>
      <c r="F94" s="3107"/>
      <c r="G94" s="3107"/>
      <c r="H94" s="310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2267</v>
      </c>
      <c r="C95" s="207">
        <f ca="1">ROUND(C85-C86,0)</f>
        <v>26965</v>
      </c>
      <c r="D95" s="200" t="s">
        <v>32</v>
      </c>
      <c r="E95" s="2963"/>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198.27205882352942</v>
      </c>
      <c r="D96" s="200" t="s">
        <v>32</v>
      </c>
      <c r="E96" s="2975"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16131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2288</v>
      </c>
      <c r="B99" s="2414"/>
      <c r="C99" s="2414"/>
      <c r="D99" s="2414"/>
      <c r="E99" s="2164"/>
      <c r="F99" s="2164"/>
      <c r="G99" s="2164"/>
      <c r="H99" s="2163"/>
      <c r="I99" s="138"/>
    </row>
    <row r="100" spans="1:35" ht="18.75" customHeight="1">
      <c r="A100" s="3080" t="s">
        <v>2289</v>
      </c>
      <c r="B100" s="3081"/>
      <c r="C100" s="3081"/>
      <c r="D100" s="3097"/>
      <c r="E100" s="3081" t="s">
        <v>2290</v>
      </c>
      <c r="F100" s="3081"/>
      <c r="G100" s="3081"/>
      <c r="H100" s="3097"/>
      <c r="I100" s="138"/>
    </row>
    <row r="101" spans="1:35" ht="18.75" customHeight="1">
      <c r="A101" s="3159" t="s">
        <v>2291</v>
      </c>
      <c r="B101" s="3160"/>
      <c r="C101" s="736" t="str">
        <f>C4</f>
        <v>成本法（数据）</v>
      </c>
      <c r="D101" s="737" t="str">
        <f>D4</f>
        <v>收益法（数据）</v>
      </c>
      <c r="E101" s="3173" t="s">
        <v>2292</v>
      </c>
      <c r="F101" s="3127"/>
      <c r="G101" s="2516" t="s">
        <v>2293</v>
      </c>
      <c r="H101" s="1048">
        <f ca="1">H118</f>
        <v>28456</v>
      </c>
      <c r="I101" s="138"/>
    </row>
    <row r="102" spans="1:35" ht="18.75" customHeight="1">
      <c r="A102" s="3129" t="s">
        <v>2294</v>
      </c>
      <c r="B102" s="2516" t="s">
        <v>2293</v>
      </c>
      <c r="C102" s="736">
        <f ca="1">C19</f>
        <v>15354</v>
      </c>
      <c r="D102" s="737">
        <f ca="1">D19</f>
        <v>48109</v>
      </c>
      <c r="E102" s="3173"/>
      <c r="F102" s="3127"/>
      <c r="G102" s="2516" t="s">
        <v>2295</v>
      </c>
      <c r="H102" s="371">
        <f ca="1">I118</f>
        <v>26903</v>
      </c>
      <c r="I102" s="138"/>
    </row>
    <row r="103" spans="1:35" ht="42.75" customHeight="1">
      <c r="A103" s="3129"/>
      <c r="B103" s="2516" t="s">
        <v>2295</v>
      </c>
      <c r="C103" s="738">
        <f ca="1">C20</f>
        <v>14516</v>
      </c>
      <c r="D103" s="739">
        <f ca="1">D20</f>
        <v>45484</v>
      </c>
      <c r="E103" s="3168" t="s">
        <v>2296</v>
      </c>
      <c r="F103" s="3169"/>
      <c r="G103" s="2517" t="s">
        <v>2297</v>
      </c>
      <c r="H103" s="1048">
        <f>IF(D36="正常操作",H104+H105+H106,H105+H106)</f>
        <v>0</v>
      </c>
      <c r="I103" s="138"/>
    </row>
    <row r="104" spans="1:35" ht="18.75" customHeight="1">
      <c r="A104" s="3129" t="s">
        <v>2298</v>
      </c>
      <c r="B104" s="2518" t="s">
        <v>2293</v>
      </c>
      <c r="C104" s="740">
        <f ca="1">H118</f>
        <v>28456</v>
      </c>
      <c r="D104" s="741"/>
      <c r="E104" s="2264" t="s">
        <v>2299</v>
      </c>
      <c r="F104" s="2256"/>
      <c r="G104" s="2517" t="s">
        <v>2297</v>
      </c>
      <c r="H104" s="1049">
        <f>IF(D36="同一抵押权人同一抵押物续贷",C36&amp;"（未扣减，详见特别提示）",C36)</f>
        <v>0</v>
      </c>
      <c r="I104" s="138"/>
    </row>
    <row r="105" spans="1:35" ht="18.75" customHeight="1" thickBot="1">
      <c r="A105" s="3130"/>
      <c r="B105" s="2519" t="s">
        <v>2295</v>
      </c>
      <c r="C105" s="742">
        <f ca="1">I118</f>
        <v>26903</v>
      </c>
      <c r="D105" s="743"/>
      <c r="E105" s="2264" t="s">
        <v>2300</v>
      </c>
      <c r="F105" s="2256"/>
      <c r="G105" s="2517" t="s">
        <v>2297</v>
      </c>
      <c r="H105" s="1049">
        <f>C37</f>
        <v>0</v>
      </c>
      <c r="I105" s="138"/>
    </row>
    <row r="106" spans="1:35" ht="18.75" customHeight="1">
      <c r="A106" s="2414" t="s">
        <v>2301</v>
      </c>
      <c r="B106" s="2414"/>
      <c r="C106" s="2414"/>
      <c r="D106" s="2414"/>
      <c r="E106" s="2520" t="s">
        <v>2302</v>
      </c>
      <c r="F106" s="2256"/>
      <c r="G106" s="2517" t="s">
        <v>2297</v>
      </c>
      <c r="H106" s="1049">
        <f>C38</f>
        <v>0</v>
      </c>
      <c r="I106" s="138"/>
    </row>
    <row r="107" spans="1:35" ht="18.75" customHeight="1">
      <c r="A107" s="138"/>
      <c r="B107" s="138"/>
      <c r="C107" s="138"/>
      <c r="D107" s="138"/>
      <c r="E107" s="3126" t="str">
        <f>IF(项目基本情况!E8="已注销","——","3.房地产抵押价值")</f>
        <v>——</v>
      </c>
      <c r="F107" s="3127"/>
      <c r="G107" s="2516" t="s">
        <v>2293</v>
      </c>
      <c r="H107" s="1048" t="str">
        <f>IF(E107="——","——",H101-H103)</f>
        <v>——</v>
      </c>
      <c r="I107" s="138"/>
    </row>
    <row r="108" spans="1:35" ht="18.75" customHeight="1">
      <c r="A108" s="138"/>
      <c r="B108" s="138"/>
      <c r="C108" s="138"/>
      <c r="D108" s="138"/>
      <c r="E108" s="3126"/>
      <c r="F108" s="3127"/>
      <c r="G108" s="2516" t="s">
        <v>2295</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127"/>
      <c r="G109" s="2516" t="s">
        <v>2293</v>
      </c>
      <c r="H109" s="348">
        <f ca="1">IF(E109="——","——",H101-H105-H106)</f>
        <v>28456</v>
      </c>
      <c r="I109" s="138"/>
    </row>
    <row r="110" spans="1:35" ht="18.75" customHeight="1">
      <c r="A110" s="138"/>
      <c r="B110" s="138"/>
      <c r="C110" s="138"/>
      <c r="D110" s="138"/>
      <c r="E110" s="3126"/>
      <c r="F110" s="3127"/>
      <c r="G110" s="2516" t="s">
        <v>2295</v>
      </c>
      <c r="H110" s="371">
        <f ca="1">IF(H109="——","——",ROUND(H109*10000/'数据-汇总表'!E3,0))</f>
        <v>13295</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6" t="s">
        <v>2293</v>
      </c>
      <c r="H111" s="1048" t="str">
        <f>IF(E111="——","——",N59)</f>
        <v>——</v>
      </c>
      <c r="I111" s="138"/>
    </row>
    <row r="112" spans="1:35" ht="18.75" customHeight="1" thickBot="1">
      <c r="A112" s="138"/>
      <c r="B112" s="138"/>
      <c r="C112" s="138"/>
      <c r="D112" s="138"/>
      <c r="E112" s="3163"/>
      <c r="F112" s="3164"/>
      <c r="G112" s="2521" t="s">
        <v>2295</v>
      </c>
      <c r="H112" s="790" t="str">
        <f>IF(E111="——","——",N61)</f>
        <v>——</v>
      </c>
      <c r="I112" s="138"/>
    </row>
    <row r="113" spans="1:11" ht="18.75" customHeight="1">
      <c r="A113" s="138"/>
      <c r="B113" s="138"/>
      <c r="C113" s="138"/>
      <c r="D113" s="138"/>
      <c r="E113" s="3131" t="s">
        <v>2301</v>
      </c>
      <c r="F113" s="3131"/>
      <c r="G113" s="3131"/>
      <c r="H113" s="3131"/>
      <c r="I113" s="138"/>
    </row>
    <row r="114" spans="1:11" ht="3.75" customHeight="1">
      <c r="A114" s="2414"/>
      <c r="B114" s="2414"/>
      <c r="C114" s="2414"/>
      <c r="D114" s="2414"/>
      <c r="E114" s="2492"/>
      <c r="F114" s="2492"/>
      <c r="G114" s="2492"/>
      <c r="H114" s="2492"/>
      <c r="I114" s="2414"/>
    </row>
    <row r="115" spans="1:11" ht="18.75" customHeight="1">
      <c r="A115" s="3144" t="s">
        <v>2303</v>
      </c>
      <c r="B115" s="3145"/>
      <c r="C115" s="3145"/>
      <c r="D115" s="3145"/>
      <c r="E115" s="3145"/>
      <c r="F115" s="3145"/>
      <c r="G115" s="3145"/>
      <c r="H115" s="3145"/>
      <c r="I115" s="3146"/>
    </row>
    <row r="116" spans="1:11" ht="27" customHeight="1">
      <c r="A116" s="3037" t="s">
        <v>2304</v>
      </c>
      <c r="B116" s="3132" t="s">
        <v>3136</v>
      </c>
      <c r="C116" s="3132" t="s">
        <v>3137</v>
      </c>
      <c r="D116" s="3148" t="s">
        <v>3139</v>
      </c>
      <c r="E116" s="3149"/>
      <c r="F116" s="3140" t="s">
        <v>3138</v>
      </c>
      <c r="G116" s="3140"/>
      <c r="H116" s="3037" t="s">
        <v>2306</v>
      </c>
      <c r="I116" s="3037"/>
    </row>
    <row r="117" spans="1:11" ht="18.75" customHeight="1">
      <c r="A117" s="3037"/>
      <c r="B117" s="3133"/>
      <c r="C117" s="3133"/>
      <c r="D117" s="2956" t="s">
        <v>2307</v>
      </c>
      <c r="E117" s="2956" t="s">
        <v>2308</v>
      </c>
      <c r="F117" s="2956" t="s">
        <v>2307</v>
      </c>
      <c r="G117" s="2956" t="s">
        <v>2309</v>
      </c>
      <c r="H117" s="2956" t="s">
        <v>2307</v>
      </c>
      <c r="I117" s="2956" t="s">
        <v>2309</v>
      </c>
    </row>
    <row r="118" spans="1:11" ht="24.75" customHeight="1">
      <c r="A118" s="2522" t="str">
        <f>项目基本情况!S2</f>
        <v>北京市顺义区竺园路6号1、2、3幢全部房地产</v>
      </c>
      <c r="B118" s="2956">
        <f>M18</f>
        <v>10577.23</v>
      </c>
      <c r="C118" s="2956">
        <f>M19</f>
        <v>9883.9500000000007</v>
      </c>
      <c r="D118" s="2956">
        <f ca="1">ROUND(IF(D32="总价",C34,E118*B118/10000),0)</f>
        <v>5464</v>
      </c>
      <c r="E118" s="2956">
        <f ca="1">ROUND(IF(C33="自定义",IF(D32="楼面单价",C34,D118*10000/B118),I118-G118),0)</f>
        <v>5166</v>
      </c>
      <c r="F118" s="2956">
        <f ca="1">ROUND(IF(D32="总价",C35,G118*B118/10000),0)</f>
        <v>22992</v>
      </c>
      <c r="G118" s="2956">
        <f ca="1">ROUND(IF(D32="楼面单价",C35,F118*10000/B118),0)</f>
        <v>21737</v>
      </c>
      <c r="H118" s="2956">
        <f ca="1">ROUND(IF(D32="总价",C32,I118*B118/10000),0)</f>
        <v>28456</v>
      </c>
      <c r="I118" s="2956">
        <f ca="1">ROUND(IF(D32="楼面单价",C32,H118*10000/B118),0)</f>
        <v>26903</v>
      </c>
    </row>
    <row r="119" spans="1:11" ht="18.75" customHeight="1">
      <c r="A119" s="3037" t="s">
        <v>2310</v>
      </c>
      <c r="B119" s="3037"/>
      <c r="C119" s="3037"/>
      <c r="D119" s="3137" t="str">
        <f ca="1">NUMBERSTRING(INT(D118*10000),2)&amp;"元整"</f>
        <v>伍仟肆佰陆拾肆万元整</v>
      </c>
      <c r="E119" s="3139"/>
      <c r="F119" s="3137" t="str">
        <f ca="1">NUMBERSTRING(INT(F118*10000),2)&amp;"元整"</f>
        <v>贰亿贰仟玖佰玖拾贰万元整</v>
      </c>
      <c r="G119" s="3139"/>
      <c r="H119" s="3137" t="str">
        <f ca="1">NUMBERSTRING(INT(H118*10000),2)&amp;"元整"</f>
        <v>贰亿捌仟肆佰伍拾陆万元整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19" t="str">
        <f>IF(D120=0,"故，本次评估不存在"&amp;A120,"故，本次评估"&amp;A120&amp;"为人民币"&amp;D120&amp;"万元整。")</f>
        <v>故，本次评估不存在估价师知悉的法定优先受偿款</v>
      </c>
    </row>
    <row r="121" spans="1:11" ht="18.75" customHeight="1">
      <c r="A121" s="3141" t="s">
        <v>2310</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t="str">
        <f>H107</f>
        <v>——</v>
      </c>
      <c r="E122" s="3166"/>
      <c r="F122" s="3166"/>
      <c r="G122" s="3166"/>
      <c r="H122" s="3166"/>
      <c r="I122" s="3167"/>
    </row>
    <row r="123" spans="1:11" ht="18.75" customHeight="1">
      <c r="A123" s="3037" t="s">
        <v>2310</v>
      </c>
      <c r="B123" s="3037"/>
      <c r="C123" s="3037"/>
      <c r="D123" s="3137" t="e">
        <f>NUMBERSTRING(INT(D122*10000),2)&amp;"元整"</f>
        <v>#VALUE!</v>
      </c>
      <c r="E123" s="3138"/>
      <c r="F123" s="3138"/>
      <c r="G123" s="3138"/>
      <c r="H123" s="3138"/>
      <c r="I123" s="3139"/>
    </row>
    <row r="124" spans="1:11" ht="18.75" customHeight="1">
      <c r="A124" s="3128" t="str">
        <f>IF(项目基本情况!B9="房地产市场价值","",MID(E109,3,LEN(E109)-2))</f>
        <v>抵押担保权已注销时的房地产抵押价值</v>
      </c>
      <c r="B124" s="3128"/>
      <c r="C124" s="3128"/>
      <c r="D124" s="3165">
        <f ca="1">H109</f>
        <v>28456</v>
      </c>
      <c r="E124" s="3166"/>
      <c r="F124" s="3166"/>
      <c r="G124" s="3166"/>
      <c r="H124" s="3166"/>
      <c r="I124" s="3167"/>
    </row>
    <row r="125" spans="1:11" ht="18.75" customHeight="1">
      <c r="A125" s="3037" t="s">
        <v>2310</v>
      </c>
      <c r="B125" s="3037"/>
      <c r="C125" s="3037"/>
      <c r="D125" s="3137" t="str">
        <f ca="1">NUMBERSTRING(INT(D124*10000),2)&amp;"元整"</f>
        <v>贰亿捌仟肆佰伍拾陆万元整</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2310</v>
      </c>
      <c r="B127" s="3037"/>
      <c r="C127" s="3037"/>
      <c r="D127" s="3137" t="e">
        <f>NUMBERSTRING(INT(D126*10000),2)&amp;"元整"</f>
        <v>#VALUE!</v>
      </c>
      <c r="E127" s="3138"/>
      <c r="F127" s="3138"/>
      <c r="G127" s="3138"/>
      <c r="H127" s="3138"/>
      <c r="I127" s="3139"/>
    </row>
    <row r="128" spans="1:11" ht="21.75" customHeight="1">
      <c r="A128" s="3147" t="s">
        <v>2311</v>
      </c>
      <c r="B128" s="3147"/>
      <c r="C128" s="3147"/>
      <c r="D128" s="3147"/>
      <c r="E128" s="3147"/>
      <c r="F128" s="3147"/>
      <c r="G128" s="3147"/>
      <c r="H128" s="3147"/>
      <c r="I128" s="3147"/>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5"/>
  <sheetViews>
    <sheetView workbookViewId="0">
      <selection activeCell="F22" sqref="F22"/>
    </sheetView>
  </sheetViews>
  <sheetFormatPr defaultRowHeight="13.5"/>
  <cols>
    <col min="3" max="3" width="10.125" customWidth="1"/>
    <col min="6" max="6" width="12.75" bestFit="1" customWidth="1"/>
    <col min="11" max="11" width="10.5" bestFit="1" customWidth="1"/>
  </cols>
  <sheetData>
    <row r="2" spans="4:13">
      <c r="E2" s="2955" t="s">
        <v>3091</v>
      </c>
    </row>
    <row r="3" spans="4:13">
      <c r="D3">
        <v>1986</v>
      </c>
      <c r="E3">
        <v>5000</v>
      </c>
      <c r="F3">
        <f>D3*E3*12</f>
        <v>119160000</v>
      </c>
      <c r="K3">
        <v>220000000</v>
      </c>
      <c r="L3">
        <f>K3/D4</f>
        <v>20799.396439332417</v>
      </c>
      <c r="M3">
        <f>L3*0.4</f>
        <v>8319.7585757329671</v>
      </c>
    </row>
    <row r="4" spans="4:13">
      <c r="D4">
        <v>10577.23</v>
      </c>
      <c r="F4">
        <f>F3/D4/365</f>
        <v>30.864957406112712</v>
      </c>
      <c r="G4">
        <f>ROUND(F4*0.4,0)</f>
        <v>12</v>
      </c>
    </row>
    <row r="5" spans="4:13">
      <c r="G5">
        <f>G4*0.5</f>
        <v>6</v>
      </c>
    </row>
    <row r="8" spans="4:13">
      <c r="F8">
        <f ca="1">ROUND('结果表（办公）'!G19*H8,2)</f>
        <v>630.84</v>
      </c>
      <c r="G8">
        <f ca="1">'收益法（汇总）'!B6</f>
        <v>6861</v>
      </c>
      <c r="H8">
        <f ca="1">G8/G11</f>
        <v>0.11492847331568896</v>
      </c>
    </row>
    <row r="9" spans="4:13">
      <c r="F9">
        <f ca="1">ROUND('结果表（办公）'!G19*H9,2)</f>
        <v>434.72</v>
      </c>
      <c r="G9">
        <f ca="1">'收益法（汇总）'!B7</f>
        <v>4728</v>
      </c>
      <c r="H9">
        <f ca="1">G9/G11</f>
        <v>7.9198633120037526E-2</v>
      </c>
    </row>
    <row r="10" spans="4:13">
      <c r="F10">
        <f ca="1">ROUND('结果表（办公）'!G19*Sheet1!H10,2)</f>
        <v>4423.4399999999996</v>
      </c>
      <c r="G10">
        <f ca="1">'收益法（汇总）'!B8</f>
        <v>48109</v>
      </c>
      <c r="H10">
        <f ca="1">G10/G11</f>
        <v>0.8058728935642735</v>
      </c>
    </row>
    <row r="11" spans="4:13">
      <c r="F11">
        <f ca="1">SUM(F8:F10)</f>
        <v>5489</v>
      </c>
      <c r="G11">
        <f ca="1">SUM(G8:G10)</f>
        <v>59698</v>
      </c>
      <c r="H11">
        <f ca="1">SUM(H8:H10)</f>
        <v>1</v>
      </c>
    </row>
    <row r="13" spans="4:13">
      <c r="G13" s="2986" t="s">
        <v>3107</v>
      </c>
      <c r="H13" s="2986" t="s">
        <v>3108</v>
      </c>
      <c r="I13" s="2986" t="s">
        <v>3109</v>
      </c>
    </row>
    <row r="14" spans="4:13">
      <c r="G14" s="2985">
        <f>ROUND((60-(2018-2006))/60,2)</f>
        <v>0.8</v>
      </c>
      <c r="H14" s="2987">
        <v>0.9</v>
      </c>
      <c r="I14" s="2985">
        <f>ROUND((G14+H14)/2,2)</f>
        <v>0.85</v>
      </c>
    </row>
    <row r="15" spans="4:13">
      <c r="G15" s="2985"/>
    </row>
    <row r="16" spans="4:13">
      <c r="G16" s="2985"/>
    </row>
    <row r="20" spans="1:9">
      <c r="G20" s="2955" t="s">
        <v>3131</v>
      </c>
    </row>
    <row r="21" spans="1:9">
      <c r="A21" s="2983" t="s">
        <v>3102</v>
      </c>
      <c r="B21" s="2983" t="s">
        <v>3101</v>
      </c>
      <c r="C21" s="2983" t="s">
        <v>3096</v>
      </c>
      <c r="D21" s="2983" t="s">
        <v>3097</v>
      </c>
      <c r="E21" s="2983" t="s">
        <v>3098</v>
      </c>
      <c r="F21" s="3318" t="s">
        <v>3143</v>
      </c>
      <c r="G21" s="2986" t="s">
        <v>3132</v>
      </c>
      <c r="H21" s="2986" t="s">
        <v>3133</v>
      </c>
    </row>
    <row r="22" spans="1:9">
      <c r="A22" s="2984">
        <v>1</v>
      </c>
      <c r="B22" s="2983" t="s">
        <v>3093</v>
      </c>
      <c r="C22" s="2984">
        <f>'数据-基础表'!I13</f>
        <v>4081.21</v>
      </c>
      <c r="D22" s="2984">
        <f ca="1">'结果表（办公）'!I118</f>
        <v>13449</v>
      </c>
      <c r="E22" s="2984">
        <f ca="1">'结果表（办公）'!H118</f>
        <v>5489</v>
      </c>
      <c r="F22">
        <f>ROUND((F25-F24)*(C22/(C22+C23)),2)</f>
        <v>5126.38</v>
      </c>
      <c r="G22">
        <v>14893</v>
      </c>
      <c r="H22">
        <v>6078</v>
      </c>
    </row>
    <row r="23" spans="1:9">
      <c r="A23" s="2984">
        <v>2</v>
      </c>
      <c r="B23" s="2983" t="s">
        <v>3094</v>
      </c>
      <c r="C23" s="2984">
        <f>'数据-基础表'!K14</f>
        <v>6744.41</v>
      </c>
      <c r="D23" s="2984">
        <f ca="1">'结果表 (厂房)'!I118</f>
        <v>6284</v>
      </c>
      <c r="E23" s="2984">
        <f ca="1">'结果表 (厂房)'!H118</f>
        <v>4238</v>
      </c>
      <c r="F23">
        <f>ROUND((F25-F24)*(C23/(C22+C23)),2)</f>
        <v>8471.6200000000008</v>
      </c>
      <c r="G23">
        <v>13916</v>
      </c>
      <c r="H23">
        <v>9385</v>
      </c>
    </row>
    <row r="24" spans="1:9">
      <c r="A24" s="2984">
        <v>3</v>
      </c>
      <c r="B24" s="2983" t="s">
        <v>3095</v>
      </c>
      <c r="C24" s="2984">
        <f>'数据-基础表'!M15</f>
        <v>10577.23</v>
      </c>
      <c r="D24" s="2984">
        <f ca="1">'结果表 (数据中心)'!I118</f>
        <v>26903</v>
      </c>
      <c r="E24" s="2984">
        <f ca="1">'结果表 (数据中心)'!H118</f>
        <v>28456</v>
      </c>
      <c r="F24">
        <v>6402</v>
      </c>
      <c r="G24">
        <v>22863</v>
      </c>
      <c r="H24">
        <v>24183</v>
      </c>
    </row>
    <row r="25" spans="1:9">
      <c r="A25" s="2984"/>
      <c r="B25" s="2983" t="s">
        <v>3099</v>
      </c>
      <c r="C25" s="2984">
        <f>SUM(C22:C24)</f>
        <v>21402.85</v>
      </c>
      <c r="D25" s="2983" t="s">
        <v>3100</v>
      </c>
      <c r="E25" s="2984">
        <f ca="1">SUM(E22:E24)</f>
        <v>38183</v>
      </c>
      <c r="F25">
        <v>20000</v>
      </c>
      <c r="G25" s="2955" t="s">
        <v>3134</v>
      </c>
      <c r="H25">
        <f>SUM(H22:H24)</f>
        <v>39646</v>
      </c>
      <c r="I25">
        <f ca="1">E25/H25</f>
        <v>0.96309842102608079</v>
      </c>
    </row>
  </sheetData>
  <phoneticPr fontId="143"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36" sqref="I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3063</v>
      </c>
      <c r="C1" s="242"/>
      <c r="D1" s="242"/>
      <c r="E1" s="242"/>
      <c r="F1" s="242"/>
      <c r="G1" s="1382">
        <f>MATCH(B1,'数据-取费表'!A6:A16,0)+5</f>
        <v>6</v>
      </c>
    </row>
    <row r="2" spans="1:9" s="244" customFormat="1" ht="18" customHeight="1">
      <c r="A2" s="245" t="s">
        <v>2320</v>
      </c>
      <c r="B2" s="246">
        <f ca="1">IF(D2="——",C52,C52-E2)</f>
        <v>2940</v>
      </c>
      <c r="C2" s="243" t="s">
        <v>2321</v>
      </c>
      <c r="D2" s="2545" t="s">
        <v>70</v>
      </c>
      <c r="E2" s="1443" t="e">
        <f ca="1">SUMIF(INDIRECT("'"&amp;G2&amp;"'"&amp;"!A:A"),"承租人权益价值",INDIRECT("'"&amp;G2&amp;"'"&amp;"!c:c"))</f>
        <v>#REF!</v>
      </c>
      <c r="F2" s="2546" t="s">
        <v>2321</v>
      </c>
      <c r="G2" s="2547"/>
    </row>
    <row r="3" spans="1:9" s="244" customFormat="1" ht="18" customHeight="1" thickBot="1">
      <c r="A3" s="247" t="s">
        <v>2322</v>
      </c>
      <c r="B3" s="248">
        <f ca="1">ROUND(B2*10000/(IF(B1="",'数据-汇总表'!E3,INDIRECT("'数据-取费表'!k"&amp;$G$1))),0)</f>
        <v>7204</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764</v>
      </c>
      <c r="D5" s="255" t="s">
        <v>2327</v>
      </c>
      <c r="E5" s="256" t="s">
        <v>2328</v>
      </c>
      <c r="F5" s="256" t="s">
        <v>2329</v>
      </c>
      <c r="G5" s="257"/>
    </row>
    <row r="6" spans="1:9" s="258" customFormat="1" ht="13.5" customHeight="1">
      <c r="A6" s="952" t="s">
        <v>2330</v>
      </c>
      <c r="B6" s="259" t="s">
        <v>2331</v>
      </c>
      <c r="C6" s="260">
        <f ca="1">基准地价修正!B2</f>
        <v>741</v>
      </c>
      <c r="D6" s="261"/>
      <c r="E6" s="262"/>
      <c r="F6" s="262"/>
      <c r="G6" s="263"/>
    </row>
    <row r="7" spans="1:9" s="258" customFormat="1" ht="13.5" customHeight="1">
      <c r="A7" s="952" t="s">
        <v>2332</v>
      </c>
      <c r="B7" s="259" t="s">
        <v>2333</v>
      </c>
      <c r="C7" s="264">
        <f ca="1">ROUND(C6*F7,0)</f>
        <v>23</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0</v>
      </c>
      <c r="D8" s="266"/>
      <c r="E8" s="264"/>
      <c r="F8" s="265"/>
      <c r="G8" s="2548" t="s">
        <v>3086</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49" t="s">
        <v>3087</v>
      </c>
      <c r="H9" s="1393"/>
      <c r="I9" s="2550"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4081.21</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4081.21</v>
      </c>
      <c r="E19" s="255">
        <f>'数据-取费表'!B31</f>
        <v>200</v>
      </c>
      <c r="F19" s="275"/>
      <c r="G19" s="2548" t="s">
        <v>3088</v>
      </c>
    </row>
    <row r="20" spans="1:7" s="258" customFormat="1" ht="13.5" customHeight="1">
      <c r="A20" s="299" t="s">
        <v>2351</v>
      </c>
      <c r="B20" s="254" t="s">
        <v>2352</v>
      </c>
      <c r="C20" s="276">
        <f ca="1">ROUND((C5+C19)*F20,0)</f>
        <v>15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75</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74</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156</v>
      </c>
      <c r="D27" s="279">
        <f ca="1">C29</f>
        <v>4.0000000000000001E-3</v>
      </c>
      <c r="E27" s="280" t="s">
        <v>2372</v>
      </c>
      <c r="F27" s="290">
        <f ca="1">IF(B1="",'数据-取费表'!Q16,INDIRECT("'数据-取费表'!q"&amp;$G$1))</f>
        <v>0.2</v>
      </c>
      <c r="G27" s="291" t="s">
        <v>2373</v>
      </c>
    </row>
    <row r="28" spans="1:7" s="258" customFormat="1" ht="13.5" customHeight="1">
      <c r="A28" s="954" t="s">
        <v>791</v>
      </c>
      <c r="B28" s="292" t="s">
        <v>2374</v>
      </c>
      <c r="C28" s="293">
        <f ca="1">ROUND((C5+C19+C20)*F27*'数据-取费表'!B21/'数据-取费表'!B20,0)</f>
        <v>156</v>
      </c>
      <c r="D28" s="279"/>
      <c r="E28" s="280"/>
      <c r="F28" s="290"/>
      <c r="G28" s="291"/>
    </row>
    <row r="29" spans="1:7" s="258" customFormat="1" ht="13.5" customHeight="1">
      <c r="A29" s="954" t="s">
        <v>792</v>
      </c>
      <c r="B29" s="292" t="s">
        <v>2375</v>
      </c>
      <c r="C29" s="282">
        <f ca="1">ROUND(C21*F27*'数据-取费表'!B21/'数据-取费表'!B20,4)</f>
        <v>4.0000000000000001E-3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1095</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1574</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1428</v>
      </c>
      <c r="D34" s="261"/>
      <c r="E34" s="264"/>
      <c r="F34" s="301">
        <f ca="1">IF('数据-取费表'!B24=0,1,IF(B1="",'数据-取费表'!N16,INDIRECT("'数据-取费表'!n"&amp;$G$1)))</f>
        <v>1</v>
      </c>
      <c r="G34" s="263" t="s">
        <v>2384</v>
      </c>
    </row>
    <row r="35" spans="1:7" ht="13.5" customHeight="1">
      <c r="A35" s="954" t="s">
        <v>796</v>
      </c>
      <c r="B35" s="259" t="s">
        <v>2385</v>
      </c>
      <c r="C35" s="264">
        <f ca="1">ROUND(C34*F35,0)</f>
        <v>43</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82</v>
      </c>
      <c r="D37" s="261">
        <f ca="1">D19</f>
        <v>4081.21</v>
      </c>
      <c r="E37" s="293">
        <f>'数据-取费表'!B35</f>
        <v>200</v>
      </c>
      <c r="F37" s="303"/>
      <c r="G37" s="305" t="s">
        <v>2390</v>
      </c>
    </row>
    <row r="38" spans="1:7" ht="13.5" customHeight="1">
      <c r="A38" s="954" t="s">
        <v>799</v>
      </c>
      <c r="B38" s="259" t="s">
        <v>2391</v>
      </c>
      <c r="C38" s="264">
        <f ca="1">ROUND(C34*F38,0)</f>
        <v>21</v>
      </c>
      <c r="D38" s="264"/>
      <c r="E38" s="264"/>
      <c r="F38" s="303">
        <f>'数据-取费表'!B36</f>
        <v>1.4999999999999999E-2</v>
      </c>
      <c r="G38" s="263" t="s">
        <v>2386</v>
      </c>
    </row>
    <row r="39" spans="1:7" s="258" customFormat="1" ht="13.5" customHeight="1">
      <c r="A39" s="299" t="s">
        <v>2392</v>
      </c>
      <c r="B39" s="254" t="s">
        <v>2393</v>
      </c>
      <c r="C39" s="276">
        <f ca="1">ROUND(C33*F20,0)</f>
        <v>31</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76</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75</v>
      </c>
      <c r="D42" s="282"/>
      <c r="E42" s="282"/>
      <c r="F42" s="283"/>
      <c r="G42" s="3179" t="s">
        <v>2402</v>
      </c>
    </row>
    <row r="43" spans="1:7" ht="13.5" customHeight="1">
      <c r="A43" s="954" t="s">
        <v>792</v>
      </c>
      <c r="B43" s="259" t="s">
        <v>2403</v>
      </c>
      <c r="C43" s="282">
        <f ca="1">ROUND(IF('数据-取费表'!B22&lt;=1,C39*F22*'数据-取费表'!B21/2,C39*(POWER((1+F22),'数据-取费表'!B21/2)-1)),0)</f>
        <v>1</v>
      </c>
      <c r="D43" s="282"/>
      <c r="E43" s="282"/>
      <c r="F43" s="283"/>
      <c r="G43" s="3180"/>
    </row>
    <row r="44" spans="1:7" ht="13.5" customHeight="1">
      <c r="A44" s="954" t="s">
        <v>793</v>
      </c>
      <c r="B44" s="259" t="s">
        <v>2404</v>
      </c>
      <c r="C44" s="282">
        <f ca="1">ROUND(IF('数据-取费表'!B22&lt;=1,C40*F22*'数据-取费表'!B21/2,C40*(POWER((1+F22),'数据-取费表'!B21/2)-1)),4)</f>
        <v>1E-3</v>
      </c>
      <c r="D44" s="282"/>
      <c r="E44" s="282"/>
      <c r="F44" s="283"/>
      <c r="G44" s="3181"/>
    </row>
    <row r="45" spans="1:7" s="258" customFormat="1" ht="13.5" customHeight="1">
      <c r="A45" s="299" t="s">
        <v>2405</v>
      </c>
      <c r="B45" s="288" t="s">
        <v>2371</v>
      </c>
      <c r="C45" s="289">
        <f ca="1">C46</f>
        <v>321</v>
      </c>
      <c r="D45" s="279">
        <f ca="1">C47</f>
        <v>4.0000000000000001E-3</v>
      </c>
      <c r="E45" s="280" t="s">
        <v>2397</v>
      </c>
      <c r="F45" s="290"/>
      <c r="G45" s="291" t="s">
        <v>2406</v>
      </c>
    </row>
    <row r="46" spans="1:7" s="258" customFormat="1" ht="13.5" customHeight="1">
      <c r="A46" s="954" t="s">
        <v>791</v>
      </c>
      <c r="B46" s="292" t="s">
        <v>2407</v>
      </c>
      <c r="C46" s="293">
        <f ca="1">ROUND((C33+C39)*F27,0)</f>
        <v>321</v>
      </c>
      <c r="D46" s="307"/>
      <c r="E46" s="280"/>
      <c r="F46" s="290"/>
      <c r="G46" s="291"/>
    </row>
    <row r="47" spans="1:7" s="258" customFormat="1" ht="13.5" customHeight="1">
      <c r="A47" s="954" t="s">
        <v>792</v>
      </c>
      <c r="B47" s="292" t="s">
        <v>2408</v>
      </c>
      <c r="C47" s="282">
        <f ca="1">ROUND(C40*F27,4)</f>
        <v>4.0000000000000001E-3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2170</v>
      </c>
      <c r="D49" s="276"/>
      <c r="E49" s="276"/>
      <c r="F49" s="308"/>
      <c r="G49" s="278" t="s">
        <v>2412</v>
      </c>
    </row>
    <row r="50" spans="1:7" s="302" customFormat="1" ht="24">
      <c r="A50" s="299" t="s">
        <v>2413</v>
      </c>
      <c r="B50" s="254" t="s">
        <v>2414</v>
      </c>
      <c r="C50" s="276"/>
      <c r="D50" s="276"/>
      <c r="E50" s="276"/>
      <c r="F50" s="308">
        <f>IF('数据-取费表'!B24=0,'数据-取费表'!N16,1)</f>
        <v>0.85</v>
      </c>
      <c r="G50" s="291" t="s">
        <v>2415</v>
      </c>
    </row>
    <row r="51" spans="1:7" ht="16.5" customHeight="1">
      <c r="A51" s="299" t="s">
        <v>2416</v>
      </c>
      <c r="B51" s="254" t="s">
        <v>2417</v>
      </c>
      <c r="C51" s="276">
        <f ca="1">ROUND(C49*F50,0)</f>
        <v>1845</v>
      </c>
      <c r="D51" s="276"/>
      <c r="E51" s="276"/>
      <c r="F51" s="308"/>
      <c r="G51" s="278" t="s">
        <v>2418</v>
      </c>
    </row>
    <row r="52" spans="1:7" s="252" customFormat="1" ht="16.5" thickBot="1">
      <c r="A52" s="309" t="s">
        <v>2419</v>
      </c>
      <c r="B52" s="310"/>
      <c r="C52" s="311">
        <f ca="1">C31+C51</f>
        <v>2940</v>
      </c>
      <c r="D52" s="310"/>
      <c r="E52" s="310"/>
      <c r="F52" s="310"/>
      <c r="G52" s="312"/>
    </row>
    <row r="55" spans="1:7" ht="15">
      <c r="B55" s="314" t="s">
        <v>2420</v>
      </c>
      <c r="C55" s="315"/>
    </row>
    <row r="56" spans="1:7">
      <c r="B56" s="317" t="s">
        <v>1513</v>
      </c>
      <c r="C56" s="319">
        <f ca="1">1-C57</f>
        <v>0.372</v>
      </c>
    </row>
    <row r="57" spans="1:7">
      <c r="B57" s="317" t="s">
        <v>1514</v>
      </c>
      <c r="C57" s="318">
        <f ca="1">ROUND(C51/C52,3)</f>
        <v>0.628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29" sqref="D2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2797</v>
      </c>
      <c r="B1" s="241"/>
      <c r="C1" s="245" t="s">
        <v>2798</v>
      </c>
      <c r="D1" s="388">
        <f>SUM(D29:D30,D33:D39)</f>
        <v>4081.21</v>
      </c>
      <c r="E1" s="2715"/>
      <c r="F1" s="2715"/>
      <c r="G1" s="2715"/>
      <c r="H1" s="2715"/>
      <c r="I1" s="2715"/>
      <c r="J1" s="2715"/>
      <c r="K1" s="1373"/>
      <c r="L1" s="2716" t="s">
        <v>2799</v>
      </c>
      <c r="M1" s="1083">
        <f>SUMPRODUCT((区片价!B5:B9=I2)*(区片价!C3:F3=E2)*(区片价!C5:F9))</f>
        <v>0</v>
      </c>
      <c r="N1" s="1086">
        <f>SUMPRODUCT((因素修正幅度!B5:B9=I2)*(因素修正幅度!C3:F3=E2)*(因素修正幅度!C5:F9))</f>
        <v>0</v>
      </c>
      <c r="O1" s="2717"/>
      <c r="P1" s="2717"/>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741</v>
      </c>
      <c r="C2" s="2719" t="s">
        <v>2806</v>
      </c>
      <c r="D2" s="2720" t="s">
        <v>2807</v>
      </c>
      <c r="E2" s="2721" t="s">
        <v>6</v>
      </c>
      <c r="F2" s="2720" t="s">
        <v>2808</v>
      </c>
      <c r="G2" s="2722" t="str">
        <f>IF(E2="商业",项目基本情况!B37,IF(E2="办公",项目基本情况!C37,IF(E2="住宅",项目基本情况!D37,项目基本情况!E37)))</f>
        <v>七级</v>
      </c>
      <c r="H2" s="2720" t="s">
        <v>2809</v>
      </c>
      <c r="I2" s="2722" t="str">
        <f>IF(E2="商业",项目基本情况!B38,IF(E2="办公",项目基本情况!C38,IF(E2="住宅",项目基本情况!D38,项目基本情况!E38)))</f>
        <v>Ⅶ-顺2</v>
      </c>
      <c r="J2" s="2723"/>
      <c r="K2" s="1373"/>
      <c r="L2" s="2724"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3167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1816</v>
      </c>
      <c r="C3" s="2719" t="s">
        <v>2812</v>
      </c>
      <c r="D3" s="2720" t="s">
        <v>2813</v>
      </c>
      <c r="E3" s="2725" t="s">
        <v>3080</v>
      </c>
      <c r="F3" s="2726" t="s">
        <v>2814</v>
      </c>
      <c r="G3" s="916">
        <f>IF(F3="宗地容积率",'数据-汇总表'!I4,IF(F3="估价对象容积率",'数据-汇总表'!I6,'数据-汇总表'!I7))</f>
        <v>1.07</v>
      </c>
      <c r="H3" s="198" t="s">
        <v>2815</v>
      </c>
      <c r="I3" s="947"/>
      <c r="J3" s="2723" t="s">
        <v>2816</v>
      </c>
      <c r="K3" s="1373"/>
      <c r="L3" s="2724"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2273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5"/>
      <c r="B4" s="3186"/>
      <c r="C4" s="3186"/>
      <c r="D4" s="3187"/>
      <c r="E4" s="3187"/>
      <c r="F4" s="3187"/>
      <c r="G4" s="3187"/>
      <c r="H4" s="3187"/>
      <c r="I4" s="3187"/>
      <c r="J4" s="3188"/>
      <c r="K4" s="1373"/>
      <c r="L4" s="2724"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1834</v>
      </c>
      <c r="U4" s="1606"/>
      <c r="V4" s="1605">
        <f t="shared" ca="1" si="1"/>
        <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2819</v>
      </c>
      <c r="C5" s="917">
        <f>ROUND(IF(E2="商业",IF(F16="增加",C6*C7+C16,C6*C7-C16),IF(E2="住宅",IF(F16="增加",C6*C12+C16,C6*C12-C16),IF(F16="增加",C6+C16,C6-C16))),0)</f>
        <v>1447</v>
      </c>
      <c r="D5" s="1790">
        <f>ROUND(IF(E2="商业",IF(F16="增加",C6+C16,C6-C16)),0)</f>
        <v>0</v>
      </c>
      <c r="E5" s="2729"/>
      <c r="F5" s="2729"/>
      <c r="G5" s="2730"/>
      <c r="H5" s="2730"/>
      <c r="I5" s="2730"/>
      <c r="J5" s="2731"/>
      <c r="K5" s="2732"/>
      <c r="L5" s="2724"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1471</v>
      </c>
      <c r="U5" s="1606"/>
      <c r="V5" s="1605">
        <f t="shared" ca="1" si="1"/>
        <v>0</v>
      </c>
      <c r="W5" s="1609"/>
      <c r="X5" s="1609"/>
      <c r="Y5" s="1609"/>
      <c r="Z5" s="1609"/>
      <c r="AA5" s="1609"/>
      <c r="AB5" s="1609"/>
      <c r="AC5" s="2733"/>
      <c r="AD5" s="2734"/>
      <c r="AE5" s="2734"/>
      <c r="AF5" s="2734"/>
      <c r="AG5" s="2734"/>
      <c r="AH5" s="2734"/>
      <c r="AI5" s="2734"/>
      <c r="AJ5" s="2735"/>
    </row>
    <row r="6" spans="1:36" ht="15.75" thickBot="1">
      <c r="A6" s="2737" t="s">
        <v>2821</v>
      </c>
      <c r="B6" s="2738" t="s">
        <v>2822</v>
      </c>
      <c r="C6" s="918">
        <f>SUMIF(L1:L12,G2,M1:M12)</f>
        <v>1480</v>
      </c>
      <c r="D6" s="2739" t="s">
        <v>2823</v>
      </c>
      <c r="E6" s="2740"/>
      <c r="F6" s="2740"/>
      <c r="G6" s="2741"/>
      <c r="H6" s="2741"/>
      <c r="I6" s="2741"/>
      <c r="J6" s="2742"/>
      <c r="K6" s="1845"/>
      <c r="L6" s="2724"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1253</v>
      </c>
      <c r="U6" s="1606"/>
      <c r="V6" s="1605">
        <f t="shared" ca="1" si="1"/>
        <v>0</v>
      </c>
      <c r="W6" s="1609"/>
      <c r="X6" s="1609"/>
      <c r="Y6" s="1609"/>
      <c r="Z6" s="1609"/>
      <c r="AA6" s="1609"/>
      <c r="AB6" s="1609"/>
      <c r="AC6" s="2733"/>
      <c r="AD6" s="2734"/>
      <c r="AE6" s="2734"/>
      <c r="AF6" s="2734"/>
      <c r="AG6" s="2734"/>
      <c r="AH6" s="2734"/>
      <c r="AI6" s="2734"/>
      <c r="AJ6" s="2735"/>
    </row>
    <row r="7" spans="1:36" ht="24">
      <c r="A7" s="3189" t="str">
        <f>IF(E2="商业",IF(C8="不临58条商业街","",2),"")</f>
        <v/>
      </c>
      <c r="B7" s="2743" t="s">
        <v>2825</v>
      </c>
      <c r="C7" s="919" t="e">
        <f>IF(C8="不临58条商业街",1,ROUND(1+(1.6*E8+1.2*E9+0.8*E10+0.4*E11)*C9,4))</f>
        <v>#DIV/0!</v>
      </c>
      <c r="D7" s="2744" t="s">
        <v>2826</v>
      </c>
      <c r="E7" s="948"/>
      <c r="F7" s="2745"/>
      <c r="G7" s="2746"/>
      <c r="H7" s="2746"/>
      <c r="I7" s="2746"/>
      <c r="J7" s="2747"/>
      <c r="K7" s="1845"/>
      <c r="L7" s="2724" t="s">
        <v>2827</v>
      </c>
      <c r="M7" s="1084">
        <f>SUMPRODUCT((区片价!B158:B205=I2)*(区片价!C3:F3=E2)*(区片价!C158:F205))</f>
        <v>1480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1102</v>
      </c>
      <c r="U7" s="1606"/>
      <c r="V7" s="1605">
        <f t="shared" ca="1" si="1"/>
        <v>0</v>
      </c>
      <c r="W7" s="1819" t="s">
        <v>2828</v>
      </c>
      <c r="X7" s="1607" t="str">
        <f>G2</f>
        <v>七级</v>
      </c>
      <c r="Y7" s="1607" t="s">
        <v>2829</v>
      </c>
      <c r="Z7" s="1608">
        <f>G3</f>
        <v>1.07</v>
      </c>
      <c r="AA7" s="1609"/>
      <c r="AB7" s="1609"/>
      <c r="AC7" s="1610"/>
      <c r="AD7" s="1611"/>
      <c r="AE7" s="1611"/>
      <c r="AF7" s="1611"/>
      <c r="AG7" s="1611"/>
      <c r="AH7" s="1611"/>
      <c r="AI7" s="1611"/>
      <c r="AJ7" s="1612"/>
    </row>
    <row r="8" spans="1:36" ht="15">
      <c r="A8" s="3190"/>
      <c r="B8" s="198" t="s">
        <v>2830</v>
      </c>
      <c r="C8" s="2748"/>
      <c r="D8" s="920" t="s">
        <v>139</v>
      </c>
      <c r="E8" s="921" t="e">
        <f>ROUND(C11/E7,4)</f>
        <v>#DIV/0!</v>
      </c>
      <c r="F8" s="2749" t="s">
        <v>2831</v>
      </c>
      <c r="G8" s="2750"/>
      <c r="H8" s="2750"/>
      <c r="I8" s="2750"/>
      <c r="J8" s="2751"/>
      <c r="K8" s="1373"/>
      <c r="L8" s="2724"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2" t="s">
        <v>2833</v>
      </c>
      <c r="X8" s="318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90"/>
      <c r="B9" s="198" t="s">
        <v>2846</v>
      </c>
      <c r="C9" s="922">
        <f>SUMIF(修正!C59:C119,C8,修正!E59:E119)</f>
        <v>0</v>
      </c>
      <c r="D9" s="200" t="s">
        <v>140</v>
      </c>
      <c r="E9" s="200" t="e">
        <f>ROUND(C11/E7,4)</f>
        <v>#DIV/0!</v>
      </c>
      <c r="F9" s="2749" t="s">
        <v>2847</v>
      </c>
      <c r="G9" s="2750"/>
      <c r="H9" s="2750"/>
      <c r="I9" s="2750"/>
      <c r="J9" s="2751"/>
      <c r="K9" s="1373"/>
      <c r="L9" s="2724"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4"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0"/>
      <c r="B10" s="198" t="s">
        <v>2851</v>
      </c>
      <c r="C10" s="200">
        <f>SUMIF(修正!C59:C119,C8,修正!F59:F119)</f>
        <v>0</v>
      </c>
      <c r="D10" s="200" t="s">
        <v>141</v>
      </c>
      <c r="E10" s="200" t="e">
        <f>ROUND(C11/E7,4)</f>
        <v>#DIV/0!</v>
      </c>
      <c r="F10" s="2749" t="s">
        <v>2852</v>
      </c>
      <c r="G10" s="2750"/>
      <c r="H10" s="2750"/>
      <c r="I10" s="2750"/>
      <c r="J10" s="2751"/>
      <c r="K10" s="1373"/>
      <c r="L10" s="2724"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0"/>
      <c r="B11" s="2752" t="s">
        <v>2854</v>
      </c>
      <c r="C11" s="923">
        <f>C10/4</f>
        <v>0</v>
      </c>
      <c r="D11" s="923" t="s">
        <v>142</v>
      </c>
      <c r="E11" s="923" t="e">
        <f>ROUND(C11/E7,4)</f>
        <v>#DIV/0!</v>
      </c>
      <c r="F11" s="2753" t="s">
        <v>2855</v>
      </c>
      <c r="G11" s="2754"/>
      <c r="H11" s="2754"/>
      <c r="I11" s="2754"/>
      <c r="J11" s="2755"/>
      <c r="K11" s="1373"/>
      <c r="L11" s="2724"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4" t="s">
        <v>2857</v>
      </c>
      <c r="X11" s="1617" t="s">
        <v>2858</v>
      </c>
      <c r="Y11" s="1618">
        <f>$G$3</f>
        <v>1.07</v>
      </c>
      <c r="Z11" s="1618">
        <f t="shared" ref="Z11:AJ11" si="3">$G$3</f>
        <v>1.07</v>
      </c>
      <c r="AA11" s="1618">
        <f t="shared" si="3"/>
        <v>1.07</v>
      </c>
      <c r="AB11" s="1618">
        <f t="shared" si="3"/>
        <v>1.07</v>
      </c>
      <c r="AC11" s="1618">
        <f t="shared" si="3"/>
        <v>1.07</v>
      </c>
      <c r="AD11" s="1618">
        <f t="shared" si="3"/>
        <v>1.07</v>
      </c>
      <c r="AE11" s="1618">
        <f t="shared" si="3"/>
        <v>1.07</v>
      </c>
      <c r="AF11" s="1618">
        <f t="shared" si="3"/>
        <v>1.07</v>
      </c>
      <c r="AG11" s="1618">
        <f t="shared" si="3"/>
        <v>1.07</v>
      </c>
      <c r="AH11" s="1618">
        <f t="shared" si="3"/>
        <v>1.07</v>
      </c>
      <c r="AI11" s="1618">
        <f t="shared" si="3"/>
        <v>1.07</v>
      </c>
      <c r="AJ11" s="1618">
        <f t="shared" si="3"/>
        <v>1.07</v>
      </c>
    </row>
    <row r="12" spans="1:36" ht="25.5" thickBot="1">
      <c r="A12" s="3189" t="s">
        <v>2859</v>
      </c>
      <c r="B12" s="2756" t="s">
        <v>2860</v>
      </c>
      <c r="C12" s="919">
        <f>ROUND(C15*D15*E15*F15*G15*H15*I15*J15,4)</f>
        <v>1</v>
      </c>
      <c r="D12" s="2757" t="s">
        <v>2861</v>
      </c>
      <c r="E12" s="2758"/>
      <c r="F12" s="2758"/>
      <c r="G12" s="2759"/>
      <c r="H12" s="2759"/>
      <c r="I12" s="2759"/>
      <c r="J12" s="2760"/>
      <c r="K12" s="1373"/>
      <c r="L12" s="2761"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1"/>
      <c r="B13" s="2762" t="s">
        <v>2864</v>
      </c>
      <c r="C13" s="2763" t="s">
        <v>2865</v>
      </c>
      <c r="D13" s="1811" t="s">
        <v>2866</v>
      </c>
      <c r="E13" s="1811" t="s">
        <v>2867</v>
      </c>
      <c r="F13" s="30" t="s">
        <v>2868</v>
      </c>
      <c r="G13" s="2764" t="s">
        <v>2869</v>
      </c>
      <c r="H13" s="2764" t="s">
        <v>2869</v>
      </c>
      <c r="I13" s="2764" t="s">
        <v>2869</v>
      </c>
      <c r="J13" s="2765" t="s">
        <v>2869</v>
      </c>
      <c r="K13" s="1373"/>
      <c r="L13" s="1373"/>
      <c r="M13" s="1373"/>
      <c r="N13" s="1373"/>
      <c r="O13" s="1373"/>
      <c r="P13" s="1373"/>
      <c r="Q13" s="1373"/>
      <c r="R13" s="1605">
        <v>12</v>
      </c>
      <c r="S13" s="1606"/>
      <c r="T13" s="1605">
        <f t="shared" ca="1" si="0"/>
        <v>0</v>
      </c>
      <c r="U13" s="1606"/>
      <c r="V13" s="1605">
        <f t="shared" ca="1" si="1"/>
        <v>0</v>
      </c>
      <c r="W13" s="3184"/>
      <c r="X13" s="1619"/>
      <c r="Y13" s="1616">
        <f>(-0.163*(Y12^2)-0.59*Y12+7617)*(10^(-4))/Y11</f>
        <v>0.71186915887850466</v>
      </c>
      <c r="Z13" s="1616">
        <f t="shared" ref="Z13:AJ13" si="5">(-0.163*(Z12^2)-0.59*Z12+7617)*(10^(-4))/Z11</f>
        <v>0.71186915887850466</v>
      </c>
      <c r="AA13" s="1616">
        <f t="shared" si="5"/>
        <v>0.71186915887850466</v>
      </c>
      <c r="AB13" s="1616">
        <f t="shared" si="5"/>
        <v>0.71186915887850466</v>
      </c>
      <c r="AC13" s="1616">
        <f t="shared" si="5"/>
        <v>0.71186915887850466</v>
      </c>
      <c r="AD13" s="1616">
        <f t="shared" si="5"/>
        <v>0.71186915887850466</v>
      </c>
      <c r="AE13" s="1616">
        <f t="shared" si="5"/>
        <v>0.71186915887850466</v>
      </c>
      <c r="AF13" s="1616">
        <f t="shared" si="5"/>
        <v>0.71186915887850466</v>
      </c>
      <c r="AG13" s="1616">
        <f t="shared" si="5"/>
        <v>0.71186915887850466</v>
      </c>
      <c r="AH13" s="1616">
        <f t="shared" si="5"/>
        <v>0.71186915887850466</v>
      </c>
      <c r="AI13" s="1616">
        <f t="shared" si="5"/>
        <v>0.71186915887850466</v>
      </c>
      <c r="AJ13" s="1616">
        <f t="shared" si="5"/>
        <v>0.71186915887850466</v>
      </c>
    </row>
    <row r="14" spans="1:36" ht="15">
      <c r="A14" s="3191"/>
      <c r="B14" s="2766"/>
      <c r="C14" s="2767"/>
      <c r="D14" s="2768"/>
      <c r="E14" s="2768"/>
      <c r="F14" s="2769"/>
      <c r="G14" s="2770" t="s">
        <v>2870</v>
      </c>
      <c r="H14" s="2771"/>
      <c r="I14" s="2772"/>
      <c r="J14" s="2773"/>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2"/>
      <c r="B15" s="2774" t="s">
        <v>2871</v>
      </c>
      <c r="C15" s="229">
        <f>IF(C14="有",1.1,1)</f>
        <v>1</v>
      </c>
      <c r="D15" s="229">
        <f>IF(D14="有",1.1,1)</f>
        <v>1</v>
      </c>
      <c r="E15" s="229">
        <f>IF(E14="有",1.1,1)</f>
        <v>1</v>
      </c>
      <c r="F15" s="229">
        <f>IF(F14="500米范围内",1.2,IF(F14="500-1000米",1.1,1))</f>
        <v>1</v>
      </c>
      <c r="G15" s="949">
        <v>1</v>
      </c>
      <c r="H15" s="949">
        <v>1</v>
      </c>
      <c r="I15" s="949">
        <v>1</v>
      </c>
      <c r="J15" s="950">
        <v>1</v>
      </c>
      <c r="K15" s="1373"/>
      <c r="L15" s="2775" t="s">
        <v>2807</v>
      </c>
      <c r="M15" s="920" t="s">
        <v>2872</v>
      </c>
      <c r="N15" s="920" t="s">
        <v>2873</v>
      </c>
      <c r="O15" s="920" t="s">
        <v>2874</v>
      </c>
      <c r="P15" s="2776"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9" t="s">
        <v>2876</v>
      </c>
      <c r="B16" s="2743" t="s">
        <v>2877</v>
      </c>
      <c r="C16" s="1804">
        <f>ROUND(SUM(G17:J17)/C17,0)</f>
        <v>33</v>
      </c>
      <c r="D16" s="2777" t="s">
        <v>2878</v>
      </c>
      <c r="E16" s="2778" t="s">
        <v>3081</v>
      </c>
      <c r="F16" s="2779" t="s">
        <v>3082</v>
      </c>
      <c r="G16" s="2780" t="s">
        <v>3110</v>
      </c>
      <c r="H16" s="2780"/>
      <c r="I16" s="2780"/>
      <c r="J16" s="2781"/>
      <c r="K16" s="1373"/>
      <c r="L16" s="2782"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0"/>
      <c r="B17" s="2783" t="s">
        <v>2880</v>
      </c>
      <c r="C17" s="924">
        <f>SUMPRODUCT((修正!A2:A5=E2)*(修正!B1:M1=G2)*(修正!B2:M5))</f>
        <v>1.2</v>
      </c>
      <c r="D17" s="2784" t="s">
        <v>2881</v>
      </c>
      <c r="E17" s="923" t="str">
        <f>IF(OR(G2="八级",G2="九级",G2="十级",G2="十一级",G2="十二级"),"五通一平","七通一平")</f>
        <v>七通一平</v>
      </c>
      <c r="F17" s="924" t="s">
        <v>2882</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5"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2884</v>
      </c>
      <c r="C18" s="926">
        <f>SUMIF(修正!C18:C39,E3,修正!E18:E39)</f>
        <v>1</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9.25" thickBot="1">
      <c r="A19" s="2787" t="s">
        <v>809</v>
      </c>
      <c r="B19" s="2788" t="s">
        <v>2885</v>
      </c>
      <c r="C19" s="927">
        <f>ROUND(IF(H19="按公示增长率计算",SUMPRODUCT((地价!A3:A23=YEAR(G19)&amp;"-"&amp;ROUNDUP(MONTH(G19)/3,0))*(地价!X2:AB2=E2)*(地价!X3:AB23)),IF(H19="地价指数",M20/M19,(1+I19)^O19)),4)</f>
        <v>1.2557</v>
      </c>
      <c r="D19" s="2795" t="s">
        <v>2886</v>
      </c>
      <c r="E19" s="928">
        <v>41640</v>
      </c>
      <c r="F19" s="2795" t="s">
        <v>2887</v>
      </c>
      <c r="G19" s="929">
        <f>'数据-取费表'!B2</f>
        <v>43294</v>
      </c>
      <c r="H19" s="2796" t="s">
        <v>3084</v>
      </c>
      <c r="I19" s="930" t="str">
        <f>IF(H19="季度增幅（自定义）",SUMIF(N21:N24,E2,O21:O24),"")</f>
        <v/>
      </c>
      <c r="J19" s="2793"/>
      <c r="K19" s="1380"/>
      <c r="L19" s="2797" t="s">
        <v>2888</v>
      </c>
      <c r="M19" s="1737">
        <f>ROUND(SUMIF(地价!B2:F2,E2,地价!B23:F23),0)</f>
        <v>230</v>
      </c>
      <c r="N19" s="2798"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2890</v>
      </c>
      <c r="C20" s="932">
        <f ca="1">ROUND(POWER(1+G20,J20-I20)*(POWER(1+G20,I20)-1)/(POWER(1+G20,J20)-1),4)</f>
        <v>0.88949999999999996</v>
      </c>
      <c r="D20" s="2804" t="s">
        <v>2891</v>
      </c>
      <c r="E20" s="1771">
        <f ca="1">存贷款利率!D4/100</f>
        <v>4.3499999999999997E-2</v>
      </c>
      <c r="F20" s="2804" t="s">
        <v>2883</v>
      </c>
      <c r="G20" s="937">
        <f ca="1">SUMIF(M15:P15,E2,M17:P17)</f>
        <v>4.8000000000000001E-2</v>
      </c>
      <c r="H20" s="2804" t="s">
        <v>2892</v>
      </c>
      <c r="I20" s="938">
        <f>SUMIF('数据-取费表'!C6:C15,E2,'数据-取费表'!F6:F15)/COUNTIF('数据-取费表'!C6:C15,E2)</f>
        <v>34.78</v>
      </c>
      <c r="J20" s="939">
        <f>IF(E2="住宅",70,IF(E2="商业",40,50))</f>
        <v>50</v>
      </c>
      <c r="K20" s="1380"/>
      <c r="L20" s="2805" t="s">
        <v>2893</v>
      </c>
      <c r="M20" s="1738">
        <f>ROUND(SUMPRODUCT((地价!A4:A23=YEAR(G19)&amp;"-"&amp;ROUNDUP(MONTH(G19)/3,0))*(地价!B2:F2=E2)*(地价!B4:F23)),0)</f>
        <v>289</v>
      </c>
      <c r="N20" s="2806" t="s">
        <v>2894</v>
      </c>
      <c r="O20" s="2807" t="s">
        <v>2895</v>
      </c>
      <c r="P20" s="2808" t="s">
        <v>2896</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3085</v>
      </c>
      <c r="C21" s="940">
        <f>IF(B21="容积率修正",IF(G3&lt;=10,D22,J22),C23)</f>
        <v>1.0681</v>
      </c>
      <c r="D21" s="2811"/>
      <c r="E21" s="2811"/>
      <c r="F21" s="2811"/>
      <c r="G21" s="2811"/>
      <c r="H21" s="2811"/>
      <c r="I21" s="2811"/>
      <c r="J21" s="2812"/>
      <c r="K21" s="1380"/>
      <c r="N21" s="2813" t="s">
        <v>2897</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6" customFormat="1" ht="14.25">
      <c r="A22" s="2662" t="s">
        <v>2898</v>
      </c>
      <c r="B22" s="2814" t="s">
        <v>2899</v>
      </c>
      <c r="C22" s="1813" t="s">
        <v>2900</v>
      </c>
      <c r="D22" s="1813">
        <f>IF(E22=G22,F22,IF(G3&lt;=10,ROUND(F22+(H22-F22)*(G3-E22)/(G22-E22),4),"——"))</f>
        <v>1.0681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813" t="s">
        <v>155</v>
      </c>
      <c r="J22" s="941" t="str">
        <f>IF(G3&gt;10,D113,"——")</f>
        <v>——</v>
      </c>
      <c r="K22" s="1380"/>
      <c r="N22" s="2813" t="s">
        <v>2901</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2" t="s">
        <v>2902</v>
      </c>
      <c r="B23" s="2815" t="s">
        <v>2903</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2904</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2905</v>
      </c>
      <c r="C24" s="927">
        <f>SUMIF(A45:A88,E2,B45:B88)</f>
        <v>1.0518000000000001</v>
      </c>
      <c r="D24" s="2791"/>
      <c r="E24" s="2821"/>
      <c r="F24" s="2821"/>
      <c r="G24" s="2821"/>
      <c r="H24" s="2821"/>
      <c r="I24" s="2821"/>
      <c r="J24" s="2822"/>
      <c r="K24" s="1380"/>
      <c r="N24" s="2823" t="s">
        <v>2906</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2907</v>
      </c>
      <c r="C25" s="933"/>
      <c r="D25" s="2746"/>
      <c r="E25" s="2746"/>
      <c r="F25" s="2825"/>
      <c r="G25" s="2746"/>
      <c r="H25" s="2746"/>
      <c r="I25" s="2746"/>
      <c r="J25" s="2747"/>
      <c r="K25" s="1373"/>
      <c r="N25" s="2826" t="s">
        <v>2908</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7"/>
      <c r="B26" s="2814" t="s">
        <v>2909</v>
      </c>
      <c r="C26" s="206">
        <f ca="1">E29+SUM(E33:E39)</f>
        <v>741</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2910</v>
      </c>
      <c r="C27" s="934">
        <f ca="1">E30+SUM(I33:I39)</f>
        <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2911</v>
      </c>
      <c r="C28" s="2838" t="s">
        <v>2912</v>
      </c>
      <c r="D28" s="2838" t="s">
        <v>2913</v>
      </c>
      <c r="E28" s="2839" t="s">
        <v>2914</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2915</v>
      </c>
      <c r="C29" s="206">
        <f ca="1">ROUND(C5*C18*C19*C20*C21*C24,0)</f>
        <v>1816</v>
      </c>
      <c r="D29" s="2843">
        <f>'数据-汇总表'!F19</f>
        <v>4081.21</v>
      </c>
      <c r="E29" s="945">
        <f ca="1">ROUND(C29*D29/10000,0)</f>
        <v>741</v>
      </c>
      <c r="F29" s="2844" t="s">
        <v>2916</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2917</v>
      </c>
      <c r="C30" s="229">
        <f ca="1">ROUND(IF(E2="工业",C29*M39,C29*M38),0)</f>
        <v>272</v>
      </c>
      <c r="D30" s="2849"/>
      <c r="E30" s="945">
        <f ca="1">ROUND(C30*D30/10000,0)</f>
        <v>0</v>
      </c>
      <c r="F30" s="2850" t="s">
        <v>2918</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199" t="s">
        <v>2923</v>
      </c>
      <c r="B33" s="2859" t="s">
        <v>2924</v>
      </c>
      <c r="C33" s="206">
        <f ca="1">ROUND(D5*C19*C20*C24*F33,0)</f>
        <v>0</v>
      </c>
      <c r="D33" s="2843"/>
      <c r="E33" s="200">
        <f ca="1">ROUND(C33*D33/10000,0)</f>
        <v>0</v>
      </c>
      <c r="F33" s="200">
        <f>SUMIF(修正!A45:A56,G2,修正!B45:B56)</f>
        <v>0.7</v>
      </c>
      <c r="G33" s="200">
        <f t="shared" ref="G33" ca="1" si="6">ROUND(IF(E2="工业",C33*$M$39,C33*$M$38),0)</f>
        <v>0</v>
      </c>
      <c r="H33" s="200">
        <f>D33</f>
        <v>0</v>
      </c>
      <c r="I33" s="200">
        <f ca="1">ROUND(G33*H33/10000,0)</f>
        <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0"/>
      <c r="B34" s="2763" t="s">
        <v>2925</v>
      </c>
      <c r="C34" s="206">
        <f ca="1">ROUND(D5*C19*C20*C24*F34,0)</f>
        <v>0</v>
      </c>
      <c r="D34" s="2843"/>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0"/>
      <c r="B35" s="2763" t="s">
        <v>2926</v>
      </c>
      <c r="C35" s="206">
        <f ca="1">ROUND(D5*C19*C20*C24*F35,0)</f>
        <v>0</v>
      </c>
      <c r="D35" s="2843"/>
      <c r="E35" s="200">
        <f t="shared" ca="1" si="7"/>
        <v>0</v>
      </c>
      <c r="F35" s="200">
        <f>SUMIF(修正!A45:A56,G2,修正!D45:D56)</f>
        <v>0.28000000000000003</v>
      </c>
      <c r="G35" s="200">
        <f ca="1">ROUND(IF(E2="工业",C35*$M$39,C35*$M$38),0)</f>
        <v>0</v>
      </c>
      <c r="H35" s="200">
        <f t="shared" si="8"/>
        <v>0</v>
      </c>
      <c r="I35" s="200">
        <f t="shared" ca="1" si="9"/>
        <v>0</v>
      </c>
      <c r="J35" s="2860"/>
      <c r="K35" s="1373"/>
      <c r="L35" s="1373"/>
      <c r="M35" s="1373"/>
      <c r="N35" s="1373"/>
      <c r="O35" s="1373"/>
      <c r="P35" s="1373"/>
      <c r="Q35" s="1373"/>
      <c r="R35" s="1373"/>
      <c r="S35" s="1373"/>
      <c r="T35" s="1373"/>
      <c r="U35" s="1373"/>
      <c r="V35" s="1373"/>
      <c r="W35" s="1373"/>
      <c r="X35" s="1373"/>
      <c r="Y35" s="1373"/>
      <c r="Z35" s="1374"/>
    </row>
    <row r="36" spans="1:37" ht="13.5" thickBot="1">
      <c r="A36" s="3201"/>
      <c r="B36" s="2763" t="s">
        <v>2927</v>
      </c>
      <c r="C36" s="206">
        <f ca="1">ROUND(D5*C19*C20*C24*F36,0)</f>
        <v>0</v>
      </c>
      <c r="D36" s="2843"/>
      <c r="E36" s="200">
        <f t="shared" ca="1" si="7"/>
        <v>0</v>
      </c>
      <c r="F36" s="200">
        <f>SUMIF(修正!A45:A56,G2,修正!E45:E56)</f>
        <v>0.25</v>
      </c>
      <c r="G36" s="200">
        <f ca="1">ROUND(IF(E2="工业",C36*$M$39,C36*$M$38),0)</f>
        <v>0</v>
      </c>
      <c r="H36" s="200">
        <f t="shared" si="8"/>
        <v>0</v>
      </c>
      <c r="I36" s="200">
        <f t="shared" ca="1" si="9"/>
        <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2928</v>
      </c>
      <c r="C37" s="200">
        <f ca="1">ROUND(C5*C19*C20*C24*F37,0)</f>
        <v>425</v>
      </c>
      <c r="D37" s="2843"/>
      <c r="E37" s="200">
        <f t="shared" ca="1" si="7"/>
        <v>0</v>
      </c>
      <c r="F37" s="206">
        <f>SUMIF(修正!A45:A56,G2,修正!F45:F56)</f>
        <v>0.25</v>
      </c>
      <c r="G37" s="200">
        <f ca="1">ROUND(IF(E2="工业",C37*$M$39,C37*$M$38),0)</f>
        <v>64</v>
      </c>
      <c r="H37" s="200">
        <f t="shared" si="8"/>
        <v>0</v>
      </c>
      <c r="I37" s="200">
        <f t="shared" ca="1" si="9"/>
        <v>0</v>
      </c>
      <c r="J37" s="2860"/>
      <c r="K37" s="1373"/>
      <c r="L37" s="2862" t="s">
        <v>2929</v>
      </c>
      <c r="M37" s="2863"/>
      <c r="N37" s="1373"/>
      <c r="O37" s="1373"/>
      <c r="P37" s="1373"/>
      <c r="Q37" s="1373"/>
      <c r="R37" s="1373"/>
      <c r="S37" s="1373"/>
      <c r="T37" s="1373"/>
      <c r="U37" s="1373"/>
      <c r="V37" s="1373"/>
      <c r="W37" s="1373"/>
      <c r="X37" s="1373"/>
      <c r="Y37" s="1373"/>
      <c r="Z37" s="1374"/>
    </row>
    <row r="38" spans="1:37">
      <c r="A38" s="2861"/>
      <c r="B38" s="2763" t="s">
        <v>2930</v>
      </c>
      <c r="C38" s="200">
        <f ca="1">ROUND(C5*C19*C20*C24*F38,0)</f>
        <v>425</v>
      </c>
      <c r="D38" s="2843"/>
      <c r="E38" s="200">
        <f t="shared" ca="1" si="7"/>
        <v>0</v>
      </c>
      <c r="F38" s="206">
        <f>SUMIF(修正!A45:A56,G2,修正!G45:G56)</f>
        <v>0.25</v>
      </c>
      <c r="G38" s="200">
        <f ca="1">ROUND(IF(E2="工业",C38*$M$39,C38*$M$38),0)</f>
        <v>64</v>
      </c>
      <c r="H38" s="200">
        <f t="shared" si="8"/>
        <v>0</v>
      </c>
      <c r="I38" s="200">
        <f t="shared" ca="1" si="9"/>
        <v>0</v>
      </c>
      <c r="J38" s="2860"/>
      <c r="K38" s="1373"/>
      <c r="L38" s="1890" t="s">
        <v>2931</v>
      </c>
      <c r="M38" s="2864">
        <v>0.25</v>
      </c>
      <c r="N38" s="1373"/>
      <c r="O38" s="1373"/>
      <c r="P38" s="1373"/>
      <c r="Q38" s="1373"/>
      <c r="R38" s="1373"/>
      <c r="S38" s="1373"/>
      <c r="T38" s="1373"/>
      <c r="U38" s="1373"/>
      <c r="V38" s="1373"/>
      <c r="W38" s="1373"/>
      <c r="X38" s="1373"/>
      <c r="Y38" s="1373"/>
      <c r="Z38" s="1374"/>
    </row>
    <row r="39" spans="1:37" ht="13.5" thickBot="1">
      <c r="A39" s="2847"/>
      <c r="B39" s="2865" t="s">
        <v>2932</v>
      </c>
      <c r="C39" s="229">
        <f ca="1">ROUND(C5*C19*C20*C24*F39,0)</f>
        <v>340</v>
      </c>
      <c r="D39" s="2849"/>
      <c r="E39" s="229">
        <f t="shared" ca="1" si="7"/>
        <v>0</v>
      </c>
      <c r="F39" s="935">
        <f>SUMIF(修正!A45:A56,G2,修正!H45:H56)</f>
        <v>0.2</v>
      </c>
      <c r="G39" s="229">
        <f ca="1">ROUND(IF(E2="工业",C39*$M$39,C39*$M$38),0)</f>
        <v>51</v>
      </c>
      <c r="H39" s="229">
        <f t="shared" si="8"/>
        <v>0</v>
      </c>
      <c r="I39" s="229">
        <f t="shared" ca="1" si="9"/>
        <v>0</v>
      </c>
      <c r="J39" s="2866"/>
      <c r="K39" s="1373"/>
      <c r="L39" s="2867" t="s">
        <v>2875</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2933</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2934</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2935</v>
      </c>
      <c r="B47" s="1812" t="s">
        <v>2936</v>
      </c>
      <c r="C47" s="1812" t="s">
        <v>2937</v>
      </c>
      <c r="D47" s="1812" t="s">
        <v>2938</v>
      </c>
      <c r="E47" s="819" t="s">
        <v>2939</v>
      </c>
      <c r="F47" s="2877" t="s">
        <v>2940</v>
      </c>
      <c r="G47" s="1812" t="s">
        <v>754</v>
      </c>
      <c r="H47" s="2878" t="s">
        <v>2941</v>
      </c>
      <c r="I47" s="1812"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38.25">
      <c r="A48" s="2876" t="s">
        <v>2943</v>
      </c>
      <c r="B48" s="2879" t="str">
        <f>估价对象房地状况!C4</f>
        <v>估价对象位于XX商圈，周边商业氛围成熟，人流量大，商业繁华度好</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6" t="s">
        <v>2944</v>
      </c>
      <c r="B49" s="2880" t="str">
        <f>估价对象房地状况!C18</f>
        <v>估价对象周边道路状况、公共交通通达情况、停车便捷程度，综合评价交通便捷度较好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2945</v>
      </c>
      <c r="B50" s="2880">
        <f>估价对象房地状况!C19</f>
        <v>0</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2946</v>
      </c>
      <c r="B51" s="2881" t="s">
        <v>2947</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2948</v>
      </c>
      <c r="B52" s="2880">
        <f>估价对象房地状况!C24</f>
        <v>0</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2949</v>
      </c>
      <c r="B53" s="2882" t="s">
        <v>2950</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2951</v>
      </c>
      <c r="B54" s="1728" t="str">
        <f>估价对象房地状况!C21</f>
        <v>估价对象所在区域公共配套设施齐备情况</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2952</v>
      </c>
      <c r="B55" s="2880" t="str">
        <f>估价对象房地状况!C22</f>
        <v>估价对象所在区域基础设施水平</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4" t="s">
        <v>2953</v>
      </c>
      <c r="B56" s="2885" t="str">
        <f>估价对象房地状况!C20</f>
        <v>区域自然环境：；人文环境；综合评价环境状况一般</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2954</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2935</v>
      </c>
      <c r="B58" s="1812"/>
      <c r="C58" s="1812" t="s">
        <v>2937</v>
      </c>
      <c r="D58" s="1812" t="s">
        <v>2938</v>
      </c>
      <c r="E58" s="819" t="s">
        <v>2939</v>
      </c>
      <c r="F58" s="2877" t="s">
        <v>2955</v>
      </c>
      <c r="G58" s="1812" t="s">
        <v>754</v>
      </c>
      <c r="H58" s="2878" t="s">
        <v>2941</v>
      </c>
      <c r="I58" s="1812"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38.25">
      <c r="A59" s="2876" t="s">
        <v>2956</v>
      </c>
      <c r="B59" s="2879" t="str">
        <f>估价对象房地状况!C17</f>
        <v>估价对象位于XX商圈，周边办公楼项目较多，入驻率高，办公集聚程度较好</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6" t="s">
        <v>2944</v>
      </c>
      <c r="B60" s="2880" t="str">
        <f>估价对象房地状况!C18</f>
        <v>估价对象周边道路状况、公共交通通达情况、停车便捷程度，综合评价交通便捷度较好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2945</v>
      </c>
      <c r="B61" s="2880">
        <f>估价对象房地状况!C19</f>
        <v>0</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2946</v>
      </c>
      <c r="B62" s="2881" t="s">
        <v>2947</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2948</v>
      </c>
      <c r="B63" s="2880">
        <f>估价对象房地状况!C24</f>
        <v>0</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2949</v>
      </c>
      <c r="B64" s="2882" t="s">
        <v>2950</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2951</v>
      </c>
      <c r="B65" s="1728" t="str">
        <f>估价对象房地状况!C21</f>
        <v>估价对象所在区域公共配套设施齐备情况</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2952</v>
      </c>
      <c r="B66" s="1728" t="str">
        <f>估价对象房地状况!C22</f>
        <v>估价对象所在区域基础设施水平</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4" t="s">
        <v>2953</v>
      </c>
      <c r="B67" s="2886" t="str">
        <f>估价对象房地状况!C20</f>
        <v>区域自然环境：；人文环境；综合评价环境状况一般</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2957</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2935</v>
      </c>
      <c r="B69" s="1812"/>
      <c r="C69" s="1812" t="s">
        <v>2937</v>
      </c>
      <c r="D69" s="1812" t="s">
        <v>2938</v>
      </c>
      <c r="E69" s="819" t="s">
        <v>2939</v>
      </c>
      <c r="F69" s="2877" t="s">
        <v>2955</v>
      </c>
      <c r="G69" s="1812" t="s">
        <v>754</v>
      </c>
      <c r="H69" s="2878" t="s">
        <v>2941</v>
      </c>
      <c r="I69" s="1812"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51">
      <c r="A70" s="2876" t="s">
        <v>2958</v>
      </c>
      <c r="B70" s="2879" t="str">
        <f>估价对象房地状况!C15</f>
        <v>估价对象周边居住用地比例、居住小区规模和社区发展完善程度，综合评价居住社区成熟度一般</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6" t="s">
        <v>2944</v>
      </c>
      <c r="B71" s="2880" t="str">
        <f>估价对象房地状况!C18</f>
        <v>估价对象周边道路状况、公共交通通达情况、停车便捷程度，综合评价交通便捷度较好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2945</v>
      </c>
      <c r="B72" s="2880">
        <f>估价对象房地状况!C19</f>
        <v>0</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2959</v>
      </c>
      <c r="B73" s="2880">
        <f>估价对象房地状况!C24</f>
        <v>0</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2951</v>
      </c>
      <c r="B74" s="1728" t="str">
        <f>估价对象房地状况!C21</f>
        <v>估价对象所在区域公共配套设施齐备情况</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2952</v>
      </c>
      <c r="B75" s="1728" t="str">
        <f>估价对象房地状况!C22</f>
        <v>估价对象所在区域基础设施水平</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2949</v>
      </c>
      <c r="B76" s="2882" t="s">
        <v>2950</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38.25">
      <c r="A77" s="2876" t="s">
        <v>2953</v>
      </c>
      <c r="B77" s="2879" t="str">
        <f>估价对象房地状况!C20</f>
        <v>区域自然环境：；人文环境；综合评价环境状况一般</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2960</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2961</v>
      </c>
      <c r="B79" s="2873">
        <f>1+E81</f>
        <v>1.0518000000000001</v>
      </c>
      <c r="C79" s="814"/>
      <c r="D79" s="814"/>
      <c r="E79" s="815"/>
      <c r="F79" s="2875"/>
      <c r="G79" s="6"/>
      <c r="H79" s="6"/>
      <c r="I79" s="6"/>
      <c r="J79" s="7"/>
      <c r="K79" s="7"/>
      <c r="L79" s="7"/>
      <c r="M79" s="7"/>
      <c r="N79" s="7"/>
      <c r="Z79" s="2718"/>
      <c r="AA79" s="2794"/>
      <c r="AG79" s="1375"/>
      <c r="AK79" s="2794"/>
    </row>
    <row r="80" spans="1:37" ht="24.75">
      <c r="A80" s="2876" t="s">
        <v>2935</v>
      </c>
      <c r="B80" s="1812"/>
      <c r="C80" s="1812" t="s">
        <v>2937</v>
      </c>
      <c r="D80" s="1812" t="s">
        <v>2938</v>
      </c>
      <c r="E80" s="819" t="s">
        <v>2939</v>
      </c>
      <c r="F80" s="2877" t="s">
        <v>2955</v>
      </c>
      <c r="G80" s="1812" t="s">
        <v>754</v>
      </c>
      <c r="H80" s="2878" t="s">
        <v>2941</v>
      </c>
      <c r="I80" s="1812" t="s">
        <v>2942</v>
      </c>
      <c r="J80" s="603" t="s">
        <v>2590</v>
      </c>
      <c r="K80" s="603" t="s">
        <v>2591</v>
      </c>
      <c r="L80" s="603" t="s">
        <v>2592</v>
      </c>
      <c r="M80" s="603" t="s">
        <v>2593</v>
      </c>
      <c r="N80" s="603" t="s">
        <v>2594</v>
      </c>
      <c r="Z80" s="2718"/>
      <c r="AA80" s="2794"/>
      <c r="AG80" s="1375"/>
      <c r="AK80" s="2794"/>
    </row>
    <row r="81" spans="1:37" ht="38.25">
      <c r="A81" s="2876" t="s">
        <v>2962</v>
      </c>
      <c r="B81" s="2880" t="str">
        <f>估价对象房地状况!G15</f>
        <v>估价对象位于天竺空港工业区，园区建设成熟度较好，产业集聚程度较好</v>
      </c>
      <c r="C81" s="2768" t="s">
        <v>3089</v>
      </c>
      <c r="D81" s="1289">
        <f t="shared" ref="D81:D88" si="25">SUMIF($J$80:$N$80,C81,J81:N81)</f>
        <v>1.6899999999999998E-2</v>
      </c>
      <c r="E81" s="821">
        <f>ROUND(SUM(D81:D88),4)</f>
        <v>5.1799999999999999E-2</v>
      </c>
      <c r="F81" s="2499">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18"/>
      <c r="AA81" s="2794"/>
      <c r="AG81" s="1375"/>
      <c r="AK81" s="2794"/>
    </row>
    <row r="82" spans="1:37" ht="51">
      <c r="A82" s="2876" t="s">
        <v>2944</v>
      </c>
      <c r="B82" s="2880" t="str">
        <f>估价对象房地状况!G16</f>
        <v>估价对象周边道路状况较好、公共交通通达情况较好、停车便捷程度较好，综合评价交通便捷度较好</v>
      </c>
      <c r="C82" s="2768" t="s">
        <v>3089</v>
      </c>
      <c r="D82" s="1289">
        <f t="shared" si="25"/>
        <v>2.1399999999999999E-2</v>
      </c>
      <c r="E82" s="826"/>
      <c r="F82" s="2499"/>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18"/>
      <c r="AA82" s="2794"/>
      <c r="AG82" s="1375"/>
      <c r="AK82" s="2794"/>
    </row>
    <row r="83" spans="1:37" ht="24">
      <c r="A83" s="2876" t="s">
        <v>2945</v>
      </c>
      <c r="B83" s="2880">
        <f>估价对象房地状况!G17</f>
        <v>0</v>
      </c>
      <c r="C83" s="2768" t="s">
        <v>3089</v>
      </c>
      <c r="D83" s="1289">
        <f t="shared" si="25"/>
        <v>3.2000000000000002E-3</v>
      </c>
      <c r="E83" s="826"/>
      <c r="F83" s="2499"/>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18"/>
      <c r="AA83" s="2794"/>
      <c r="AG83" s="1375"/>
      <c r="AK83" s="2794"/>
    </row>
    <row r="84" spans="1:37" ht="14.25">
      <c r="A84" s="2876" t="s">
        <v>2959</v>
      </c>
      <c r="B84" s="2880">
        <f>估价对象房地状况!G22</f>
        <v>0</v>
      </c>
      <c r="C84" s="2768" t="s">
        <v>3092</v>
      </c>
      <c r="D84" s="1289">
        <f t="shared" si="25"/>
        <v>-2.5999999999999999E-3</v>
      </c>
      <c r="E84" s="826"/>
      <c r="F84" s="2499"/>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18"/>
      <c r="AA84" s="2794"/>
      <c r="AG84" s="1375"/>
      <c r="AK84" s="2794"/>
    </row>
    <row r="85" spans="1:37" ht="25.5">
      <c r="A85" s="2876" t="s">
        <v>2951</v>
      </c>
      <c r="B85" s="1728" t="str">
        <f>估价对象房地状况!G19</f>
        <v>估价对象所在区域公共配套设施齐备情况一般</v>
      </c>
      <c r="C85" s="2768" t="s">
        <v>3090</v>
      </c>
      <c r="D85" s="1289">
        <f t="shared" si="25"/>
        <v>0</v>
      </c>
      <c r="E85" s="826"/>
      <c r="F85" s="2499"/>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18"/>
      <c r="AA85" s="2794"/>
      <c r="AG85" s="1375"/>
      <c r="AK85" s="2794"/>
    </row>
    <row r="86" spans="1:37" ht="25.5">
      <c r="A86" s="2876" t="s">
        <v>2952</v>
      </c>
      <c r="B86" s="1728" t="str">
        <f>估价对象房地状况!G20</f>
        <v>估价对象所在区域基础设施水平为六通</v>
      </c>
      <c r="C86" s="2768" t="s">
        <v>3089</v>
      </c>
      <c r="D86" s="1289">
        <f t="shared" si="25"/>
        <v>9.7000000000000003E-3</v>
      </c>
      <c r="E86" s="826"/>
      <c r="F86" s="2499"/>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18"/>
      <c r="AA86" s="2794"/>
      <c r="AG86" s="1375"/>
      <c r="AK86" s="2794"/>
    </row>
    <row r="87" spans="1:37" ht="24">
      <c r="A87" s="2876" t="s">
        <v>2949</v>
      </c>
      <c r="B87" s="2990" t="s">
        <v>3115</v>
      </c>
      <c r="C87" s="2768" t="s">
        <v>3089</v>
      </c>
      <c r="D87" s="1289">
        <f t="shared" si="25"/>
        <v>3.2000000000000002E-3</v>
      </c>
      <c r="E87" s="826"/>
      <c r="F87" s="2499"/>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18"/>
      <c r="AA87" s="2794"/>
      <c r="AG87" s="1375"/>
      <c r="AK87" s="2794"/>
    </row>
    <row r="88" spans="1:37" ht="39" thickBot="1">
      <c r="A88" s="2884" t="s">
        <v>2963</v>
      </c>
      <c r="B88" s="2889" t="str">
        <f>估价对象房地状况!G18</f>
        <v>该园区内无污染型企业，绿化情况一般，卫生条件一般，整体环境状况一般</v>
      </c>
      <c r="C88" s="2768" t="s">
        <v>3090</v>
      </c>
      <c r="D88" s="1289">
        <f t="shared" si="25"/>
        <v>0</v>
      </c>
      <c r="E88" s="827"/>
      <c r="F88" s="2499"/>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18"/>
      <c r="AA88" s="2794"/>
      <c r="AG88" s="1375"/>
      <c r="AK88" s="2794"/>
    </row>
    <row r="90" spans="1:37">
      <c r="A90" s="3193" t="s">
        <v>2964</v>
      </c>
      <c r="B90" s="3193"/>
      <c r="C90" s="3193"/>
      <c r="D90" s="3193"/>
      <c r="E90" s="3193"/>
      <c r="F90" s="3193"/>
      <c r="G90" s="3193"/>
      <c r="H90" s="3193"/>
      <c r="I90" s="3193"/>
      <c r="J90" s="3193"/>
      <c r="K90" s="2890"/>
      <c r="L90" s="2890"/>
      <c r="M90" s="2890"/>
      <c r="N90" s="2890"/>
    </row>
    <row r="91" spans="1:37">
      <c r="A91" s="3195" t="s">
        <v>2965</v>
      </c>
      <c r="B91" s="3195" t="s">
        <v>2966</v>
      </c>
      <c r="C91" s="2844" t="s">
        <v>2967</v>
      </c>
      <c r="D91" s="2845"/>
      <c r="E91" s="2845"/>
      <c r="F91" s="2845"/>
      <c r="G91" s="2845"/>
      <c r="H91" s="2845"/>
      <c r="I91" s="2845"/>
      <c r="J91" s="2891"/>
      <c r="K91" s="2892"/>
      <c r="L91" s="2892"/>
      <c r="M91" s="2892"/>
      <c r="N91" s="2892"/>
    </row>
    <row r="92" spans="1:37">
      <c r="A92" s="3195"/>
      <c r="B92" s="3195"/>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96"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97"/>
      <c r="B99" s="2893" t="s">
        <v>2850</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1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96" t="s">
        <v>2969</v>
      </c>
      <c r="B101" s="2897" t="s">
        <v>2970</v>
      </c>
      <c r="C101" s="2898">
        <f>$G$3</f>
        <v>1.07</v>
      </c>
      <c r="D101" s="2898">
        <f t="shared" ref="D101:N101" si="32">$G$3</f>
        <v>1.07</v>
      </c>
      <c r="E101" s="2898">
        <f t="shared" si="32"/>
        <v>1.07</v>
      </c>
      <c r="F101" s="2898">
        <f t="shared" si="32"/>
        <v>1.07</v>
      </c>
      <c r="G101" s="2898">
        <f t="shared" si="32"/>
        <v>1.07</v>
      </c>
      <c r="H101" s="2898">
        <f t="shared" si="32"/>
        <v>1.07</v>
      </c>
      <c r="I101" s="2898">
        <f t="shared" si="32"/>
        <v>1.07</v>
      </c>
      <c r="J101" s="2898">
        <f t="shared" si="32"/>
        <v>1.07</v>
      </c>
      <c r="K101" s="2898">
        <f t="shared" si="32"/>
        <v>1.07</v>
      </c>
      <c r="L101" s="2898">
        <f t="shared" si="32"/>
        <v>1.07</v>
      </c>
      <c r="M101" s="2898">
        <f t="shared" si="32"/>
        <v>1.07</v>
      </c>
      <c r="N101" s="2898">
        <f t="shared" si="32"/>
        <v>1.07</v>
      </c>
    </row>
    <row r="102" spans="1:14">
      <c r="A102" s="3197"/>
      <c r="B102" s="2893">
        <v>1</v>
      </c>
      <c r="C102" s="2894">
        <f>1.9362/C101</f>
        <v>1.8095327102803735</v>
      </c>
      <c r="D102" s="2894">
        <f>1.9362/D101</f>
        <v>1.8095327102803735</v>
      </c>
      <c r="E102" s="2894">
        <f>1.8629/E101</f>
        <v>1.7410280373831775</v>
      </c>
      <c r="F102" s="2894">
        <f>1.8629/F101</f>
        <v>1.7410280373831775</v>
      </c>
      <c r="G102" s="2894">
        <f>1.8629/G101</f>
        <v>1.7410280373831775</v>
      </c>
      <c r="H102" s="2894">
        <f>1.8629/H101</f>
        <v>1.7410280373831775</v>
      </c>
      <c r="I102" s="2894">
        <f>1.8629/I101</f>
        <v>1.7410280373831775</v>
      </c>
      <c r="J102" s="2894">
        <f>1.942/J101</f>
        <v>1.8149532710280372</v>
      </c>
      <c r="K102" s="2894">
        <f>1.942/K101</f>
        <v>1.8149532710280372</v>
      </c>
      <c r="L102" s="2894">
        <f>1.942/L101</f>
        <v>1.8149532710280372</v>
      </c>
      <c r="M102" s="2894">
        <f>1.942/M101</f>
        <v>1.8149532710280372</v>
      </c>
      <c r="N102" s="2894">
        <f>1.942/N101</f>
        <v>1.8149532710280372</v>
      </c>
    </row>
    <row r="103" spans="1:14">
      <c r="A103" s="3197"/>
      <c r="B103" s="2893">
        <v>2</v>
      </c>
      <c r="C103" s="2894">
        <f>1.4198/C101</f>
        <v>1.3269158878504672</v>
      </c>
      <c r="D103" s="2894">
        <f>1.4198/D101</f>
        <v>1.3269158878504672</v>
      </c>
      <c r="E103" s="2894">
        <f>1.3372/E101</f>
        <v>1.2497196261682242</v>
      </c>
      <c r="F103" s="2894">
        <f>1.3372/F101</f>
        <v>1.2497196261682242</v>
      </c>
      <c r="G103" s="2894">
        <f>1.3372/G101</f>
        <v>1.2497196261682242</v>
      </c>
      <c r="H103" s="2894">
        <f>1.3372/H101</f>
        <v>1.2497196261682242</v>
      </c>
      <c r="I103" s="2894">
        <f>1.3372/I101</f>
        <v>1.2497196261682242</v>
      </c>
      <c r="J103" s="2894">
        <f>1.2799/J101</f>
        <v>1.1961682242990654</v>
      </c>
      <c r="K103" s="2894">
        <f>1.2799/K101</f>
        <v>1.1961682242990654</v>
      </c>
      <c r="L103" s="2894">
        <f>1.2799/L101</f>
        <v>1.1961682242990654</v>
      </c>
      <c r="M103" s="2894">
        <f>1.2799/M101</f>
        <v>1.1961682242990654</v>
      </c>
      <c r="N103" s="2894">
        <f>1.2799/N101</f>
        <v>1.1961682242990654</v>
      </c>
    </row>
    <row r="104" spans="1:14">
      <c r="A104" s="3197"/>
      <c r="B104" s="2893">
        <v>3</v>
      </c>
      <c r="C104" s="2894">
        <f>1.1594/C101</f>
        <v>1.0835514018691588</v>
      </c>
      <c r="D104" s="2894">
        <f>1.1594/D101</f>
        <v>1.0835514018691588</v>
      </c>
      <c r="E104" s="2894">
        <f>1.0788/E101</f>
        <v>1.0082242990654204</v>
      </c>
      <c r="F104" s="2894">
        <f>1.0788/F101</f>
        <v>1.0082242990654204</v>
      </c>
      <c r="G104" s="2894">
        <f>1.0788/G101</f>
        <v>1.0082242990654204</v>
      </c>
      <c r="H104" s="2894">
        <f>1.0788/H101</f>
        <v>1.0082242990654204</v>
      </c>
      <c r="I104" s="2894">
        <f>1.0788/I101</f>
        <v>1.0082242990654204</v>
      </c>
      <c r="J104" s="2894">
        <f>1.0072/J101</f>
        <v>0.94130841121495334</v>
      </c>
      <c r="K104" s="2894">
        <f>1.0072/K101</f>
        <v>0.94130841121495334</v>
      </c>
      <c r="L104" s="2894">
        <f>1.0072/L101</f>
        <v>0.94130841121495334</v>
      </c>
      <c r="M104" s="2894">
        <f>1.0072/M101</f>
        <v>0.94130841121495334</v>
      </c>
      <c r="N104" s="2894">
        <f>1.0072/N101</f>
        <v>0.94130841121495334</v>
      </c>
    </row>
    <row r="105" spans="1:14">
      <c r="A105" s="3197"/>
      <c r="B105" s="2893">
        <v>4</v>
      </c>
      <c r="C105" s="2894">
        <f>0.9622/C101</f>
        <v>0.89925233644859814</v>
      </c>
      <c r="D105" s="2894">
        <f>0.9622/D101</f>
        <v>0.89925233644859814</v>
      </c>
      <c r="E105" s="2894">
        <f>0.8656/E101</f>
        <v>0.80897196261682247</v>
      </c>
      <c r="F105" s="2894">
        <f>0.8656/F101</f>
        <v>0.80897196261682247</v>
      </c>
      <c r="G105" s="2894">
        <f>0.8656/G101</f>
        <v>0.80897196261682247</v>
      </c>
      <c r="H105" s="2894">
        <f>0.8656/H101</f>
        <v>0.80897196261682247</v>
      </c>
      <c r="I105" s="2894">
        <f>0.8656/I101</f>
        <v>0.80897196261682247</v>
      </c>
      <c r="J105" s="2894">
        <f>0.7525/J101</f>
        <v>0.70327102803738306</v>
      </c>
      <c r="K105" s="2894">
        <f>0.7525/K101</f>
        <v>0.70327102803738306</v>
      </c>
      <c r="L105" s="2894">
        <f>0.7525/L101</f>
        <v>0.70327102803738306</v>
      </c>
      <c r="M105" s="2894">
        <f>0.7525/M101</f>
        <v>0.70327102803738306</v>
      </c>
      <c r="N105" s="2894">
        <f>0.7525/N101</f>
        <v>0.70327102803738306</v>
      </c>
    </row>
    <row r="106" spans="1:14">
      <c r="A106" s="3197"/>
      <c r="B106" s="2893">
        <v>5</v>
      </c>
      <c r="C106" s="2894">
        <f>0.8417/C101</f>
        <v>0.78663551401869158</v>
      </c>
      <c r="D106" s="2894">
        <f>0.8417/D101</f>
        <v>0.78663551401869158</v>
      </c>
      <c r="E106" s="2894">
        <f>0.7371/E101</f>
        <v>0.68887850467289713</v>
      </c>
      <c r="F106" s="2894">
        <f>0.7371/F101</f>
        <v>0.68887850467289713</v>
      </c>
      <c r="G106" s="2894">
        <f>0.7371/G101</f>
        <v>0.68887850467289713</v>
      </c>
      <c r="H106" s="2894">
        <f>0.7371/H101</f>
        <v>0.68887850467289713</v>
      </c>
      <c r="I106" s="2894">
        <f>0.7371/I101</f>
        <v>0.68887850467289713</v>
      </c>
      <c r="J106" s="2894">
        <f>0.5659/J101</f>
        <v>0.5288785046728971</v>
      </c>
      <c r="K106" s="2894">
        <f>0.5659/K101</f>
        <v>0.5288785046728971</v>
      </c>
      <c r="L106" s="2894">
        <f>0.5659/L101</f>
        <v>0.5288785046728971</v>
      </c>
      <c r="M106" s="2894">
        <f>0.5659/M101</f>
        <v>0.5288785046728971</v>
      </c>
      <c r="N106" s="2894">
        <f>0.5659/N101</f>
        <v>0.5288785046728971</v>
      </c>
    </row>
    <row r="107" spans="1:14">
      <c r="A107" s="3197"/>
      <c r="B107" s="2893">
        <v>6</v>
      </c>
      <c r="C107" s="2894">
        <f>0.7608/C101</f>
        <v>0.71102803738317755</v>
      </c>
      <c r="D107" s="2894">
        <f>0.7608/D101</f>
        <v>0.71102803738317755</v>
      </c>
      <c r="E107" s="2894">
        <f>0.6482/E101</f>
        <v>0.60579439252336442</v>
      </c>
      <c r="F107" s="2894">
        <f>0.6482/F101</f>
        <v>0.60579439252336442</v>
      </c>
      <c r="G107" s="2894">
        <f>0.6482/G101</f>
        <v>0.60579439252336442</v>
      </c>
      <c r="H107" s="2894">
        <f>0.6482/H101</f>
        <v>0.60579439252336442</v>
      </c>
      <c r="I107" s="2894">
        <f>0.6482/I101</f>
        <v>0.60579439252336442</v>
      </c>
      <c r="J107" s="2894">
        <f>0.4525/J101</f>
        <v>0.42289719626168221</v>
      </c>
      <c r="K107" s="2894">
        <f>0.4525/K101</f>
        <v>0.42289719626168221</v>
      </c>
      <c r="L107" s="2894">
        <f>0.4525/L101</f>
        <v>0.42289719626168221</v>
      </c>
      <c r="M107" s="2894">
        <f>0.4525/M101</f>
        <v>0.42289719626168221</v>
      </c>
      <c r="N107" s="2894">
        <f>0.4525/N101</f>
        <v>0.42289719626168221</v>
      </c>
    </row>
    <row r="108" spans="1:14">
      <c r="A108" s="3197"/>
      <c r="B108" s="3152" t="s">
        <v>2971</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198"/>
      <c r="B109" s="3153"/>
      <c r="C109" s="2896">
        <f>(-0.163*(C108^2)-0.59*C108+7617)*(10^(-4))/C101</f>
        <v>0.71186915887850466</v>
      </c>
      <c r="D109" s="2896">
        <f>(-0.163*(D108^2)-0.59*D108+7617)*(10^(-4))/D101</f>
        <v>0.71186915887850466</v>
      </c>
      <c r="E109" s="2896">
        <f>(-0.161*(E108^2)-7.509*E108+6533)*(10^(-4))/E101</f>
        <v>0.6105607476635514</v>
      </c>
      <c r="F109" s="2896">
        <f>(-0.161*(F108^2)-7.509*F108+6533)*(10^(-4))/F101</f>
        <v>0.6105607476635514</v>
      </c>
      <c r="G109" s="2896">
        <f>(-0.161*(G108^2)-7.509*G108+6533)*(10^(-4))/G101</f>
        <v>0.6105607476635514</v>
      </c>
      <c r="H109" s="2896">
        <f>(-0.161*(H108^2)-7.509*H108+6533)*(10^(-4))/H101</f>
        <v>0.6105607476635514</v>
      </c>
      <c r="I109" s="2896">
        <f>(-0.161*(I108^2)-7.509*I108+6533)*(10^(-4))/I101</f>
        <v>0.6105607476635514</v>
      </c>
      <c r="J109" s="2896">
        <f>(-0.214*(J108^2)-21.991*J108+4665)*(10^(-4))/J101</f>
        <v>0.43598130841121496</v>
      </c>
      <c r="K109" s="2896">
        <f>(-0.214*(K108^2)-21.991*K108+4665)*(10^(-4))/K101</f>
        <v>0.43598130841121496</v>
      </c>
      <c r="L109" s="2896">
        <f>(-0.214*(L108^2)-21.991*L108+4665)*(10^(-4))/L101</f>
        <v>0.43598130841121496</v>
      </c>
      <c r="M109" s="2896">
        <f>(-0.214*(M108^2)-21.991*M108+4665)*(10^(-4))/M101</f>
        <v>0.43598130841121496</v>
      </c>
      <c r="N109" s="2896">
        <f>(-0.214*(N108^2)-21.991*N108+4665)*(10^(-4))/N101</f>
        <v>0.43598130841121496</v>
      </c>
    </row>
    <row r="110" spans="1:14">
      <c r="A110" s="3194" t="s">
        <v>2972</v>
      </c>
      <c r="B110" s="3194"/>
      <c r="C110" s="3194"/>
      <c r="D110" s="3194"/>
      <c r="E110" s="3194"/>
      <c r="F110" s="3194"/>
      <c r="G110" s="3194"/>
      <c r="H110" s="3194"/>
      <c r="I110" s="3194"/>
      <c r="J110" s="3194"/>
      <c r="K110" s="2899"/>
      <c r="L110" s="2899"/>
      <c r="M110" s="2899"/>
      <c r="N110" s="2899"/>
    </row>
    <row r="112" spans="1:14" ht="13.5" thickBot="1"/>
    <row r="113" spans="1:13" ht="25.5" thickBot="1">
      <c r="A113" s="903" t="s">
        <v>2973</v>
      </c>
      <c r="B113" s="1290">
        <f>G3</f>
        <v>1.07</v>
      </c>
      <c r="C113" s="904" t="s">
        <v>2974</v>
      </c>
      <c r="D113" s="905">
        <f>SUMPRODUCT((A115:A118=F113)*(B114:M114=H113)*B115:M118)</f>
        <v>0.61680000000000001</v>
      </c>
      <c r="E113" s="2722" t="s">
        <v>2807</v>
      </c>
      <c r="F113" s="2901" t="str">
        <f>E2</f>
        <v>工业</v>
      </c>
      <c r="G113" s="2722" t="s">
        <v>2808</v>
      </c>
      <c r="H113" s="2901" t="str">
        <f>G2</f>
        <v>七级</v>
      </c>
      <c r="I113" s="2722"/>
      <c r="J113" s="2902"/>
      <c r="K113" s="2902"/>
      <c r="L113" s="2902"/>
      <c r="M113" s="2902"/>
    </row>
    <row r="114" spans="1:13">
      <c r="A114" s="908"/>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9" t="s">
        <v>2872</v>
      </c>
      <c r="B115" s="910">
        <f>ROUND(0.9335-0.0094*B113,4)</f>
        <v>0.9234</v>
      </c>
      <c r="C115" s="910">
        <f>B115</f>
        <v>0.9234</v>
      </c>
      <c r="D115" s="910">
        <f>ROUND(0.8331-0.0109*B113,4)</f>
        <v>0.82140000000000002</v>
      </c>
      <c r="E115" s="910">
        <f>D115</f>
        <v>0.82140000000000002</v>
      </c>
      <c r="F115" s="910">
        <f>E115</f>
        <v>0.82140000000000002</v>
      </c>
      <c r="G115" s="910">
        <f>F115</f>
        <v>0.82140000000000002</v>
      </c>
      <c r="H115" s="910">
        <f>G115</f>
        <v>0.82140000000000002</v>
      </c>
      <c r="I115" s="910">
        <f>ROUND(0.689-0.0155*B113,4)</f>
        <v>0.6724</v>
      </c>
      <c r="J115" s="910">
        <f t="shared" ref="J115:M118" si="34">I115</f>
        <v>0.6724</v>
      </c>
      <c r="K115" s="910">
        <f t="shared" si="34"/>
        <v>0.6724</v>
      </c>
      <c r="L115" s="910">
        <f t="shared" si="34"/>
        <v>0.6724</v>
      </c>
      <c r="M115" s="911">
        <f t="shared" si="34"/>
        <v>0.6724</v>
      </c>
    </row>
    <row r="116" spans="1:13">
      <c r="A116" s="909" t="s">
        <v>2873</v>
      </c>
      <c r="B116" s="910">
        <f>ROUND(0.949-0.012*B113,4)</f>
        <v>0.93620000000000003</v>
      </c>
      <c r="C116" s="910">
        <f>B116</f>
        <v>0.93620000000000003</v>
      </c>
      <c r="D116" s="910">
        <f>ROUND(0.8567-0.013*B113,4)</f>
        <v>0.84279999999999999</v>
      </c>
      <c r="E116" s="910">
        <f t="shared" ref="E116:H117" si="35">D116</f>
        <v>0.84279999999999999</v>
      </c>
      <c r="F116" s="910">
        <f t="shared" si="35"/>
        <v>0.84279999999999999</v>
      </c>
      <c r="G116" s="910">
        <f t="shared" si="35"/>
        <v>0.84279999999999999</v>
      </c>
      <c r="H116" s="910">
        <f t="shared" si="35"/>
        <v>0.84279999999999999</v>
      </c>
      <c r="I116" s="910">
        <f>ROUND(0.7694-0.014*B113,4)</f>
        <v>0.75439999999999996</v>
      </c>
      <c r="J116" s="910">
        <f t="shared" si="34"/>
        <v>0.75439999999999996</v>
      </c>
      <c r="K116" s="910">
        <f t="shared" si="34"/>
        <v>0.75439999999999996</v>
      </c>
      <c r="L116" s="910">
        <f t="shared" si="34"/>
        <v>0.75439999999999996</v>
      </c>
      <c r="M116" s="911">
        <f t="shared" si="34"/>
        <v>0.75439999999999996</v>
      </c>
    </row>
    <row r="117" spans="1:13">
      <c r="A117" s="909" t="s">
        <v>2874</v>
      </c>
      <c r="B117" s="910">
        <f>ROUND(0.8808-0.006*B113,4)</f>
        <v>0.87439999999999996</v>
      </c>
      <c r="C117" s="910">
        <f>B117</f>
        <v>0.87439999999999996</v>
      </c>
      <c r="D117" s="910">
        <f>ROUND(0.8748-0.008*B113,4)</f>
        <v>0.86619999999999997</v>
      </c>
      <c r="E117" s="910">
        <f t="shared" si="35"/>
        <v>0.86619999999999997</v>
      </c>
      <c r="F117" s="910">
        <f t="shared" si="35"/>
        <v>0.86619999999999997</v>
      </c>
      <c r="G117" s="910">
        <f t="shared" si="35"/>
        <v>0.86619999999999997</v>
      </c>
      <c r="H117" s="910">
        <f t="shared" si="35"/>
        <v>0.86619999999999997</v>
      </c>
      <c r="I117" s="910">
        <f>ROUND(0.7412-0.0095*B113,4)</f>
        <v>0.73099999999999998</v>
      </c>
      <c r="J117" s="910">
        <f t="shared" si="34"/>
        <v>0.73099999999999998</v>
      </c>
      <c r="K117" s="910">
        <f t="shared" si="34"/>
        <v>0.73099999999999998</v>
      </c>
      <c r="L117" s="910">
        <f t="shared" si="34"/>
        <v>0.73099999999999998</v>
      </c>
      <c r="M117" s="911">
        <f t="shared" si="34"/>
        <v>0.73099999999999998</v>
      </c>
    </row>
    <row r="118" spans="1:13" ht="13.5" thickBot="1">
      <c r="A118" s="714" t="s">
        <v>2875</v>
      </c>
      <c r="B118" s="912">
        <f>ROUND(0.7275-0.01*B113,4)</f>
        <v>0.71679999999999999</v>
      </c>
      <c r="C118" s="912">
        <f>B118</f>
        <v>0.71679999999999999</v>
      </c>
      <c r="D118" s="912">
        <f>ROUND(0.7043-0.012*B113,4)</f>
        <v>0.6915</v>
      </c>
      <c r="E118" s="912">
        <f>D118</f>
        <v>0.6915</v>
      </c>
      <c r="F118" s="912">
        <f>E118</f>
        <v>0.6915</v>
      </c>
      <c r="G118" s="912">
        <f>ROUND(0.6299-0.0122*B113,4)</f>
        <v>0.61680000000000001</v>
      </c>
      <c r="H118" s="912">
        <f>G118</f>
        <v>0.61680000000000001</v>
      </c>
      <c r="I118" s="912">
        <f>ROUND(0.5667-0.0136*B113,4)</f>
        <v>0.55210000000000004</v>
      </c>
      <c r="J118" s="912">
        <f t="shared" si="34"/>
        <v>0.55210000000000004</v>
      </c>
      <c r="K118" s="912">
        <f t="shared" si="34"/>
        <v>0.55210000000000004</v>
      </c>
      <c r="L118" s="912">
        <f t="shared" si="34"/>
        <v>0.55210000000000004</v>
      </c>
      <c r="M118" s="913">
        <f t="shared" si="34"/>
        <v>0.55210000000000004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1" t="s">
        <v>2421</v>
      </c>
      <c r="D1" s="242"/>
      <c r="E1" s="242"/>
      <c r="F1" s="242"/>
      <c r="G1" s="1382">
        <f>MATCH(B1,'数据-取费表'!A6:A16,0)+5</f>
        <v>9</v>
      </c>
      <c r="H1" s="1285" t="str">
        <f>IF(ISERROR(FIND("住宅",B1)),"非住宅","住宅")</f>
        <v>非住宅</v>
      </c>
    </row>
    <row r="2" spans="1:8" s="244" customFormat="1" ht="18" customHeight="1">
      <c r="A2" s="245" t="s">
        <v>2320</v>
      </c>
      <c r="B2" s="246">
        <f ca="1">ROUND(IF(D2="——",C52/10000,C52/10000-E2),0)</f>
        <v>16047</v>
      </c>
      <c r="C2" s="243" t="s">
        <v>2321</v>
      </c>
      <c r="D2" s="2545" t="s">
        <v>70</v>
      </c>
      <c r="E2" s="1443" t="e">
        <f ca="1">SUMIF(INDIRECT("'"&amp;G2&amp;"'"&amp;"!A:A"),"承租人权益价值",INDIRECT("'"&amp;G2&amp;"'"&amp;"!c:c"))</f>
        <v>#REF!</v>
      </c>
      <c r="F2" s="2546" t="s">
        <v>2321</v>
      </c>
      <c r="G2" s="2547"/>
    </row>
    <row r="3" spans="1:8" s="244" customFormat="1" ht="18" customHeight="1" thickBot="1">
      <c r="A3" s="247" t="s">
        <v>2322</v>
      </c>
      <c r="B3" s="248">
        <f ca="1">ROUND(B2*10000/(IF(B1="",'数据-汇总表'!E3,INDIRECT("'数据-取费表'!k"&amp;$G$1))),0)</f>
        <v>7498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0</v>
      </c>
      <c r="D8" s="266"/>
      <c r="E8" s="264"/>
      <c r="F8" s="265"/>
      <c r="G8" s="2548"/>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0</v>
      </c>
      <c r="D10" s="1035">
        <f ca="1">IF(B1="",'数据-汇总表'!E6,IF(INDIRECT("'数据-取费表'!c"&amp;$G$1)="住宅",INDIRECT("'数据-取费表'!s"&amp;$G$1),INDIRECT("'数据-取费表'!k"&amp;$G$1)+INDIRECT("'数据-取费表'!s"&amp;$G$1)))</f>
        <v>21402.85</v>
      </c>
      <c r="E10" s="269">
        <f>'数据-取费表'!B28</f>
        <v>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4280570</v>
      </c>
      <c r="D19" s="1039">
        <f ca="1">D9+D10</f>
        <v>21402.85</v>
      </c>
      <c r="E19" s="255">
        <f>'数据-取费表'!B31</f>
        <v>200</v>
      </c>
      <c r="F19" s="275"/>
      <c r="G19" s="2548"/>
    </row>
    <row r="20" spans="1:7" s="258" customFormat="1" ht="13.5" customHeight="1">
      <c r="A20" s="299" t="s">
        <v>2432</v>
      </c>
      <c r="B20" s="254" t="s">
        <v>2433</v>
      </c>
      <c r="C20" s="276">
        <f ca="1">ROUND((C5+C19)*F20,0)</f>
        <v>85611</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420379</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0</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416312</v>
      </c>
      <c r="D24" s="282"/>
      <c r="E24" s="282"/>
      <c r="F24" s="283"/>
      <c r="G24" s="284" t="s">
        <v>2444</v>
      </c>
    </row>
    <row r="25" spans="1:7" s="258" customFormat="1" ht="24">
      <c r="A25" s="954" t="s">
        <v>2334</v>
      </c>
      <c r="B25" s="259" t="s">
        <v>2445</v>
      </c>
      <c r="C25" s="1384">
        <f ca="1">ROUND(IF('数据-取费表'!B22&lt;=1,C20*F22*'数据-取费表'!B22/2,C20*(POWER((1+F22),'数据-取费表'!B22/2)-1)),0)</f>
        <v>4067</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829574</v>
      </c>
      <c r="D27" s="279">
        <f ca="1">C29</f>
        <v>3.8E-3</v>
      </c>
      <c r="E27" s="280" t="s">
        <v>2372</v>
      </c>
      <c r="F27" s="290">
        <f ca="1">IF(B1="",'数据-取费表'!Q16,INDIRECT("'数据-取费表'!q"&amp;$G$1))</f>
        <v>0.19</v>
      </c>
      <c r="G27" s="291" t="s">
        <v>2373</v>
      </c>
    </row>
    <row r="28" spans="1:7" s="258" customFormat="1" ht="13.5" customHeight="1">
      <c r="A28" s="954" t="s">
        <v>791</v>
      </c>
      <c r="B28" s="292" t="s">
        <v>2374</v>
      </c>
      <c r="C28" s="293">
        <f ca="1">ROUND((C5+C19+C20)*F27,0)</f>
        <v>829574</v>
      </c>
      <c r="D28" s="279"/>
      <c r="E28" s="280"/>
      <c r="F28" s="290"/>
      <c r="G28" s="291"/>
    </row>
    <row r="29" spans="1:7" s="258" customFormat="1" ht="13.5" customHeight="1">
      <c r="A29" s="954" t="s">
        <v>792</v>
      </c>
      <c r="B29" s="292" t="s">
        <v>2375</v>
      </c>
      <c r="C29" s="282">
        <f ca="1">ROUND(C21*F27,4)</f>
        <v>3.8E-3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6085971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132782261</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122968125</v>
      </c>
      <c r="D34" s="261"/>
      <c r="E34" s="264"/>
      <c r="F34" s="301"/>
      <c r="G34" s="263"/>
    </row>
    <row r="35" spans="1:7" ht="13.5" customHeight="1">
      <c r="A35" s="954" t="s">
        <v>796</v>
      </c>
      <c r="B35" s="259" t="s">
        <v>2385</v>
      </c>
      <c r="C35" s="264">
        <f ca="1">ROUND(C34*F35,0)</f>
        <v>3689044</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4280570</v>
      </c>
      <c r="D37" s="261">
        <f ca="1">D19</f>
        <v>21402.85</v>
      </c>
      <c r="E37" s="293">
        <f>'数据-取费表'!B35</f>
        <v>200</v>
      </c>
      <c r="F37" s="303"/>
      <c r="G37" s="305"/>
    </row>
    <row r="38" spans="1:7" ht="13.5" customHeight="1">
      <c r="A38" s="954" t="s">
        <v>799</v>
      </c>
      <c r="B38" s="259" t="s">
        <v>2391</v>
      </c>
      <c r="C38" s="264">
        <f ca="1">ROUND(C34*F38,0)</f>
        <v>1844522</v>
      </c>
      <c r="D38" s="264"/>
      <c r="E38" s="264"/>
      <c r="F38" s="303">
        <f>'数据-取费表'!B36</f>
        <v>1.4999999999999999E-2</v>
      </c>
      <c r="G38" s="263" t="s">
        <v>2386</v>
      </c>
    </row>
    <row r="39" spans="1:7" s="258" customFormat="1" ht="13.5" customHeight="1">
      <c r="A39" s="299" t="s">
        <v>2392</v>
      </c>
      <c r="B39" s="254" t="s">
        <v>2393</v>
      </c>
      <c r="C39" s="276">
        <f ca="1">ROUND(C33*F20,0)</f>
        <v>2655645</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6433300</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6307157</v>
      </c>
      <c r="D42" s="282"/>
      <c r="E42" s="282"/>
      <c r="F42" s="283"/>
      <c r="G42" s="3179" t="s">
        <v>2449</v>
      </c>
    </row>
    <row r="43" spans="1:7" ht="13.5" customHeight="1">
      <c r="A43" s="954" t="s">
        <v>792</v>
      </c>
      <c r="B43" s="259" t="s">
        <v>2403</v>
      </c>
      <c r="C43" s="282">
        <f ca="1">ROUND(IF('数据-取费表'!B22&lt;=1,C39*F22*'数据-取费表'!B20/2,C39*(POWER((1+F22),'数据-取费表'!B20/2)-1)),0)</f>
        <v>126143</v>
      </c>
      <c r="D43" s="282"/>
      <c r="E43" s="282"/>
      <c r="F43" s="283"/>
      <c r="G43" s="3180"/>
    </row>
    <row r="44" spans="1:7" ht="13.5" customHeight="1">
      <c r="A44" s="954" t="s">
        <v>793</v>
      </c>
      <c r="B44" s="259" t="s">
        <v>2404</v>
      </c>
      <c r="C44" s="282">
        <f ca="1">ROUND(IF('数据-取费表'!B22&lt;=1,C40*F22*'数据-取费表'!B20/2,C40*(POWER((1+F22),'数据-取费表'!B20/2)-1)),4)</f>
        <v>1E-3</v>
      </c>
      <c r="D44" s="282"/>
      <c r="E44" s="282"/>
      <c r="F44" s="283"/>
      <c r="G44" s="3181"/>
    </row>
    <row r="45" spans="1:7" s="258" customFormat="1" ht="13.5" customHeight="1">
      <c r="A45" s="299" t="s">
        <v>2405</v>
      </c>
      <c r="B45" s="288" t="s">
        <v>2371</v>
      </c>
      <c r="C45" s="289">
        <f ca="1">C46</f>
        <v>25733202</v>
      </c>
      <c r="D45" s="279">
        <f ca="1">C47</f>
        <v>3.8E-3</v>
      </c>
      <c r="E45" s="280" t="s">
        <v>2397</v>
      </c>
      <c r="F45" s="290"/>
      <c r="G45" s="291" t="s">
        <v>2406</v>
      </c>
    </row>
    <row r="46" spans="1:7" s="258" customFormat="1" ht="13.5" customHeight="1">
      <c r="A46" s="954" t="s">
        <v>791</v>
      </c>
      <c r="B46" s="292" t="s">
        <v>2407</v>
      </c>
      <c r="C46" s="293">
        <f ca="1">ROUND((C33+C39)*F27,0)</f>
        <v>25733202</v>
      </c>
      <c r="D46" s="307"/>
      <c r="E46" s="280"/>
      <c r="F46" s="290"/>
      <c r="G46" s="291"/>
    </row>
    <row r="47" spans="1:7" s="258" customFormat="1" ht="13.5" customHeight="1">
      <c r="A47" s="954" t="s">
        <v>792</v>
      </c>
      <c r="B47" s="292" t="s">
        <v>2408</v>
      </c>
      <c r="C47" s="282">
        <f ca="1">ROUND(C40*F27,4)</f>
        <v>3.8E-3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181625930</v>
      </c>
      <c r="D49" s="276"/>
      <c r="E49" s="276"/>
      <c r="F49" s="308"/>
      <c r="G49" s="278" t="s">
        <v>2412</v>
      </c>
    </row>
    <row r="50" spans="1:7" s="302" customFormat="1">
      <c r="A50" s="299" t="s">
        <v>2413</v>
      </c>
      <c r="B50" s="254" t="s">
        <v>2414</v>
      </c>
      <c r="C50" s="276"/>
      <c r="D50" s="276"/>
      <c r="E50" s="276"/>
      <c r="F50" s="308">
        <f>IF('数据-取费表'!B24=0,'数据-取费表'!N16,1)</f>
        <v>0.85</v>
      </c>
      <c r="G50" s="291"/>
    </row>
    <row r="51" spans="1:7" ht="16.5" customHeight="1">
      <c r="A51" s="299" t="s">
        <v>2416</v>
      </c>
      <c r="B51" s="254" t="s">
        <v>2451</v>
      </c>
      <c r="C51" s="276">
        <f ca="1">ROUND(C49*F50,0)</f>
        <v>154382041</v>
      </c>
      <c r="D51" s="276"/>
      <c r="E51" s="276"/>
      <c r="F51" s="308"/>
      <c r="G51" s="278" t="s">
        <v>2418</v>
      </c>
    </row>
    <row r="52" spans="1:7" s="252" customFormat="1" ht="16.5" thickBot="1">
      <c r="A52" s="309" t="s">
        <v>2419</v>
      </c>
      <c r="B52" s="310"/>
      <c r="C52" s="311">
        <f ca="1">C31+C51</f>
        <v>160468012</v>
      </c>
      <c r="D52" s="310"/>
      <c r="E52" s="310"/>
      <c r="F52" s="310"/>
      <c r="G52" s="312"/>
    </row>
    <row r="55" spans="1:7" ht="15">
      <c r="B55" s="314" t="s">
        <v>2420</v>
      </c>
      <c r="C55" s="315"/>
    </row>
    <row r="56" spans="1:7">
      <c r="B56" s="317" t="s">
        <v>1513</v>
      </c>
      <c r="C56" s="319">
        <f ca="1">1-C57</f>
        <v>3.8000000000000034E-2</v>
      </c>
    </row>
    <row r="57" spans="1:7">
      <c r="B57" s="317" t="s">
        <v>1514</v>
      </c>
      <c r="C57" s="318">
        <f ca="1">ROUND(C51/C52,3)</f>
        <v>0.96199999999999997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2" t="s">
        <v>2458</v>
      </c>
      <c r="D5" s="2552" t="s">
        <v>2459</v>
      </c>
      <c r="E5" s="2552" t="s">
        <v>2460</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21402.85</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21402.85</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4"/>
      <c r="H18" s="1580"/>
      <c r="I18" s="2555"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21402.85</v>
      </c>
      <c r="E20" s="24">
        <f>'数据-取费表'!B28</f>
        <v>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2502</v>
      </c>
      <c r="B28" s="2557" t="s">
        <v>2503</v>
      </c>
      <c r="C28" s="331">
        <f ca="1">C30</f>
        <v>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58"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3072</v>
      </c>
      <c r="C1" s="242"/>
      <c r="D1" s="242"/>
      <c r="E1" s="242"/>
      <c r="F1" s="242"/>
      <c r="G1" s="1382">
        <f>MATCH(B1,'数据-取费表'!A6:A16,0)+5</f>
        <v>7</v>
      </c>
    </row>
    <row r="2" spans="1:9" s="244" customFormat="1" ht="18" customHeight="1">
      <c r="A2" s="245" t="s">
        <v>1394</v>
      </c>
      <c r="B2" s="246">
        <f ca="1">IF(D2="——",C52,C52-E2)</f>
        <v>3327</v>
      </c>
      <c r="C2" s="243" t="s">
        <v>2321</v>
      </c>
      <c r="D2" s="2545" t="s">
        <v>70</v>
      </c>
      <c r="E2" s="1443" t="e">
        <f ca="1">SUMIF(INDIRECT("'"&amp;G2&amp;"'"&amp;"!A:A"),"承租人权益价值",INDIRECT("'"&amp;G2&amp;"'"&amp;"!c:c"))</f>
        <v>#REF!</v>
      </c>
      <c r="F2" s="2546" t="s">
        <v>2321</v>
      </c>
      <c r="G2" s="2547"/>
    </row>
    <row r="3" spans="1:9" s="244" customFormat="1" ht="18" customHeight="1" thickBot="1">
      <c r="A3" s="247" t="s">
        <v>1395</v>
      </c>
      <c r="B3" s="248">
        <f ca="1">ROUND(B2*10000/(IF(B1="",'数据-汇总表'!E3,INDIRECT("'数据-取费表'!k"&amp;$G$1))),0)</f>
        <v>4933</v>
      </c>
      <c r="C3" s="243" t="s">
        <v>2323</v>
      </c>
      <c r="D3" s="243"/>
      <c r="E3" s="243"/>
      <c r="F3" s="243"/>
      <c r="G3" s="243"/>
    </row>
    <row r="4" spans="1:9" s="252" customFormat="1" ht="15.75">
      <c r="A4" s="249" t="s">
        <v>2324</v>
      </c>
      <c r="B4" s="250"/>
      <c r="C4" s="250"/>
      <c r="D4" s="250"/>
      <c r="E4" s="250"/>
      <c r="F4" s="250"/>
      <c r="G4" s="251"/>
    </row>
    <row r="5" spans="1:9" s="258" customFormat="1" ht="13.5" customHeight="1">
      <c r="A5" s="299" t="s">
        <v>782</v>
      </c>
      <c r="B5" s="254" t="s">
        <v>2326</v>
      </c>
      <c r="C5" s="255">
        <f ca="1">C6+C7+C8</f>
        <v>1262</v>
      </c>
      <c r="D5" s="255" t="s">
        <v>2327</v>
      </c>
      <c r="E5" s="256" t="s">
        <v>2328</v>
      </c>
      <c r="F5" s="256" t="s">
        <v>2329</v>
      </c>
      <c r="G5" s="257"/>
    </row>
    <row r="6" spans="1:9" s="258" customFormat="1" ht="13.5" customHeight="1">
      <c r="A6" s="952" t="s">
        <v>794</v>
      </c>
      <c r="B6" s="259" t="s">
        <v>2331</v>
      </c>
      <c r="C6" s="260">
        <f ca="1">'基准地价修正 (2)'!B2</f>
        <v>1225</v>
      </c>
      <c r="D6" s="261"/>
      <c r="E6" s="262"/>
      <c r="F6" s="262"/>
      <c r="G6" s="263"/>
    </row>
    <row r="7" spans="1:9" s="258" customFormat="1" ht="13.5" customHeight="1">
      <c r="A7" s="952" t="s">
        <v>792</v>
      </c>
      <c r="B7" s="259" t="s">
        <v>2333</v>
      </c>
      <c r="C7" s="264">
        <f ca="1">ROUND(C6*F7,0)</f>
        <v>37</v>
      </c>
      <c r="D7" s="264"/>
      <c r="E7" s="262"/>
      <c r="F7" s="265">
        <f>'数据-取费表'!B48+'数据-取费表'!B49</f>
        <v>3.0499999999999999E-2</v>
      </c>
      <c r="G7" s="263"/>
    </row>
    <row r="8" spans="1:9" s="267" customFormat="1">
      <c r="A8" s="952" t="s">
        <v>793</v>
      </c>
      <c r="B8" s="259" t="s">
        <v>2335</v>
      </c>
      <c r="C8" s="264">
        <f ca="1">IF(G8="已包含在土地购买价格中","0",IF(B1="",'数据-取费表'!B29,IF(G9="全部缴纳",C9+C10,H9)))</f>
        <v>0</v>
      </c>
      <c r="D8" s="266"/>
      <c r="E8" s="264"/>
      <c r="F8" s="265"/>
      <c r="G8" s="2548" t="s">
        <v>3086</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49" t="s">
        <v>3087</v>
      </c>
      <c r="H9" s="1393"/>
      <c r="I9" s="2550"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6744.41</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2335</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2335</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6744.41</v>
      </c>
      <c r="E19" s="255">
        <f>'数据-取费表'!B31</f>
        <v>200</v>
      </c>
      <c r="F19" s="275"/>
      <c r="G19" s="2548" t="s">
        <v>3088</v>
      </c>
    </row>
    <row r="20" spans="1:7" s="258" customFormat="1" ht="13.5" customHeight="1">
      <c r="A20" s="299" t="s">
        <v>2351</v>
      </c>
      <c r="B20" s="254" t="s">
        <v>2352</v>
      </c>
      <c r="C20" s="276">
        <f ca="1">ROUND((C5+C19)*F20,0)</f>
        <v>25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124</v>
      </c>
      <c r="D22" s="279">
        <f ca="1">C26</f>
        <v>1E-3</v>
      </c>
      <c r="E22" s="280" t="s">
        <v>2356</v>
      </c>
      <c r="F22" s="281">
        <f ca="1">'数据-取费表'!B40</f>
        <v>4.7500000000000001E-2</v>
      </c>
      <c r="G22" s="278" t="str">
        <f>IF('数据-取费表'!B22&lt;=1,"单利计息","复利计息")</f>
        <v>复利计息</v>
      </c>
    </row>
    <row r="23" spans="1:7" s="258" customFormat="1" ht="13.5" customHeight="1">
      <c r="A23" s="954" t="s">
        <v>794</v>
      </c>
      <c r="B23" s="259" t="s">
        <v>2361</v>
      </c>
      <c r="C23" s="1358">
        <f ca="1">ROUND(IF('数据-取费表'!B22&lt;=1,C5*F22*'数据-取费表'!B23,C5*(POWER((1+F22),'数据-取费表'!B23)-1)),0)</f>
        <v>123</v>
      </c>
      <c r="D23" s="282"/>
      <c r="E23" s="282"/>
      <c r="F23" s="283"/>
      <c r="G23" s="284" t="s">
        <v>2362</v>
      </c>
    </row>
    <row r="24" spans="1:7" s="258" customFormat="1" ht="13.5" customHeight="1">
      <c r="A24" s="954" t="s">
        <v>792</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793</v>
      </c>
      <c r="B25" s="259" t="s">
        <v>2367</v>
      </c>
      <c r="C25" s="1358">
        <f ca="1">ROUND(IF('数据-取费表'!B22&lt;=1,C20*F22*'数据-取费表'!B23/2,C20*(POWER((1+F22),'数据-取费表'!B23/2)-1)),0)</f>
        <v>1</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129</v>
      </c>
      <c r="D27" s="279">
        <f ca="1">C29</f>
        <v>2E-3</v>
      </c>
      <c r="E27" s="280" t="s">
        <v>2356</v>
      </c>
      <c r="F27" s="290">
        <f ca="1">IF(B1="",'数据-取费表'!Q16,INDIRECT("'数据-取费表'!q"&amp;$G$1))</f>
        <v>0.1</v>
      </c>
      <c r="G27" s="291" t="s">
        <v>2373</v>
      </c>
    </row>
    <row r="28" spans="1:7" s="258" customFormat="1" ht="13.5" customHeight="1">
      <c r="A28" s="954" t="s">
        <v>791</v>
      </c>
      <c r="B28" s="292" t="s">
        <v>2374</v>
      </c>
      <c r="C28" s="293">
        <f ca="1">ROUND((C5+C19+C20)*F27*'数据-取费表'!B21/'数据-取费表'!B20,0)</f>
        <v>129</v>
      </c>
      <c r="D28" s="279"/>
      <c r="E28" s="280"/>
      <c r="F28" s="290"/>
      <c r="G28" s="291"/>
    </row>
    <row r="29" spans="1:7" s="258" customFormat="1" ht="13.5" customHeight="1">
      <c r="A29" s="954" t="s">
        <v>792</v>
      </c>
      <c r="B29" s="292" t="s">
        <v>2375</v>
      </c>
      <c r="C29" s="282">
        <f ca="1">ROUND(C21*F27*'数据-取费表'!B21/'数据-取费表'!B20,4)</f>
        <v>2E-3</v>
      </c>
      <c r="D29" s="279"/>
      <c r="E29" s="280"/>
      <c r="F29" s="290"/>
      <c r="G29" s="291"/>
    </row>
    <row r="30" spans="1:7" s="258" customFormat="1" ht="13.5" customHeight="1">
      <c r="A30" s="299" t="s">
        <v>2376</v>
      </c>
      <c r="B30" s="254" t="s">
        <v>2377</v>
      </c>
      <c r="C30" s="279">
        <f>ROUND(F30/(1+'数据-取费表'!C42),4)</f>
        <v>5.2400000000000002E-2</v>
      </c>
      <c r="D30" s="280" t="s">
        <v>2356</v>
      </c>
      <c r="E30" s="285"/>
      <c r="F30" s="281">
        <f>'数据-取费表'!B41</f>
        <v>5.5000000000000007E-2</v>
      </c>
      <c r="G30" s="278" t="s">
        <v>2378</v>
      </c>
    </row>
    <row r="31" spans="1:7" ht="16.5" customHeight="1">
      <c r="A31" s="253">
        <v>1</v>
      </c>
      <c r="B31" s="254" t="s">
        <v>2379</v>
      </c>
      <c r="C31" s="255">
        <f ca="1">ROUND((C5+C19+C20+C22+C27)/(1-C21-D22-D27-C30),0)</f>
        <v>1666</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1544</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1349</v>
      </c>
      <c r="D34" s="261"/>
      <c r="E34" s="264"/>
      <c r="F34" s="301">
        <f ca="1">IF('数据-取费表'!B24=0,1,IF(B1="",'数据-取费表'!N16,INDIRECT("'数据-取费表'!n"&amp;$G$1)))</f>
        <v>1</v>
      </c>
      <c r="G34" s="263" t="s">
        <v>2384</v>
      </c>
    </row>
    <row r="35" spans="1:7" ht="13.5" customHeight="1">
      <c r="A35" s="954" t="s">
        <v>796</v>
      </c>
      <c r="B35" s="259" t="s">
        <v>2385</v>
      </c>
      <c r="C35" s="264">
        <f ca="1">ROUND(C34*F35,0)</f>
        <v>40</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135</v>
      </c>
      <c r="D37" s="261">
        <f ca="1">D19</f>
        <v>6744.41</v>
      </c>
      <c r="E37" s="293">
        <f>'数据-取费表'!B35</f>
        <v>200</v>
      </c>
      <c r="F37" s="303"/>
      <c r="G37" s="305" t="s">
        <v>2390</v>
      </c>
    </row>
    <row r="38" spans="1:7" ht="13.5" customHeight="1">
      <c r="A38" s="954" t="s">
        <v>799</v>
      </c>
      <c r="B38" s="259" t="s">
        <v>2391</v>
      </c>
      <c r="C38" s="264">
        <f ca="1">ROUND(C34*F38,0)</f>
        <v>20</v>
      </c>
      <c r="D38" s="264"/>
      <c r="E38" s="264"/>
      <c r="F38" s="303">
        <f>'数据-取费表'!B36</f>
        <v>1.4999999999999999E-2</v>
      </c>
      <c r="G38" s="263" t="s">
        <v>2386</v>
      </c>
    </row>
    <row r="39" spans="1:7" s="258" customFormat="1" ht="13.5" customHeight="1">
      <c r="A39" s="299" t="s">
        <v>2349</v>
      </c>
      <c r="B39" s="254" t="s">
        <v>2352</v>
      </c>
      <c r="C39" s="276">
        <f ca="1">ROUND(C33*F20,0)</f>
        <v>31</v>
      </c>
      <c r="D39" s="276"/>
      <c r="E39" s="276"/>
      <c r="F39" s="277"/>
      <c r="G39" s="278" t="s">
        <v>2394</v>
      </c>
    </row>
    <row r="40" spans="1:7" s="258" customFormat="1" ht="13.5" customHeight="1">
      <c r="A40" s="299" t="s">
        <v>2351</v>
      </c>
      <c r="B40" s="254" t="s">
        <v>2355</v>
      </c>
      <c r="C40" s="1731">
        <f>F21</f>
        <v>0.02</v>
      </c>
      <c r="D40" s="280" t="s">
        <v>2397</v>
      </c>
      <c r="E40" s="276"/>
      <c r="F40" s="277"/>
      <c r="G40" s="278" t="s">
        <v>2398</v>
      </c>
    </row>
    <row r="41" spans="1:7" s="258" customFormat="1" ht="13.5" customHeight="1">
      <c r="A41" s="299" t="s">
        <v>2354</v>
      </c>
      <c r="B41" s="254" t="s">
        <v>2359</v>
      </c>
      <c r="C41" s="276">
        <f ca="1">ROUND(SUM(C42:C43),0)</f>
        <v>74</v>
      </c>
      <c r="D41" s="279">
        <f ca="1">C44</f>
        <v>1E-3</v>
      </c>
      <c r="E41" s="280" t="s">
        <v>2397</v>
      </c>
      <c r="F41" s="281"/>
      <c r="G41" s="278" t="str">
        <f>IF('数据-取费表'!B22&lt;=1,"单利计息","复利计息")</f>
        <v>复利计息</v>
      </c>
    </row>
    <row r="42" spans="1:7" ht="13.5" customHeight="1">
      <c r="A42" s="954" t="s">
        <v>791</v>
      </c>
      <c r="B42" s="259" t="s">
        <v>2361</v>
      </c>
      <c r="C42" s="282">
        <f ca="1">ROUND(IF('数据-取费表'!B22&lt;=1,C33*F22*'数据-取费表'!B21/2,C33*(POWER((1+F22),'数据-取费表'!B21/2)-1)),0)</f>
        <v>73</v>
      </c>
      <c r="D42" s="282"/>
      <c r="E42" s="282"/>
      <c r="F42" s="283"/>
      <c r="G42" s="3179" t="s">
        <v>2402</v>
      </c>
    </row>
    <row r="43" spans="1:7" ht="13.5" customHeight="1">
      <c r="A43" s="954" t="s">
        <v>792</v>
      </c>
      <c r="B43" s="259" t="s">
        <v>2364</v>
      </c>
      <c r="C43" s="282">
        <f ca="1">ROUND(IF('数据-取费表'!B22&lt;=1,C39*F22*'数据-取费表'!B21/2,C39*(POWER((1+F22),'数据-取费表'!B21/2)-1)),0)</f>
        <v>1</v>
      </c>
      <c r="D43" s="282"/>
      <c r="E43" s="282"/>
      <c r="F43" s="283"/>
      <c r="G43" s="3180"/>
    </row>
    <row r="44" spans="1:7" ht="13.5" customHeight="1">
      <c r="A44" s="954" t="s">
        <v>793</v>
      </c>
      <c r="B44" s="259" t="s">
        <v>2367</v>
      </c>
      <c r="C44" s="282">
        <f ca="1">ROUND(IF('数据-取费表'!B22&lt;=1,C40*F22*'数据-取费表'!B21/2,C40*(POWER((1+F22),'数据-取费表'!B21/2)-1)),4)</f>
        <v>1E-3</v>
      </c>
      <c r="D44" s="282"/>
      <c r="E44" s="282"/>
      <c r="F44" s="283"/>
      <c r="G44" s="3181"/>
    </row>
    <row r="45" spans="1:7" s="258" customFormat="1" ht="13.5" customHeight="1">
      <c r="A45" s="299" t="s">
        <v>2358</v>
      </c>
      <c r="B45" s="288" t="s">
        <v>2371</v>
      </c>
      <c r="C45" s="289">
        <f ca="1">C46</f>
        <v>158</v>
      </c>
      <c r="D45" s="279">
        <f ca="1">C47</f>
        <v>2E-3</v>
      </c>
      <c r="E45" s="280" t="s">
        <v>2397</v>
      </c>
      <c r="F45" s="290"/>
      <c r="G45" s="291" t="s">
        <v>2406</v>
      </c>
    </row>
    <row r="46" spans="1:7" s="258" customFormat="1" ht="13.5" customHeight="1">
      <c r="A46" s="954" t="s">
        <v>791</v>
      </c>
      <c r="B46" s="292" t="s">
        <v>2407</v>
      </c>
      <c r="C46" s="293">
        <f ca="1">ROUND((C33+C39)*F27,0)</f>
        <v>158</v>
      </c>
      <c r="D46" s="307"/>
      <c r="E46" s="280"/>
      <c r="F46" s="290"/>
      <c r="G46" s="291"/>
    </row>
    <row r="47" spans="1:7" s="258" customFormat="1" ht="13.5" customHeight="1">
      <c r="A47" s="954" t="s">
        <v>792</v>
      </c>
      <c r="B47" s="292" t="s">
        <v>2408</v>
      </c>
      <c r="C47" s="282">
        <f ca="1">ROUND(C40*F27,4)</f>
        <v>2E-3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1954</v>
      </c>
      <c r="D49" s="276"/>
      <c r="E49" s="276"/>
      <c r="F49" s="308"/>
      <c r="G49" s="278" t="s">
        <v>2412</v>
      </c>
    </row>
    <row r="50" spans="1:7" s="302" customFormat="1" ht="24">
      <c r="A50" s="299" t="s">
        <v>2413</v>
      </c>
      <c r="B50" s="254" t="s">
        <v>2414</v>
      </c>
      <c r="C50" s="276"/>
      <c r="D50" s="276"/>
      <c r="E50" s="276"/>
      <c r="F50" s="308">
        <f>IF('数据-取费表'!B24=0,'数据-取费表'!N16,1)</f>
        <v>0.85</v>
      </c>
      <c r="G50" s="291" t="s">
        <v>2415</v>
      </c>
    </row>
    <row r="51" spans="1:7" ht="16.5" customHeight="1">
      <c r="A51" s="299" t="s">
        <v>2416</v>
      </c>
      <c r="B51" s="254" t="s">
        <v>2417</v>
      </c>
      <c r="C51" s="276">
        <f ca="1">ROUND(C49*F50,0)</f>
        <v>1661</v>
      </c>
      <c r="D51" s="276"/>
      <c r="E51" s="276"/>
      <c r="F51" s="308"/>
      <c r="G51" s="278" t="s">
        <v>2418</v>
      </c>
    </row>
    <row r="52" spans="1:7" s="252" customFormat="1" ht="16.5" thickBot="1">
      <c r="A52" s="309" t="s">
        <v>2419</v>
      </c>
      <c r="B52" s="310"/>
      <c r="C52" s="311">
        <f ca="1">C31+C51</f>
        <v>3327</v>
      </c>
      <c r="D52" s="310"/>
      <c r="E52" s="310"/>
      <c r="F52" s="310"/>
      <c r="G52" s="312"/>
    </row>
    <row r="55" spans="1:7" ht="15">
      <c r="B55" s="314" t="s">
        <v>2420</v>
      </c>
      <c r="C55" s="315"/>
    </row>
    <row r="56" spans="1:7">
      <c r="B56" s="317" t="s">
        <v>1513</v>
      </c>
      <c r="C56" s="319">
        <f ca="1">1-C57</f>
        <v>0.501</v>
      </c>
    </row>
    <row r="57" spans="1:7">
      <c r="B57" s="317" t="s">
        <v>1514</v>
      </c>
      <c r="C57" s="318">
        <f ca="1">ROUND(C51/C52,3)</f>
        <v>0.499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2797</v>
      </c>
      <c r="B1" s="241"/>
      <c r="C1" s="245" t="s">
        <v>2798</v>
      </c>
      <c r="D1" s="388">
        <f>SUM(D29:D30,D33:D39)</f>
        <v>6744.41</v>
      </c>
      <c r="E1" s="2715"/>
      <c r="F1" s="2715"/>
      <c r="G1" s="2715"/>
      <c r="H1" s="2715"/>
      <c r="I1" s="2715"/>
      <c r="J1" s="2715"/>
      <c r="K1" s="1373"/>
      <c r="L1" s="2716" t="s">
        <v>2799</v>
      </c>
      <c r="M1" s="1083">
        <f>SUMPRODUCT((区片价!B5:B9=I2)*(区片价!C3:F3=E2)*(区片价!C5:F9))</f>
        <v>0</v>
      </c>
      <c r="N1" s="1086">
        <f>SUMPRODUCT((因素修正幅度!B5:B9=I2)*(因素修正幅度!C3:F3=E2)*(因素修正幅度!C5:F9))</f>
        <v>0</v>
      </c>
      <c r="O1" s="2717"/>
      <c r="P1" s="2717"/>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1225</v>
      </c>
      <c r="C2" s="2719" t="s">
        <v>2806</v>
      </c>
      <c r="D2" s="2720" t="s">
        <v>2807</v>
      </c>
      <c r="E2" s="2721" t="s">
        <v>6</v>
      </c>
      <c r="F2" s="2720" t="s">
        <v>2808</v>
      </c>
      <c r="G2" s="2722" t="str">
        <f>IF(E2="商业",项目基本情况!B37,IF(E2="办公",项目基本情况!C37,IF(E2="住宅",项目基本情况!D37,项目基本情况!E37)))</f>
        <v>七级</v>
      </c>
      <c r="H2" s="2720" t="s">
        <v>2809</v>
      </c>
      <c r="I2" s="2722" t="str">
        <f>IF(E2="商业",项目基本情况!B38,IF(E2="办公",项目基本情况!C38,IF(E2="住宅",项目基本情况!D38,项目基本情况!E38)))</f>
        <v>Ⅶ-顺2</v>
      </c>
      <c r="J2" s="2723"/>
      <c r="K2" s="1373"/>
      <c r="L2" s="2724"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3167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1816</v>
      </c>
      <c r="C3" s="2719" t="s">
        <v>2812</v>
      </c>
      <c r="D3" s="2720" t="s">
        <v>2813</v>
      </c>
      <c r="E3" s="2725" t="s">
        <v>3080</v>
      </c>
      <c r="F3" s="2726" t="s">
        <v>2814</v>
      </c>
      <c r="G3" s="916">
        <f>IF(F3="宗地容积率",'数据-汇总表'!I4,IF(F3="估价对象容积率",'数据-汇总表'!I6,'数据-汇总表'!I7))</f>
        <v>1.07</v>
      </c>
      <c r="H3" s="198" t="s">
        <v>2815</v>
      </c>
      <c r="I3" s="947"/>
      <c r="J3" s="2723" t="s">
        <v>2816</v>
      </c>
      <c r="K3" s="1373"/>
      <c r="L3" s="2724"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2273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5"/>
      <c r="B4" s="3186"/>
      <c r="C4" s="3186"/>
      <c r="D4" s="3187"/>
      <c r="E4" s="3187"/>
      <c r="F4" s="3187"/>
      <c r="G4" s="3187"/>
      <c r="H4" s="3187"/>
      <c r="I4" s="3187"/>
      <c r="J4" s="3188"/>
      <c r="K4" s="1373"/>
      <c r="L4" s="2724"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1834</v>
      </c>
      <c r="U4" s="1606"/>
      <c r="V4" s="1605">
        <f t="shared" ca="1" si="1"/>
        <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2819</v>
      </c>
      <c r="C5" s="917">
        <f>ROUND(IF(E2="商业",IF(F16="增加",C6*C7+C16,C6*C7-C16),IF(E2="住宅",IF(F16="增加",C6*C12+C16,C6*C12-C16),IF(F16="增加",C6+C16,C6-C16))),0)</f>
        <v>1447</v>
      </c>
      <c r="D5" s="1790">
        <f>ROUND(IF(E2="商业",IF(F16="增加",C6+C16,C6-C16)),0)</f>
        <v>0</v>
      </c>
      <c r="E5" s="2729"/>
      <c r="F5" s="2729"/>
      <c r="G5" s="2730"/>
      <c r="H5" s="2730"/>
      <c r="I5" s="2730"/>
      <c r="J5" s="2731"/>
      <c r="K5" s="2732"/>
      <c r="L5" s="2724"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1471</v>
      </c>
      <c r="U5" s="1606"/>
      <c r="V5" s="1605">
        <f t="shared" ca="1" si="1"/>
        <v>0</v>
      </c>
      <c r="W5" s="1609"/>
      <c r="X5" s="1609"/>
      <c r="Y5" s="1609"/>
      <c r="Z5" s="1609"/>
      <c r="AA5" s="1609"/>
      <c r="AB5" s="1609"/>
      <c r="AC5" s="2733"/>
      <c r="AD5" s="2734"/>
      <c r="AE5" s="2734"/>
      <c r="AF5" s="2734"/>
      <c r="AG5" s="2734"/>
      <c r="AH5" s="2734"/>
      <c r="AI5" s="2734"/>
      <c r="AJ5" s="2735"/>
    </row>
    <row r="6" spans="1:36" ht="15.75" thickBot="1">
      <c r="A6" s="2737" t="s">
        <v>2821</v>
      </c>
      <c r="B6" s="2738" t="s">
        <v>2822</v>
      </c>
      <c r="C6" s="918">
        <f>SUMIF(L1:L12,G2,M1:M12)</f>
        <v>1480</v>
      </c>
      <c r="D6" s="2739" t="s">
        <v>2823</v>
      </c>
      <c r="E6" s="2740"/>
      <c r="F6" s="2740"/>
      <c r="G6" s="2741"/>
      <c r="H6" s="2741"/>
      <c r="I6" s="2741"/>
      <c r="J6" s="2742"/>
      <c r="K6" s="1845"/>
      <c r="L6" s="2724"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1253</v>
      </c>
      <c r="U6" s="1606"/>
      <c r="V6" s="1605">
        <f t="shared" ca="1" si="1"/>
        <v>0</v>
      </c>
      <c r="W6" s="1609"/>
      <c r="X6" s="1609"/>
      <c r="Y6" s="1609"/>
      <c r="Z6" s="1609"/>
      <c r="AA6" s="1609"/>
      <c r="AB6" s="1609"/>
      <c r="AC6" s="2733"/>
      <c r="AD6" s="2734"/>
      <c r="AE6" s="2734"/>
      <c r="AF6" s="2734"/>
      <c r="AG6" s="2734"/>
      <c r="AH6" s="2734"/>
      <c r="AI6" s="2734"/>
      <c r="AJ6" s="2735"/>
    </row>
    <row r="7" spans="1:36" ht="24">
      <c r="A7" s="3189" t="str">
        <f>IF(E2="商业",IF(C8="不临58条商业街","",2),"")</f>
        <v/>
      </c>
      <c r="B7" s="2743" t="s">
        <v>2825</v>
      </c>
      <c r="C7" s="919" t="e">
        <f>IF(C8="不临58条商业街",1,ROUND(1+(1.6*E8+1.2*E9+0.8*E10+0.4*E11)*C9,4))</f>
        <v>#DIV/0!</v>
      </c>
      <c r="D7" s="2744" t="s">
        <v>2826</v>
      </c>
      <c r="E7" s="948"/>
      <c r="F7" s="2745"/>
      <c r="G7" s="2746"/>
      <c r="H7" s="2746"/>
      <c r="I7" s="2746"/>
      <c r="J7" s="2747"/>
      <c r="K7" s="1845"/>
      <c r="L7" s="2724" t="s">
        <v>2827</v>
      </c>
      <c r="M7" s="1084">
        <f>SUMPRODUCT((区片价!B158:B205=I2)*(区片价!C3:F3=E2)*(区片价!C158:F205))</f>
        <v>1480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1102</v>
      </c>
      <c r="U7" s="1606"/>
      <c r="V7" s="1605">
        <f t="shared" ca="1" si="1"/>
        <v>0</v>
      </c>
      <c r="W7" s="2977" t="s">
        <v>2828</v>
      </c>
      <c r="X7" s="1607" t="str">
        <f>G2</f>
        <v>七级</v>
      </c>
      <c r="Y7" s="1607" t="s">
        <v>2829</v>
      </c>
      <c r="Z7" s="1608">
        <f>G3</f>
        <v>1.07</v>
      </c>
      <c r="AA7" s="1609"/>
      <c r="AB7" s="1609"/>
      <c r="AC7" s="1610"/>
      <c r="AD7" s="1611"/>
      <c r="AE7" s="1611"/>
      <c r="AF7" s="1611"/>
      <c r="AG7" s="1611"/>
      <c r="AH7" s="1611"/>
      <c r="AI7" s="1611"/>
      <c r="AJ7" s="1612"/>
    </row>
    <row r="8" spans="1:36" ht="15">
      <c r="A8" s="3190"/>
      <c r="B8" s="198" t="s">
        <v>2830</v>
      </c>
      <c r="C8" s="2748"/>
      <c r="D8" s="920" t="s">
        <v>139</v>
      </c>
      <c r="E8" s="921" t="e">
        <f>ROUND(C11/E7,4)</f>
        <v>#DIV/0!</v>
      </c>
      <c r="F8" s="2749" t="s">
        <v>2831</v>
      </c>
      <c r="G8" s="2750"/>
      <c r="H8" s="2750"/>
      <c r="I8" s="2750"/>
      <c r="J8" s="2751"/>
      <c r="K8" s="1373"/>
      <c r="L8" s="2724"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2" t="s">
        <v>2833</v>
      </c>
      <c r="X8" s="318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90"/>
      <c r="B9" s="198" t="s">
        <v>2846</v>
      </c>
      <c r="C9" s="922">
        <f>SUMIF(修正!C59:C119,C8,修正!E59:E119)</f>
        <v>0</v>
      </c>
      <c r="D9" s="200" t="s">
        <v>140</v>
      </c>
      <c r="E9" s="200" t="e">
        <f>ROUND(C11/E7,4)</f>
        <v>#DIV/0!</v>
      </c>
      <c r="F9" s="2749" t="s">
        <v>2847</v>
      </c>
      <c r="G9" s="2750"/>
      <c r="H9" s="2750"/>
      <c r="I9" s="2750"/>
      <c r="J9" s="2751"/>
      <c r="K9" s="1373"/>
      <c r="L9" s="2724"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4"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0"/>
      <c r="B10" s="198" t="s">
        <v>2851</v>
      </c>
      <c r="C10" s="200">
        <f>SUMIF(修正!C59:C119,C8,修正!F59:F119)</f>
        <v>0</v>
      </c>
      <c r="D10" s="200" t="s">
        <v>141</v>
      </c>
      <c r="E10" s="200" t="e">
        <f>ROUND(C11/E7,4)</f>
        <v>#DIV/0!</v>
      </c>
      <c r="F10" s="2749" t="s">
        <v>2852</v>
      </c>
      <c r="G10" s="2750"/>
      <c r="H10" s="2750"/>
      <c r="I10" s="2750"/>
      <c r="J10" s="2751"/>
      <c r="K10" s="1373"/>
      <c r="L10" s="2724"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0"/>
      <c r="B11" s="2752" t="s">
        <v>2854</v>
      </c>
      <c r="C11" s="923">
        <f>C10/4</f>
        <v>0</v>
      </c>
      <c r="D11" s="923" t="s">
        <v>142</v>
      </c>
      <c r="E11" s="923" t="e">
        <f>ROUND(C11/E7,4)</f>
        <v>#DIV/0!</v>
      </c>
      <c r="F11" s="2753" t="s">
        <v>2855</v>
      </c>
      <c r="G11" s="2754"/>
      <c r="H11" s="2754"/>
      <c r="I11" s="2754"/>
      <c r="J11" s="2755"/>
      <c r="K11" s="1373"/>
      <c r="L11" s="2724"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4" t="s">
        <v>2857</v>
      </c>
      <c r="X11" s="1617" t="s">
        <v>2829</v>
      </c>
      <c r="Y11" s="1618">
        <f>$G$3</f>
        <v>1.07</v>
      </c>
      <c r="Z11" s="1618">
        <f t="shared" ref="Z11:AJ11" si="3">$G$3</f>
        <v>1.07</v>
      </c>
      <c r="AA11" s="1618">
        <f t="shared" si="3"/>
        <v>1.07</v>
      </c>
      <c r="AB11" s="1618">
        <f t="shared" si="3"/>
        <v>1.07</v>
      </c>
      <c r="AC11" s="1618">
        <f t="shared" si="3"/>
        <v>1.07</v>
      </c>
      <c r="AD11" s="1618">
        <f t="shared" si="3"/>
        <v>1.07</v>
      </c>
      <c r="AE11" s="1618">
        <f t="shared" si="3"/>
        <v>1.07</v>
      </c>
      <c r="AF11" s="1618">
        <f t="shared" si="3"/>
        <v>1.07</v>
      </c>
      <c r="AG11" s="1618">
        <f t="shared" si="3"/>
        <v>1.07</v>
      </c>
      <c r="AH11" s="1618">
        <f t="shared" si="3"/>
        <v>1.07</v>
      </c>
      <c r="AI11" s="1618">
        <f t="shared" si="3"/>
        <v>1.07</v>
      </c>
      <c r="AJ11" s="1618">
        <f t="shared" si="3"/>
        <v>1.07</v>
      </c>
    </row>
    <row r="12" spans="1:36" ht="25.5" thickBot="1">
      <c r="A12" s="3189" t="s">
        <v>2859</v>
      </c>
      <c r="B12" s="2756" t="s">
        <v>2860</v>
      </c>
      <c r="C12" s="919">
        <f>ROUND(C15*D15*E15*F15*G15*H15*I15*J15,4)</f>
        <v>1</v>
      </c>
      <c r="D12" s="2757" t="s">
        <v>2861</v>
      </c>
      <c r="E12" s="2758"/>
      <c r="F12" s="2758"/>
      <c r="G12" s="2759"/>
      <c r="H12" s="2759"/>
      <c r="I12" s="2759"/>
      <c r="J12" s="2760"/>
      <c r="K12" s="1373"/>
      <c r="L12" s="2761"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1"/>
      <c r="B13" s="2762" t="s">
        <v>2864</v>
      </c>
      <c r="C13" s="2763" t="s">
        <v>2865</v>
      </c>
      <c r="D13" s="2971" t="s">
        <v>2866</v>
      </c>
      <c r="E13" s="2971" t="s">
        <v>2867</v>
      </c>
      <c r="F13" s="30" t="s">
        <v>2868</v>
      </c>
      <c r="G13" s="2764" t="s">
        <v>2869</v>
      </c>
      <c r="H13" s="2764" t="s">
        <v>2869</v>
      </c>
      <c r="I13" s="2764" t="s">
        <v>2869</v>
      </c>
      <c r="J13" s="2765" t="s">
        <v>2869</v>
      </c>
      <c r="K13" s="1373"/>
      <c r="L13" s="1373"/>
      <c r="M13" s="1373"/>
      <c r="N13" s="1373"/>
      <c r="O13" s="1373"/>
      <c r="P13" s="1373"/>
      <c r="Q13" s="1373"/>
      <c r="R13" s="1605">
        <v>12</v>
      </c>
      <c r="S13" s="1606"/>
      <c r="T13" s="1605">
        <f t="shared" ca="1" si="0"/>
        <v>0</v>
      </c>
      <c r="U13" s="1606"/>
      <c r="V13" s="1605">
        <f t="shared" ca="1" si="1"/>
        <v>0</v>
      </c>
      <c r="W13" s="3184"/>
      <c r="X13" s="1619"/>
      <c r="Y13" s="1616">
        <f>(-0.163*(Y12^2)-0.59*Y12+7617)*(10^(-4))/Y11</f>
        <v>0.71186915887850466</v>
      </c>
      <c r="Z13" s="1616">
        <f t="shared" ref="Z13:AJ13" si="5">(-0.163*(Z12^2)-0.59*Z12+7617)*(10^(-4))/Z11</f>
        <v>0.71186915887850466</v>
      </c>
      <c r="AA13" s="1616">
        <f t="shared" si="5"/>
        <v>0.71186915887850466</v>
      </c>
      <c r="AB13" s="1616">
        <f t="shared" si="5"/>
        <v>0.71186915887850466</v>
      </c>
      <c r="AC13" s="1616">
        <f t="shared" si="5"/>
        <v>0.71186915887850466</v>
      </c>
      <c r="AD13" s="1616">
        <f t="shared" si="5"/>
        <v>0.71186915887850466</v>
      </c>
      <c r="AE13" s="1616">
        <f t="shared" si="5"/>
        <v>0.71186915887850466</v>
      </c>
      <c r="AF13" s="1616">
        <f t="shared" si="5"/>
        <v>0.71186915887850466</v>
      </c>
      <c r="AG13" s="1616">
        <f t="shared" si="5"/>
        <v>0.71186915887850466</v>
      </c>
      <c r="AH13" s="1616">
        <f t="shared" si="5"/>
        <v>0.71186915887850466</v>
      </c>
      <c r="AI13" s="1616">
        <f t="shared" si="5"/>
        <v>0.71186915887850466</v>
      </c>
      <c r="AJ13" s="1616">
        <f t="shared" si="5"/>
        <v>0.71186915887850466</v>
      </c>
    </row>
    <row r="14" spans="1:36" ht="15">
      <c r="A14" s="3191"/>
      <c r="B14" s="2766"/>
      <c r="C14" s="2767"/>
      <c r="D14" s="2768"/>
      <c r="E14" s="2768"/>
      <c r="F14" s="2769"/>
      <c r="G14" s="2770" t="s">
        <v>2870</v>
      </c>
      <c r="H14" s="2771"/>
      <c r="I14" s="2772"/>
      <c r="J14" s="2773"/>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2"/>
      <c r="B15" s="2774" t="s">
        <v>2871</v>
      </c>
      <c r="C15" s="229">
        <f>IF(C14="有",1.1,1)</f>
        <v>1</v>
      </c>
      <c r="D15" s="229">
        <f>IF(D14="有",1.1,1)</f>
        <v>1</v>
      </c>
      <c r="E15" s="229">
        <f>IF(E14="有",1.1,1)</f>
        <v>1</v>
      </c>
      <c r="F15" s="229">
        <f>IF(F14="500米范围内",1.2,IF(F14="500-1000米",1.1,1))</f>
        <v>1</v>
      </c>
      <c r="G15" s="949">
        <v>1</v>
      </c>
      <c r="H15" s="949">
        <v>1</v>
      </c>
      <c r="I15" s="949">
        <v>1</v>
      </c>
      <c r="J15" s="950">
        <v>1</v>
      </c>
      <c r="K15" s="1373"/>
      <c r="L15" s="2775" t="s">
        <v>2807</v>
      </c>
      <c r="M15" s="920" t="s">
        <v>2872</v>
      </c>
      <c r="N15" s="920" t="s">
        <v>2873</v>
      </c>
      <c r="O15" s="920" t="s">
        <v>2874</v>
      </c>
      <c r="P15" s="2776"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9" t="s">
        <v>2876</v>
      </c>
      <c r="B16" s="2743" t="s">
        <v>2877</v>
      </c>
      <c r="C16" s="2964">
        <f>ROUND(SUM(G17:J17)/C17,0)</f>
        <v>33</v>
      </c>
      <c r="D16" s="2777" t="s">
        <v>2878</v>
      </c>
      <c r="E16" s="2778" t="s">
        <v>3081</v>
      </c>
      <c r="F16" s="2779" t="s">
        <v>3082</v>
      </c>
      <c r="G16" s="2780" t="s">
        <v>3110</v>
      </c>
      <c r="H16" s="2780"/>
      <c r="I16" s="2780"/>
      <c r="J16" s="2781"/>
      <c r="K16" s="1373"/>
      <c r="L16" s="2782"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0"/>
      <c r="B17" s="2783" t="s">
        <v>2880</v>
      </c>
      <c r="C17" s="924">
        <f>SUMPRODUCT((修正!A2:A5=E2)*(修正!B1:M1=G2)*(修正!B2:M5))</f>
        <v>1.2</v>
      </c>
      <c r="D17" s="2784" t="s">
        <v>2881</v>
      </c>
      <c r="E17" s="923" t="str">
        <f>IF(OR(G2="八级",G2="九级",G2="十级",G2="十一级",G2="十二级"),"五通一平","七通一平")</f>
        <v>七通一平</v>
      </c>
      <c r="F17" s="924" t="s">
        <v>2882</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5"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2884</v>
      </c>
      <c r="C18" s="926">
        <f>SUMIF(修正!C18:C39,E3,修正!E18:E39)</f>
        <v>1</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9.25" thickBot="1">
      <c r="A19" s="2787" t="s">
        <v>809</v>
      </c>
      <c r="B19" s="2788" t="s">
        <v>2885</v>
      </c>
      <c r="C19" s="927">
        <f>ROUND(IF(H19="按公示增长率计算",SUMPRODUCT((地价!A3:A23=YEAR(G19)&amp;"-"&amp;ROUNDUP(MONTH(G19)/3,0))*(地价!X2:AB2=E2)*(地价!X3:AB23)),IF(H19="地价指数",M20/M19,(1+I19)^O19)),4)</f>
        <v>1.2557</v>
      </c>
      <c r="D19" s="2795" t="s">
        <v>2886</v>
      </c>
      <c r="E19" s="928">
        <v>41640</v>
      </c>
      <c r="F19" s="2795" t="s">
        <v>2887</v>
      </c>
      <c r="G19" s="929">
        <f>'数据-取费表'!B2</f>
        <v>43294</v>
      </c>
      <c r="H19" s="2796" t="s">
        <v>3084</v>
      </c>
      <c r="I19" s="930" t="str">
        <f>IF(H19="季度增幅（自定义）",SUMIF(N21:N24,E2,O21:O24),"")</f>
        <v/>
      </c>
      <c r="J19" s="2793"/>
      <c r="K19" s="1380"/>
      <c r="L19" s="2797" t="s">
        <v>2888</v>
      </c>
      <c r="M19" s="1737">
        <f>ROUND(SUMIF(地价!B2:F2,E2,地价!B23:F23),0)</f>
        <v>230</v>
      </c>
      <c r="N19" s="2798"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2890</v>
      </c>
      <c r="C20" s="932">
        <f ca="1">ROUND(POWER(1+G20,J20-I20)*(POWER(1+G20,I20)-1)/(POWER(1+G20,J20)-1),4)</f>
        <v>0.88949999999999996</v>
      </c>
      <c r="D20" s="2804" t="s">
        <v>2891</v>
      </c>
      <c r="E20" s="1771">
        <f ca="1">存贷款利率!D4/100</f>
        <v>4.3499999999999997E-2</v>
      </c>
      <c r="F20" s="2804" t="s">
        <v>2883</v>
      </c>
      <c r="G20" s="937">
        <f ca="1">SUMIF(M15:P15,E2,M17:P17)</f>
        <v>4.8000000000000001E-2</v>
      </c>
      <c r="H20" s="2804" t="s">
        <v>2892</v>
      </c>
      <c r="I20" s="938">
        <f>SUMIF('数据-取费表'!C6:C15,E2,'数据-取费表'!F6:F15)/COUNTIF('数据-取费表'!C6:C15,E2)</f>
        <v>34.78</v>
      </c>
      <c r="J20" s="939">
        <f>IF(E2="住宅",70,IF(E2="商业",40,50))</f>
        <v>50</v>
      </c>
      <c r="K20" s="1380"/>
      <c r="L20" s="2805" t="s">
        <v>2893</v>
      </c>
      <c r="M20" s="1738">
        <f>ROUND(SUMPRODUCT((地价!A4:A23=YEAR(G19)&amp;"-"&amp;ROUNDUP(MONTH(G19)/3,0))*(地价!B2:F2=E2)*(地价!B4:F23)),0)</f>
        <v>289</v>
      </c>
      <c r="N20" s="2806" t="s">
        <v>2894</v>
      </c>
      <c r="O20" s="2807" t="s">
        <v>2895</v>
      </c>
      <c r="P20" s="2808" t="s">
        <v>2896</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3085</v>
      </c>
      <c r="C21" s="2982">
        <f>IF(B21="容积率修正",IF(G3&lt;=10,D22,J22),C23)</f>
        <v>1.0681</v>
      </c>
      <c r="D21" s="2811"/>
      <c r="E21" s="2811"/>
      <c r="F21" s="2811"/>
      <c r="G21" s="2811"/>
      <c r="H21" s="2811"/>
      <c r="I21" s="2811"/>
      <c r="J21" s="2812"/>
      <c r="K21" s="1380"/>
      <c r="N21" s="2813" t="s">
        <v>2897</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6" customFormat="1" ht="14.25">
      <c r="A22" s="2662" t="s">
        <v>2898</v>
      </c>
      <c r="B22" s="2814" t="s">
        <v>2899</v>
      </c>
      <c r="C22" s="2981" t="s">
        <v>2900</v>
      </c>
      <c r="D22" s="2981">
        <f>IF(E22=G22,F22,IF(G3&lt;=10,ROUND(F22+(H22-F22)*(G3-E22)/(G22-E22),4),"——"))</f>
        <v>1.0681</v>
      </c>
      <c r="E22" s="916">
        <f>ROUNDDOWN(G3,1)</f>
        <v>1</v>
      </c>
      <c r="F22" s="29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1.1000000000000001</v>
      </c>
      <c r="H22" s="29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2981" t="s">
        <v>155</v>
      </c>
      <c r="J22" s="941" t="str">
        <f>IF(G3&gt;10,D113,"——")</f>
        <v>——</v>
      </c>
      <c r="K22" s="1380"/>
      <c r="N22" s="2813" t="s">
        <v>2901</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2" t="s">
        <v>2902</v>
      </c>
      <c r="B23" s="2815" t="s">
        <v>2903</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2904</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2905</v>
      </c>
      <c r="C24" s="927">
        <f>SUMIF(A45:A88,E2,B45:B88)</f>
        <v>1.0518000000000001</v>
      </c>
      <c r="D24" s="2791"/>
      <c r="E24" s="2821"/>
      <c r="F24" s="2821"/>
      <c r="G24" s="2821"/>
      <c r="H24" s="2821"/>
      <c r="I24" s="2821"/>
      <c r="J24" s="2822"/>
      <c r="K24" s="1380"/>
      <c r="N24" s="2823" t="s">
        <v>2906</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2907</v>
      </c>
      <c r="C25" s="933"/>
      <c r="D25" s="2746"/>
      <c r="E25" s="2746"/>
      <c r="F25" s="2825"/>
      <c r="G25" s="2746"/>
      <c r="H25" s="2746"/>
      <c r="I25" s="2746"/>
      <c r="J25" s="2747"/>
      <c r="K25" s="1373"/>
      <c r="N25" s="2826" t="s">
        <v>2908</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7"/>
      <c r="B26" s="2814" t="s">
        <v>2909</v>
      </c>
      <c r="C26" s="206">
        <f ca="1">E29+SUM(E33:E39)</f>
        <v>1225</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2910</v>
      </c>
      <c r="C27" s="934">
        <f ca="1">E30+SUM(I33:I39)</f>
        <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2911</v>
      </c>
      <c r="C28" s="2838" t="s">
        <v>2912</v>
      </c>
      <c r="D28" s="2838" t="s">
        <v>2913</v>
      </c>
      <c r="E28" s="2839" t="s">
        <v>2914</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2915</v>
      </c>
      <c r="C29" s="206">
        <f ca="1">ROUND(C5*C18*C19*C20*C21*C24,0)</f>
        <v>1816</v>
      </c>
      <c r="D29" s="2843">
        <f>'数据-汇总表'!F20</f>
        <v>6744.41</v>
      </c>
      <c r="E29" s="2980">
        <f ca="1">ROUND(C29*D29/10000,0)</f>
        <v>1225</v>
      </c>
      <c r="F29" s="2844" t="s">
        <v>2916</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2917</v>
      </c>
      <c r="C30" s="229">
        <f ca="1">ROUND(IF(E2="工业",C29*M39,C29*M38),0)</f>
        <v>272</v>
      </c>
      <c r="D30" s="2849"/>
      <c r="E30" s="2980">
        <f ca="1">ROUND(C30*D30/10000,0)</f>
        <v>0</v>
      </c>
      <c r="F30" s="2850" t="s">
        <v>2918</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199" t="s">
        <v>2923</v>
      </c>
      <c r="B33" s="2859" t="s">
        <v>2924</v>
      </c>
      <c r="C33" s="206">
        <f ca="1">ROUND(D5*C19*C20*C24*F33,0)</f>
        <v>0</v>
      </c>
      <c r="D33" s="2843"/>
      <c r="E33" s="200">
        <f ca="1">ROUND(C33*D33/10000,0)</f>
        <v>0</v>
      </c>
      <c r="F33" s="200">
        <f>SUMIF(修正!A45:A56,G2,修正!B45:B56)</f>
        <v>0.7</v>
      </c>
      <c r="G33" s="200">
        <f t="shared" ref="G33" ca="1" si="6">ROUND(IF(E2="工业",C33*$M$39,C33*$M$38),0)</f>
        <v>0</v>
      </c>
      <c r="H33" s="200">
        <f>D33</f>
        <v>0</v>
      </c>
      <c r="I33" s="200">
        <f ca="1">ROUND(G33*H33/10000,0)</f>
        <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0"/>
      <c r="B34" s="2763" t="s">
        <v>2925</v>
      </c>
      <c r="C34" s="206">
        <f ca="1">ROUND(D5*C19*C20*C24*F34,0)</f>
        <v>0</v>
      </c>
      <c r="D34" s="2843"/>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0"/>
      <c r="B35" s="2763" t="s">
        <v>2926</v>
      </c>
      <c r="C35" s="206">
        <f ca="1">ROUND(D5*C19*C20*C24*F35,0)</f>
        <v>0</v>
      </c>
      <c r="D35" s="2843"/>
      <c r="E35" s="200">
        <f t="shared" ca="1" si="7"/>
        <v>0</v>
      </c>
      <c r="F35" s="200">
        <f>SUMIF(修正!A45:A56,G2,修正!D45:D56)</f>
        <v>0.28000000000000003</v>
      </c>
      <c r="G35" s="200">
        <f ca="1">ROUND(IF(E2="工业",C35*$M$39,C35*$M$38),0)</f>
        <v>0</v>
      </c>
      <c r="H35" s="200">
        <f t="shared" si="8"/>
        <v>0</v>
      </c>
      <c r="I35" s="200">
        <f t="shared" ca="1" si="9"/>
        <v>0</v>
      </c>
      <c r="J35" s="2860"/>
      <c r="K35" s="1373"/>
      <c r="L35" s="1373"/>
      <c r="M35" s="1373"/>
      <c r="N35" s="1373"/>
      <c r="O35" s="1373"/>
      <c r="P35" s="1373"/>
      <c r="Q35" s="1373"/>
      <c r="R35" s="1373"/>
      <c r="S35" s="1373"/>
      <c r="T35" s="1373"/>
      <c r="U35" s="1373"/>
      <c r="V35" s="1373"/>
      <c r="W35" s="1373"/>
      <c r="X35" s="1373"/>
      <c r="Y35" s="1373"/>
      <c r="Z35" s="1374"/>
    </row>
    <row r="36" spans="1:37" ht="13.5" thickBot="1">
      <c r="A36" s="3201"/>
      <c r="B36" s="2763" t="s">
        <v>2927</v>
      </c>
      <c r="C36" s="206">
        <f ca="1">ROUND(D5*C19*C20*C24*F36,0)</f>
        <v>0</v>
      </c>
      <c r="D36" s="2843"/>
      <c r="E36" s="200">
        <f t="shared" ca="1" si="7"/>
        <v>0</v>
      </c>
      <c r="F36" s="200">
        <f>SUMIF(修正!A45:A56,G2,修正!E45:E56)</f>
        <v>0.25</v>
      </c>
      <c r="G36" s="200">
        <f ca="1">ROUND(IF(E2="工业",C36*$M$39,C36*$M$38),0)</f>
        <v>0</v>
      </c>
      <c r="H36" s="200">
        <f t="shared" si="8"/>
        <v>0</v>
      </c>
      <c r="I36" s="200">
        <f t="shared" ca="1" si="9"/>
        <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2928</v>
      </c>
      <c r="C37" s="200">
        <f ca="1">ROUND(C5*C19*C20*C24*F37,0)</f>
        <v>425</v>
      </c>
      <c r="D37" s="2843"/>
      <c r="E37" s="200">
        <f t="shared" ca="1" si="7"/>
        <v>0</v>
      </c>
      <c r="F37" s="206">
        <f>SUMIF(修正!A45:A56,G2,修正!F45:F56)</f>
        <v>0.25</v>
      </c>
      <c r="G37" s="200">
        <f ca="1">ROUND(IF(E2="工业",C37*$M$39,C37*$M$38),0)</f>
        <v>64</v>
      </c>
      <c r="H37" s="200">
        <f t="shared" si="8"/>
        <v>0</v>
      </c>
      <c r="I37" s="200">
        <f t="shared" ca="1" si="9"/>
        <v>0</v>
      </c>
      <c r="J37" s="2860"/>
      <c r="K37" s="1373"/>
      <c r="L37" s="2862" t="s">
        <v>2929</v>
      </c>
      <c r="M37" s="2863"/>
      <c r="N37" s="1373"/>
      <c r="O37" s="1373"/>
      <c r="P37" s="1373"/>
      <c r="Q37" s="1373"/>
      <c r="R37" s="1373"/>
      <c r="S37" s="1373"/>
      <c r="T37" s="1373"/>
      <c r="U37" s="1373"/>
      <c r="V37" s="1373"/>
      <c r="W37" s="1373"/>
      <c r="X37" s="1373"/>
      <c r="Y37" s="1373"/>
      <c r="Z37" s="1374"/>
    </row>
    <row r="38" spans="1:37">
      <c r="A38" s="2861"/>
      <c r="B38" s="2763" t="s">
        <v>2930</v>
      </c>
      <c r="C38" s="200">
        <f ca="1">ROUND(C5*C19*C20*C24*F38,0)</f>
        <v>425</v>
      </c>
      <c r="D38" s="2843"/>
      <c r="E38" s="200">
        <f t="shared" ca="1" si="7"/>
        <v>0</v>
      </c>
      <c r="F38" s="206">
        <f>SUMIF(修正!A45:A56,G2,修正!G45:G56)</f>
        <v>0.25</v>
      </c>
      <c r="G38" s="200">
        <f ca="1">ROUND(IF(E2="工业",C38*$M$39,C38*$M$38),0)</f>
        <v>64</v>
      </c>
      <c r="H38" s="200">
        <f t="shared" si="8"/>
        <v>0</v>
      </c>
      <c r="I38" s="200">
        <f t="shared" ca="1" si="9"/>
        <v>0</v>
      </c>
      <c r="J38" s="2860"/>
      <c r="K38" s="1373"/>
      <c r="L38" s="1890" t="s">
        <v>2931</v>
      </c>
      <c r="M38" s="2864">
        <v>0.25</v>
      </c>
      <c r="N38" s="1373"/>
      <c r="O38" s="1373"/>
      <c r="P38" s="1373"/>
      <c r="Q38" s="1373"/>
      <c r="R38" s="1373"/>
      <c r="S38" s="1373"/>
      <c r="T38" s="1373"/>
      <c r="U38" s="1373"/>
      <c r="V38" s="1373"/>
      <c r="W38" s="1373"/>
      <c r="X38" s="1373"/>
      <c r="Y38" s="1373"/>
      <c r="Z38" s="1374"/>
    </row>
    <row r="39" spans="1:37" ht="13.5" thickBot="1">
      <c r="A39" s="2847"/>
      <c r="B39" s="2865" t="s">
        <v>2932</v>
      </c>
      <c r="C39" s="229">
        <f ca="1">ROUND(C5*C19*C20*C24*F39,0)</f>
        <v>340</v>
      </c>
      <c r="D39" s="2849"/>
      <c r="E39" s="229">
        <f t="shared" ca="1" si="7"/>
        <v>0</v>
      </c>
      <c r="F39" s="935">
        <f>SUMIF(修正!A45:A56,G2,修正!H45:H56)</f>
        <v>0.2</v>
      </c>
      <c r="G39" s="229">
        <f ca="1">ROUND(IF(E2="工业",C39*$M$39,C39*$M$38),0)</f>
        <v>51</v>
      </c>
      <c r="H39" s="229">
        <f t="shared" si="8"/>
        <v>0</v>
      </c>
      <c r="I39" s="229">
        <f t="shared" ca="1" si="9"/>
        <v>0</v>
      </c>
      <c r="J39" s="2866"/>
      <c r="K39" s="1373"/>
      <c r="L39" s="2867" t="s">
        <v>2875</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2933</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2934</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2935</v>
      </c>
      <c r="B47" s="2969" t="s">
        <v>2936</v>
      </c>
      <c r="C47" s="2969" t="s">
        <v>2937</v>
      </c>
      <c r="D47" s="2969" t="s">
        <v>2938</v>
      </c>
      <c r="E47" s="819" t="s">
        <v>2939</v>
      </c>
      <c r="F47" s="2877" t="s">
        <v>2940</v>
      </c>
      <c r="G47" s="2969" t="s">
        <v>754</v>
      </c>
      <c r="H47" s="2878" t="s">
        <v>2941</v>
      </c>
      <c r="I47" s="2969"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38.25">
      <c r="A48" s="2876" t="s">
        <v>2943</v>
      </c>
      <c r="B48" s="2879" t="str">
        <f>估价对象房地状况!C4</f>
        <v>估价对象位于XX商圈，周边商业氛围成熟，人流量大，商业繁华度好</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6" t="s">
        <v>2944</v>
      </c>
      <c r="B49" s="2880" t="str">
        <f>估价对象房地状况!C18</f>
        <v>估价对象周边道路状况、公共交通通达情况、停车便捷程度，综合评价交通便捷度较好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2945</v>
      </c>
      <c r="B50" s="2880">
        <f>估价对象房地状况!C19</f>
        <v>0</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2946</v>
      </c>
      <c r="B51" s="2881" t="s">
        <v>2947</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2948</v>
      </c>
      <c r="B52" s="2880">
        <f>估价对象房地状况!C24</f>
        <v>0</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2949</v>
      </c>
      <c r="B53" s="2882" t="s">
        <v>2950</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2951</v>
      </c>
      <c r="B54" s="1728" t="str">
        <f>估价对象房地状况!C21</f>
        <v>估价对象所在区域公共配套设施齐备情况</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2952</v>
      </c>
      <c r="B55" s="2880" t="str">
        <f>估价对象房地状况!C22</f>
        <v>估价对象所在区域基础设施水平</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4" t="s">
        <v>2953</v>
      </c>
      <c r="B56" s="2885" t="str">
        <f>估价对象房地状况!C20</f>
        <v>区域自然环境：；人文环境；综合评价环境状况一般</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2954</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2935</v>
      </c>
      <c r="B58" s="2969"/>
      <c r="C58" s="2969" t="s">
        <v>2937</v>
      </c>
      <c r="D58" s="2969" t="s">
        <v>2938</v>
      </c>
      <c r="E58" s="819" t="s">
        <v>2939</v>
      </c>
      <c r="F58" s="2877" t="s">
        <v>2955</v>
      </c>
      <c r="G58" s="2969" t="s">
        <v>754</v>
      </c>
      <c r="H58" s="2878" t="s">
        <v>2941</v>
      </c>
      <c r="I58" s="2969"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38.25">
      <c r="A59" s="2876" t="s">
        <v>2956</v>
      </c>
      <c r="B59" s="2879" t="str">
        <f>估价对象房地状况!C17</f>
        <v>估价对象位于XX商圈，周边办公楼项目较多，入驻率高，办公集聚程度较好</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6" t="s">
        <v>2944</v>
      </c>
      <c r="B60" s="2880" t="str">
        <f>估价对象房地状况!C18</f>
        <v>估价对象周边道路状况、公共交通通达情况、停车便捷程度，综合评价交通便捷度较好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2945</v>
      </c>
      <c r="B61" s="2880">
        <f>估价对象房地状况!C19</f>
        <v>0</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2946</v>
      </c>
      <c r="B62" s="2881" t="s">
        <v>2947</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2948</v>
      </c>
      <c r="B63" s="2880">
        <f>估价对象房地状况!C24</f>
        <v>0</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2949</v>
      </c>
      <c r="B64" s="2882" t="s">
        <v>2950</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2951</v>
      </c>
      <c r="B65" s="1728" t="str">
        <f>估价对象房地状况!C21</f>
        <v>估价对象所在区域公共配套设施齐备情况</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2952</v>
      </c>
      <c r="B66" s="1728" t="str">
        <f>估价对象房地状况!C22</f>
        <v>估价对象所在区域基础设施水平</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4" t="s">
        <v>2953</v>
      </c>
      <c r="B67" s="2886" t="str">
        <f>估价对象房地状况!C20</f>
        <v>区域自然环境：；人文环境；综合评价环境状况一般</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2957</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2935</v>
      </c>
      <c r="B69" s="2969"/>
      <c r="C69" s="2969" t="s">
        <v>2937</v>
      </c>
      <c r="D69" s="2969" t="s">
        <v>2938</v>
      </c>
      <c r="E69" s="819" t="s">
        <v>2939</v>
      </c>
      <c r="F69" s="2877" t="s">
        <v>2955</v>
      </c>
      <c r="G69" s="2969" t="s">
        <v>754</v>
      </c>
      <c r="H69" s="2878" t="s">
        <v>2941</v>
      </c>
      <c r="I69" s="2969"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51">
      <c r="A70" s="2876" t="s">
        <v>2958</v>
      </c>
      <c r="B70" s="2879" t="str">
        <f>估价对象房地状况!C15</f>
        <v>估价对象周边居住用地比例、居住小区规模和社区发展完善程度，综合评价居住社区成熟度一般</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6" t="s">
        <v>2944</v>
      </c>
      <c r="B71" s="2880" t="str">
        <f>估价对象房地状况!C18</f>
        <v>估价对象周边道路状况、公共交通通达情况、停车便捷程度，综合评价交通便捷度较好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2945</v>
      </c>
      <c r="B72" s="2880">
        <f>估价对象房地状况!C19</f>
        <v>0</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2959</v>
      </c>
      <c r="B73" s="2880">
        <f>估价对象房地状况!C24</f>
        <v>0</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2951</v>
      </c>
      <c r="B74" s="1728" t="str">
        <f>估价对象房地状况!C21</f>
        <v>估价对象所在区域公共配套设施齐备情况</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2952</v>
      </c>
      <c r="B75" s="1728" t="str">
        <f>估价对象房地状况!C22</f>
        <v>估价对象所在区域基础设施水平</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2949</v>
      </c>
      <c r="B76" s="2882" t="s">
        <v>2950</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38.25">
      <c r="A77" s="2876" t="s">
        <v>2953</v>
      </c>
      <c r="B77" s="2879" t="str">
        <f>估价对象房地状况!C20</f>
        <v>区域自然环境：；人文环境；综合评价环境状况一般</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2960</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2961</v>
      </c>
      <c r="B79" s="2873">
        <f>1+E81</f>
        <v>1.0518000000000001</v>
      </c>
      <c r="C79" s="814"/>
      <c r="D79" s="814"/>
      <c r="E79" s="815"/>
      <c r="F79" s="2875"/>
      <c r="G79" s="6"/>
      <c r="H79" s="6"/>
      <c r="I79" s="6"/>
      <c r="J79" s="7"/>
      <c r="K79" s="7"/>
      <c r="L79" s="7"/>
      <c r="M79" s="7"/>
      <c r="N79" s="7"/>
      <c r="Z79" s="2718"/>
      <c r="AA79" s="2794"/>
      <c r="AG79" s="1375"/>
      <c r="AK79" s="2794"/>
    </row>
    <row r="80" spans="1:37" ht="24.75">
      <c r="A80" s="2876" t="s">
        <v>2935</v>
      </c>
      <c r="B80" s="2969"/>
      <c r="C80" s="2969" t="s">
        <v>2937</v>
      </c>
      <c r="D80" s="2969" t="s">
        <v>2938</v>
      </c>
      <c r="E80" s="819" t="s">
        <v>2939</v>
      </c>
      <c r="F80" s="2877" t="s">
        <v>2955</v>
      </c>
      <c r="G80" s="2969" t="s">
        <v>754</v>
      </c>
      <c r="H80" s="2878" t="s">
        <v>2941</v>
      </c>
      <c r="I80" s="2969" t="s">
        <v>2942</v>
      </c>
      <c r="J80" s="603" t="s">
        <v>2590</v>
      </c>
      <c r="K80" s="603" t="s">
        <v>2591</v>
      </c>
      <c r="L80" s="603" t="s">
        <v>2592</v>
      </c>
      <c r="M80" s="603" t="s">
        <v>2593</v>
      </c>
      <c r="N80" s="603" t="s">
        <v>2594</v>
      </c>
      <c r="Z80" s="2718"/>
      <c r="AA80" s="2794"/>
      <c r="AG80" s="1375"/>
      <c r="AK80" s="2794"/>
    </row>
    <row r="81" spans="1:37" ht="38.25">
      <c r="A81" s="2876" t="s">
        <v>2962</v>
      </c>
      <c r="B81" s="2880" t="str">
        <f>估价对象房地状况!G15</f>
        <v>估价对象位于天竺空港工业区，园区建设成熟度较好，产业集聚程度较好</v>
      </c>
      <c r="C81" s="2768" t="s">
        <v>3089</v>
      </c>
      <c r="D81" s="1289">
        <f t="shared" ref="D81:D88" si="25">SUMIF($J$80:$N$80,C81,J81:N81)</f>
        <v>1.6899999999999998E-2</v>
      </c>
      <c r="E81" s="821">
        <f>ROUND(SUM(D81:D88),4)</f>
        <v>5.1799999999999999E-2</v>
      </c>
      <c r="F81" s="2499">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18"/>
      <c r="AA81" s="2794"/>
      <c r="AG81" s="1375"/>
      <c r="AK81" s="2794"/>
    </row>
    <row r="82" spans="1:37" ht="51">
      <c r="A82" s="2876" t="s">
        <v>2944</v>
      </c>
      <c r="B82" s="2880" t="str">
        <f>估价对象房地状况!G16</f>
        <v>估价对象周边道路状况较好、公共交通通达情况较好、停车便捷程度较好，综合评价交通便捷度较好</v>
      </c>
      <c r="C82" s="2768" t="s">
        <v>3089</v>
      </c>
      <c r="D82" s="1289">
        <f t="shared" si="25"/>
        <v>2.1399999999999999E-2</v>
      </c>
      <c r="E82" s="826"/>
      <c r="F82" s="2499"/>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18"/>
      <c r="AA82" s="2794"/>
      <c r="AG82" s="1375"/>
      <c r="AK82" s="2794"/>
    </row>
    <row r="83" spans="1:37" ht="24">
      <c r="A83" s="2876" t="s">
        <v>2945</v>
      </c>
      <c r="B83" s="2880">
        <f>估价对象房地状况!G17</f>
        <v>0</v>
      </c>
      <c r="C83" s="2768" t="s">
        <v>3089</v>
      </c>
      <c r="D83" s="1289">
        <f t="shared" si="25"/>
        <v>3.2000000000000002E-3</v>
      </c>
      <c r="E83" s="826"/>
      <c r="F83" s="2499"/>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18"/>
      <c r="AA83" s="2794"/>
      <c r="AG83" s="1375"/>
      <c r="AK83" s="2794"/>
    </row>
    <row r="84" spans="1:37" ht="14.25">
      <c r="A84" s="2876" t="s">
        <v>2959</v>
      </c>
      <c r="B84" s="2880">
        <f>估价对象房地状况!G22</f>
        <v>0</v>
      </c>
      <c r="C84" s="2768" t="s">
        <v>3092</v>
      </c>
      <c r="D84" s="1289">
        <f t="shared" si="25"/>
        <v>-2.5999999999999999E-3</v>
      </c>
      <c r="E84" s="826"/>
      <c r="F84" s="2499"/>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18"/>
      <c r="AA84" s="2794"/>
      <c r="AG84" s="1375"/>
      <c r="AK84" s="2794"/>
    </row>
    <row r="85" spans="1:37" ht="25.5">
      <c r="A85" s="2876" t="s">
        <v>2951</v>
      </c>
      <c r="B85" s="1728" t="str">
        <f>估价对象房地状况!G19</f>
        <v>估价对象所在区域公共配套设施齐备情况一般</v>
      </c>
      <c r="C85" s="2768" t="s">
        <v>3090</v>
      </c>
      <c r="D85" s="1289">
        <f t="shared" si="25"/>
        <v>0</v>
      </c>
      <c r="E85" s="826"/>
      <c r="F85" s="2499"/>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18"/>
      <c r="AA85" s="2794"/>
      <c r="AG85" s="1375"/>
      <c r="AK85" s="2794"/>
    </row>
    <row r="86" spans="1:37" ht="25.5">
      <c r="A86" s="2876" t="s">
        <v>2952</v>
      </c>
      <c r="B86" s="1728" t="str">
        <f>估价对象房地状况!G20</f>
        <v>估价对象所在区域基础设施水平为六通</v>
      </c>
      <c r="C86" s="2768" t="s">
        <v>3089</v>
      </c>
      <c r="D86" s="1289">
        <f t="shared" si="25"/>
        <v>9.7000000000000003E-3</v>
      </c>
      <c r="E86" s="826"/>
      <c r="F86" s="2499"/>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18"/>
      <c r="AA86" s="2794"/>
      <c r="AG86" s="1375"/>
      <c r="AK86" s="2794"/>
    </row>
    <row r="87" spans="1:37" ht="24">
      <c r="A87" s="2876" t="s">
        <v>2949</v>
      </c>
      <c r="B87" s="2990" t="s">
        <v>3115</v>
      </c>
      <c r="C87" s="2768" t="s">
        <v>3089</v>
      </c>
      <c r="D87" s="1289">
        <f t="shared" si="25"/>
        <v>3.2000000000000002E-3</v>
      </c>
      <c r="E87" s="826"/>
      <c r="F87" s="2499"/>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18"/>
      <c r="AA87" s="2794"/>
      <c r="AG87" s="1375"/>
      <c r="AK87" s="2794"/>
    </row>
    <row r="88" spans="1:37" ht="39" thickBot="1">
      <c r="A88" s="2884" t="s">
        <v>2963</v>
      </c>
      <c r="B88" s="2889" t="str">
        <f>估价对象房地状况!G18</f>
        <v>该园区内无污染型企业，绿化情况一般，卫生条件一般，整体环境状况一般</v>
      </c>
      <c r="C88" s="2768" t="s">
        <v>3090</v>
      </c>
      <c r="D88" s="1289">
        <f t="shared" si="25"/>
        <v>0</v>
      </c>
      <c r="E88" s="827"/>
      <c r="F88" s="2499"/>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18"/>
      <c r="AA88" s="2794"/>
      <c r="AG88" s="1375"/>
      <c r="AK88" s="2794"/>
    </row>
    <row r="90" spans="1:37">
      <c r="A90" s="3193" t="s">
        <v>2964</v>
      </c>
      <c r="B90" s="3193"/>
      <c r="C90" s="3193"/>
      <c r="D90" s="3193"/>
      <c r="E90" s="3193"/>
      <c r="F90" s="3193"/>
      <c r="G90" s="3193"/>
      <c r="H90" s="3193"/>
      <c r="I90" s="3193"/>
      <c r="J90" s="3193"/>
      <c r="K90" s="2978"/>
      <c r="L90" s="2978"/>
      <c r="M90" s="2978"/>
      <c r="N90" s="2978"/>
    </row>
    <row r="91" spans="1:37">
      <c r="A91" s="3195" t="s">
        <v>2965</v>
      </c>
      <c r="B91" s="3195" t="s">
        <v>2966</v>
      </c>
      <c r="C91" s="2844" t="s">
        <v>2967</v>
      </c>
      <c r="D91" s="2845"/>
      <c r="E91" s="2845"/>
      <c r="F91" s="2845"/>
      <c r="G91" s="2845"/>
      <c r="H91" s="2845"/>
      <c r="I91" s="2845"/>
      <c r="J91" s="2891"/>
      <c r="K91" s="2892"/>
      <c r="L91" s="2892"/>
      <c r="M91" s="2892"/>
      <c r="N91" s="2892"/>
    </row>
    <row r="92" spans="1:37">
      <c r="A92" s="3195"/>
      <c r="B92" s="3195"/>
      <c r="C92" s="2980" t="s">
        <v>2834</v>
      </c>
      <c r="D92" s="2980" t="s">
        <v>2835</v>
      </c>
      <c r="E92" s="2980" t="s">
        <v>2836</v>
      </c>
      <c r="F92" s="2980" t="s">
        <v>2837</v>
      </c>
      <c r="G92" s="2980" t="s">
        <v>2838</v>
      </c>
      <c r="H92" s="2980" t="s">
        <v>2839</v>
      </c>
      <c r="I92" s="2980" t="s">
        <v>2840</v>
      </c>
      <c r="J92" s="2980" t="s">
        <v>2841</v>
      </c>
      <c r="K92" s="2980" t="s">
        <v>2842</v>
      </c>
      <c r="L92" s="2980" t="s">
        <v>2843</v>
      </c>
      <c r="M92" s="2980" t="s">
        <v>2844</v>
      </c>
      <c r="N92" s="2980" t="s">
        <v>2845</v>
      </c>
    </row>
    <row r="93" spans="1:37">
      <c r="A93" s="3196"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97"/>
      <c r="B99" s="2893" t="s">
        <v>2850</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1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96" t="s">
        <v>2969</v>
      </c>
      <c r="B101" s="2897" t="s">
        <v>2970</v>
      </c>
      <c r="C101" s="2898">
        <f>$G$3</f>
        <v>1.07</v>
      </c>
      <c r="D101" s="2898">
        <f t="shared" ref="D101:N101" si="32">$G$3</f>
        <v>1.07</v>
      </c>
      <c r="E101" s="2898">
        <f t="shared" si="32"/>
        <v>1.07</v>
      </c>
      <c r="F101" s="2898">
        <f t="shared" si="32"/>
        <v>1.07</v>
      </c>
      <c r="G101" s="2898">
        <f t="shared" si="32"/>
        <v>1.07</v>
      </c>
      <c r="H101" s="2898">
        <f t="shared" si="32"/>
        <v>1.07</v>
      </c>
      <c r="I101" s="2898">
        <f t="shared" si="32"/>
        <v>1.07</v>
      </c>
      <c r="J101" s="2898">
        <f t="shared" si="32"/>
        <v>1.07</v>
      </c>
      <c r="K101" s="2898">
        <f t="shared" si="32"/>
        <v>1.07</v>
      </c>
      <c r="L101" s="2898">
        <f t="shared" si="32"/>
        <v>1.07</v>
      </c>
      <c r="M101" s="2898">
        <f t="shared" si="32"/>
        <v>1.07</v>
      </c>
      <c r="N101" s="2898">
        <f t="shared" si="32"/>
        <v>1.07</v>
      </c>
    </row>
    <row r="102" spans="1:14">
      <c r="A102" s="3197"/>
      <c r="B102" s="2893">
        <v>1</v>
      </c>
      <c r="C102" s="2894">
        <f>1.9362/C101</f>
        <v>1.8095327102803735</v>
      </c>
      <c r="D102" s="2894">
        <f>1.9362/D101</f>
        <v>1.8095327102803735</v>
      </c>
      <c r="E102" s="2894">
        <f>1.8629/E101</f>
        <v>1.7410280373831775</v>
      </c>
      <c r="F102" s="2894">
        <f>1.8629/F101</f>
        <v>1.7410280373831775</v>
      </c>
      <c r="G102" s="2894">
        <f>1.8629/G101</f>
        <v>1.7410280373831775</v>
      </c>
      <c r="H102" s="2894">
        <f>1.8629/H101</f>
        <v>1.7410280373831775</v>
      </c>
      <c r="I102" s="2894">
        <f>1.8629/I101</f>
        <v>1.7410280373831775</v>
      </c>
      <c r="J102" s="2894">
        <f>1.942/J101</f>
        <v>1.8149532710280372</v>
      </c>
      <c r="K102" s="2894">
        <f>1.942/K101</f>
        <v>1.8149532710280372</v>
      </c>
      <c r="L102" s="2894">
        <f>1.942/L101</f>
        <v>1.8149532710280372</v>
      </c>
      <c r="M102" s="2894">
        <f>1.942/M101</f>
        <v>1.8149532710280372</v>
      </c>
      <c r="N102" s="2894">
        <f>1.942/N101</f>
        <v>1.8149532710280372</v>
      </c>
    </row>
    <row r="103" spans="1:14">
      <c r="A103" s="3197"/>
      <c r="B103" s="2893">
        <v>2</v>
      </c>
      <c r="C103" s="2894">
        <f>1.4198/C101</f>
        <v>1.3269158878504672</v>
      </c>
      <c r="D103" s="2894">
        <f>1.4198/D101</f>
        <v>1.3269158878504672</v>
      </c>
      <c r="E103" s="2894">
        <f>1.3372/E101</f>
        <v>1.2497196261682242</v>
      </c>
      <c r="F103" s="2894">
        <f>1.3372/F101</f>
        <v>1.2497196261682242</v>
      </c>
      <c r="G103" s="2894">
        <f>1.3372/G101</f>
        <v>1.2497196261682242</v>
      </c>
      <c r="H103" s="2894">
        <f>1.3372/H101</f>
        <v>1.2497196261682242</v>
      </c>
      <c r="I103" s="2894">
        <f>1.3372/I101</f>
        <v>1.2497196261682242</v>
      </c>
      <c r="J103" s="2894">
        <f>1.2799/J101</f>
        <v>1.1961682242990654</v>
      </c>
      <c r="K103" s="2894">
        <f>1.2799/K101</f>
        <v>1.1961682242990654</v>
      </c>
      <c r="L103" s="2894">
        <f>1.2799/L101</f>
        <v>1.1961682242990654</v>
      </c>
      <c r="M103" s="2894">
        <f>1.2799/M101</f>
        <v>1.1961682242990654</v>
      </c>
      <c r="N103" s="2894">
        <f>1.2799/N101</f>
        <v>1.1961682242990654</v>
      </c>
    </row>
    <row r="104" spans="1:14">
      <c r="A104" s="3197"/>
      <c r="B104" s="2893">
        <v>3</v>
      </c>
      <c r="C104" s="2894">
        <f>1.1594/C101</f>
        <v>1.0835514018691588</v>
      </c>
      <c r="D104" s="2894">
        <f>1.1594/D101</f>
        <v>1.0835514018691588</v>
      </c>
      <c r="E104" s="2894">
        <f>1.0788/E101</f>
        <v>1.0082242990654204</v>
      </c>
      <c r="F104" s="2894">
        <f>1.0788/F101</f>
        <v>1.0082242990654204</v>
      </c>
      <c r="G104" s="2894">
        <f>1.0788/G101</f>
        <v>1.0082242990654204</v>
      </c>
      <c r="H104" s="2894">
        <f>1.0788/H101</f>
        <v>1.0082242990654204</v>
      </c>
      <c r="I104" s="2894">
        <f>1.0788/I101</f>
        <v>1.0082242990654204</v>
      </c>
      <c r="J104" s="2894">
        <f>1.0072/J101</f>
        <v>0.94130841121495334</v>
      </c>
      <c r="K104" s="2894">
        <f>1.0072/K101</f>
        <v>0.94130841121495334</v>
      </c>
      <c r="L104" s="2894">
        <f>1.0072/L101</f>
        <v>0.94130841121495334</v>
      </c>
      <c r="M104" s="2894">
        <f>1.0072/M101</f>
        <v>0.94130841121495334</v>
      </c>
      <c r="N104" s="2894">
        <f>1.0072/N101</f>
        <v>0.94130841121495334</v>
      </c>
    </row>
    <row r="105" spans="1:14">
      <c r="A105" s="3197"/>
      <c r="B105" s="2893">
        <v>4</v>
      </c>
      <c r="C105" s="2894">
        <f>0.9622/C101</f>
        <v>0.89925233644859814</v>
      </c>
      <c r="D105" s="2894">
        <f>0.9622/D101</f>
        <v>0.89925233644859814</v>
      </c>
      <c r="E105" s="2894">
        <f>0.8656/E101</f>
        <v>0.80897196261682247</v>
      </c>
      <c r="F105" s="2894">
        <f>0.8656/F101</f>
        <v>0.80897196261682247</v>
      </c>
      <c r="G105" s="2894">
        <f>0.8656/G101</f>
        <v>0.80897196261682247</v>
      </c>
      <c r="H105" s="2894">
        <f>0.8656/H101</f>
        <v>0.80897196261682247</v>
      </c>
      <c r="I105" s="2894">
        <f>0.8656/I101</f>
        <v>0.80897196261682247</v>
      </c>
      <c r="J105" s="2894">
        <f>0.7525/J101</f>
        <v>0.70327102803738306</v>
      </c>
      <c r="K105" s="2894">
        <f>0.7525/K101</f>
        <v>0.70327102803738306</v>
      </c>
      <c r="L105" s="2894">
        <f>0.7525/L101</f>
        <v>0.70327102803738306</v>
      </c>
      <c r="M105" s="2894">
        <f>0.7525/M101</f>
        <v>0.70327102803738306</v>
      </c>
      <c r="N105" s="2894">
        <f>0.7525/N101</f>
        <v>0.70327102803738306</v>
      </c>
    </row>
    <row r="106" spans="1:14">
      <c r="A106" s="3197"/>
      <c r="B106" s="2893">
        <v>5</v>
      </c>
      <c r="C106" s="2894">
        <f>0.8417/C101</f>
        <v>0.78663551401869158</v>
      </c>
      <c r="D106" s="2894">
        <f>0.8417/D101</f>
        <v>0.78663551401869158</v>
      </c>
      <c r="E106" s="2894">
        <f>0.7371/E101</f>
        <v>0.68887850467289713</v>
      </c>
      <c r="F106" s="2894">
        <f>0.7371/F101</f>
        <v>0.68887850467289713</v>
      </c>
      <c r="G106" s="2894">
        <f>0.7371/G101</f>
        <v>0.68887850467289713</v>
      </c>
      <c r="H106" s="2894">
        <f>0.7371/H101</f>
        <v>0.68887850467289713</v>
      </c>
      <c r="I106" s="2894">
        <f>0.7371/I101</f>
        <v>0.68887850467289713</v>
      </c>
      <c r="J106" s="2894">
        <f>0.5659/J101</f>
        <v>0.5288785046728971</v>
      </c>
      <c r="K106" s="2894">
        <f>0.5659/K101</f>
        <v>0.5288785046728971</v>
      </c>
      <c r="L106" s="2894">
        <f>0.5659/L101</f>
        <v>0.5288785046728971</v>
      </c>
      <c r="M106" s="2894">
        <f>0.5659/M101</f>
        <v>0.5288785046728971</v>
      </c>
      <c r="N106" s="2894">
        <f>0.5659/N101</f>
        <v>0.5288785046728971</v>
      </c>
    </row>
    <row r="107" spans="1:14">
      <c r="A107" s="3197"/>
      <c r="B107" s="2893">
        <v>6</v>
      </c>
      <c r="C107" s="2894">
        <f>0.7608/C101</f>
        <v>0.71102803738317755</v>
      </c>
      <c r="D107" s="2894">
        <f>0.7608/D101</f>
        <v>0.71102803738317755</v>
      </c>
      <c r="E107" s="2894">
        <f>0.6482/E101</f>
        <v>0.60579439252336442</v>
      </c>
      <c r="F107" s="2894">
        <f>0.6482/F101</f>
        <v>0.60579439252336442</v>
      </c>
      <c r="G107" s="2894">
        <f>0.6482/G101</f>
        <v>0.60579439252336442</v>
      </c>
      <c r="H107" s="2894">
        <f>0.6482/H101</f>
        <v>0.60579439252336442</v>
      </c>
      <c r="I107" s="2894">
        <f>0.6482/I101</f>
        <v>0.60579439252336442</v>
      </c>
      <c r="J107" s="2894">
        <f>0.4525/J101</f>
        <v>0.42289719626168221</v>
      </c>
      <c r="K107" s="2894">
        <f>0.4525/K101</f>
        <v>0.42289719626168221</v>
      </c>
      <c r="L107" s="2894">
        <f>0.4525/L101</f>
        <v>0.42289719626168221</v>
      </c>
      <c r="M107" s="2894">
        <f>0.4525/M101</f>
        <v>0.42289719626168221</v>
      </c>
      <c r="N107" s="2894">
        <f>0.4525/N101</f>
        <v>0.42289719626168221</v>
      </c>
    </row>
    <row r="108" spans="1:14">
      <c r="A108" s="3197"/>
      <c r="B108" s="3152" t="s">
        <v>2863</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198"/>
      <c r="B109" s="3153"/>
      <c r="C109" s="2896">
        <f>(-0.163*(C108^2)-0.59*C108+7617)*(10^(-4))/C101</f>
        <v>0.71186915887850466</v>
      </c>
      <c r="D109" s="2896">
        <f>(-0.163*(D108^2)-0.59*D108+7617)*(10^(-4))/D101</f>
        <v>0.71186915887850466</v>
      </c>
      <c r="E109" s="2896">
        <f>(-0.161*(E108^2)-7.509*E108+6533)*(10^(-4))/E101</f>
        <v>0.6105607476635514</v>
      </c>
      <c r="F109" s="2896">
        <f>(-0.161*(F108^2)-7.509*F108+6533)*(10^(-4))/F101</f>
        <v>0.6105607476635514</v>
      </c>
      <c r="G109" s="2896">
        <f>(-0.161*(G108^2)-7.509*G108+6533)*(10^(-4))/G101</f>
        <v>0.6105607476635514</v>
      </c>
      <c r="H109" s="2896">
        <f>(-0.161*(H108^2)-7.509*H108+6533)*(10^(-4))/H101</f>
        <v>0.6105607476635514</v>
      </c>
      <c r="I109" s="2896">
        <f>(-0.161*(I108^2)-7.509*I108+6533)*(10^(-4))/I101</f>
        <v>0.6105607476635514</v>
      </c>
      <c r="J109" s="2896">
        <f>(-0.214*(J108^2)-21.991*J108+4665)*(10^(-4))/J101</f>
        <v>0.43598130841121496</v>
      </c>
      <c r="K109" s="2896">
        <f>(-0.214*(K108^2)-21.991*K108+4665)*(10^(-4))/K101</f>
        <v>0.43598130841121496</v>
      </c>
      <c r="L109" s="2896">
        <f>(-0.214*(L108^2)-21.991*L108+4665)*(10^(-4))/L101</f>
        <v>0.43598130841121496</v>
      </c>
      <c r="M109" s="2896">
        <f>(-0.214*(M108^2)-21.991*M108+4665)*(10^(-4))/M101</f>
        <v>0.43598130841121496</v>
      </c>
      <c r="N109" s="2896">
        <f>(-0.214*(N108^2)-21.991*N108+4665)*(10^(-4))/N101</f>
        <v>0.43598130841121496</v>
      </c>
    </row>
    <row r="110" spans="1:14">
      <c r="A110" s="3194" t="s">
        <v>2972</v>
      </c>
      <c r="B110" s="3194"/>
      <c r="C110" s="3194"/>
      <c r="D110" s="3194"/>
      <c r="E110" s="3194"/>
      <c r="F110" s="3194"/>
      <c r="G110" s="3194"/>
      <c r="H110" s="3194"/>
      <c r="I110" s="3194"/>
      <c r="J110" s="3194"/>
      <c r="K110" s="2979"/>
      <c r="L110" s="2979"/>
      <c r="M110" s="2979"/>
      <c r="N110" s="2979"/>
    </row>
    <row r="112" spans="1:14" ht="13.5" thickBot="1"/>
    <row r="113" spans="1:13" ht="25.5" thickBot="1">
      <c r="A113" s="903" t="s">
        <v>2973</v>
      </c>
      <c r="B113" s="1290">
        <f>G3</f>
        <v>1.07</v>
      </c>
      <c r="C113" s="904" t="s">
        <v>2974</v>
      </c>
      <c r="D113" s="905">
        <f>SUMPRODUCT((A115:A118=F113)*(B114:M114=H113)*B115:M118)</f>
        <v>0.61680000000000001</v>
      </c>
      <c r="E113" s="2722" t="s">
        <v>2807</v>
      </c>
      <c r="F113" s="2901" t="str">
        <f>E2</f>
        <v>工业</v>
      </c>
      <c r="G113" s="2722" t="s">
        <v>2808</v>
      </c>
      <c r="H113" s="2901" t="str">
        <f>G2</f>
        <v>七级</v>
      </c>
      <c r="I113" s="2722"/>
      <c r="J113" s="2902"/>
      <c r="K113" s="2902"/>
      <c r="L113" s="2902"/>
      <c r="M113" s="2902"/>
    </row>
    <row r="114" spans="1:13">
      <c r="A114" s="908"/>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9" t="s">
        <v>2872</v>
      </c>
      <c r="B115" s="910">
        <f>ROUND(0.9335-0.0094*B113,4)</f>
        <v>0.9234</v>
      </c>
      <c r="C115" s="910">
        <f>B115</f>
        <v>0.9234</v>
      </c>
      <c r="D115" s="910">
        <f>ROUND(0.8331-0.0109*B113,4)</f>
        <v>0.82140000000000002</v>
      </c>
      <c r="E115" s="910">
        <f>D115</f>
        <v>0.82140000000000002</v>
      </c>
      <c r="F115" s="910">
        <f>E115</f>
        <v>0.82140000000000002</v>
      </c>
      <c r="G115" s="910">
        <f>F115</f>
        <v>0.82140000000000002</v>
      </c>
      <c r="H115" s="910">
        <f>G115</f>
        <v>0.82140000000000002</v>
      </c>
      <c r="I115" s="910">
        <f>ROUND(0.689-0.0155*B113,4)</f>
        <v>0.6724</v>
      </c>
      <c r="J115" s="910">
        <f t="shared" ref="J115:M118" si="34">I115</f>
        <v>0.6724</v>
      </c>
      <c r="K115" s="910">
        <f t="shared" si="34"/>
        <v>0.6724</v>
      </c>
      <c r="L115" s="910">
        <f t="shared" si="34"/>
        <v>0.6724</v>
      </c>
      <c r="M115" s="911">
        <f t="shared" si="34"/>
        <v>0.6724</v>
      </c>
    </row>
    <row r="116" spans="1:13">
      <c r="A116" s="909" t="s">
        <v>2873</v>
      </c>
      <c r="B116" s="910">
        <f>ROUND(0.949-0.012*B113,4)</f>
        <v>0.93620000000000003</v>
      </c>
      <c r="C116" s="910">
        <f>B116</f>
        <v>0.93620000000000003</v>
      </c>
      <c r="D116" s="910">
        <f>ROUND(0.8567-0.013*B113,4)</f>
        <v>0.84279999999999999</v>
      </c>
      <c r="E116" s="910">
        <f t="shared" ref="E116:H117" si="35">D116</f>
        <v>0.84279999999999999</v>
      </c>
      <c r="F116" s="910">
        <f t="shared" si="35"/>
        <v>0.84279999999999999</v>
      </c>
      <c r="G116" s="910">
        <f t="shared" si="35"/>
        <v>0.84279999999999999</v>
      </c>
      <c r="H116" s="910">
        <f t="shared" si="35"/>
        <v>0.84279999999999999</v>
      </c>
      <c r="I116" s="910">
        <f>ROUND(0.7694-0.014*B113,4)</f>
        <v>0.75439999999999996</v>
      </c>
      <c r="J116" s="910">
        <f t="shared" si="34"/>
        <v>0.75439999999999996</v>
      </c>
      <c r="K116" s="910">
        <f t="shared" si="34"/>
        <v>0.75439999999999996</v>
      </c>
      <c r="L116" s="910">
        <f t="shared" si="34"/>
        <v>0.75439999999999996</v>
      </c>
      <c r="M116" s="911">
        <f t="shared" si="34"/>
        <v>0.75439999999999996</v>
      </c>
    </row>
    <row r="117" spans="1:13">
      <c r="A117" s="909" t="s">
        <v>2874</v>
      </c>
      <c r="B117" s="910">
        <f>ROUND(0.8808-0.006*B113,4)</f>
        <v>0.87439999999999996</v>
      </c>
      <c r="C117" s="910">
        <f>B117</f>
        <v>0.87439999999999996</v>
      </c>
      <c r="D117" s="910">
        <f>ROUND(0.8748-0.008*B113,4)</f>
        <v>0.86619999999999997</v>
      </c>
      <c r="E117" s="910">
        <f t="shared" si="35"/>
        <v>0.86619999999999997</v>
      </c>
      <c r="F117" s="910">
        <f t="shared" si="35"/>
        <v>0.86619999999999997</v>
      </c>
      <c r="G117" s="910">
        <f t="shared" si="35"/>
        <v>0.86619999999999997</v>
      </c>
      <c r="H117" s="910">
        <f t="shared" si="35"/>
        <v>0.86619999999999997</v>
      </c>
      <c r="I117" s="910">
        <f>ROUND(0.7412-0.0095*B113,4)</f>
        <v>0.73099999999999998</v>
      </c>
      <c r="J117" s="910">
        <f t="shared" si="34"/>
        <v>0.73099999999999998</v>
      </c>
      <c r="K117" s="910">
        <f t="shared" si="34"/>
        <v>0.73099999999999998</v>
      </c>
      <c r="L117" s="910">
        <f t="shared" si="34"/>
        <v>0.73099999999999998</v>
      </c>
      <c r="M117" s="911">
        <f t="shared" si="34"/>
        <v>0.73099999999999998</v>
      </c>
    </row>
    <row r="118" spans="1:13" ht="13.5" thickBot="1">
      <c r="A118" s="714" t="s">
        <v>2875</v>
      </c>
      <c r="B118" s="912">
        <f>ROUND(0.7275-0.01*B113,4)</f>
        <v>0.71679999999999999</v>
      </c>
      <c r="C118" s="912">
        <f>B118</f>
        <v>0.71679999999999999</v>
      </c>
      <c r="D118" s="912">
        <f>ROUND(0.7043-0.012*B113,4)</f>
        <v>0.6915</v>
      </c>
      <c r="E118" s="912">
        <f>D118</f>
        <v>0.6915</v>
      </c>
      <c r="F118" s="912">
        <f>E118</f>
        <v>0.6915</v>
      </c>
      <c r="G118" s="912">
        <f>ROUND(0.6299-0.0122*B113,4)</f>
        <v>0.61680000000000001</v>
      </c>
      <c r="H118" s="912">
        <f>G118</f>
        <v>0.61680000000000001</v>
      </c>
      <c r="I118" s="912">
        <f>ROUND(0.5667-0.0136*B113,4)</f>
        <v>0.55210000000000004</v>
      </c>
      <c r="J118" s="912">
        <f t="shared" si="34"/>
        <v>0.55210000000000004</v>
      </c>
      <c r="K118" s="912">
        <f t="shared" si="34"/>
        <v>0.55210000000000004</v>
      </c>
      <c r="L118" s="912">
        <f t="shared" si="34"/>
        <v>0.55210000000000004</v>
      </c>
      <c r="M118" s="913">
        <f t="shared" si="34"/>
        <v>0.55210000000000004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3065</v>
      </c>
      <c r="C1" s="242"/>
      <c r="D1" s="242"/>
      <c r="E1" s="242"/>
      <c r="F1" s="242"/>
      <c r="G1" s="1382">
        <f>MATCH(B1,'数据-取费表'!A6:A16,0)+5</f>
        <v>8</v>
      </c>
    </row>
    <row r="2" spans="1:9" s="244" customFormat="1" ht="18" customHeight="1">
      <c r="A2" s="245" t="s">
        <v>1394</v>
      </c>
      <c r="B2" s="246">
        <f ca="1">IF(D2="——",C52,C52-E2)</f>
        <v>15354</v>
      </c>
      <c r="C2" s="243" t="s">
        <v>2321</v>
      </c>
      <c r="D2" s="2545" t="s">
        <v>70</v>
      </c>
      <c r="E2" s="1443" t="e">
        <f ca="1">SUMIF(INDIRECT("'"&amp;G2&amp;"'"&amp;"!A:A"),"承租人权益价值",INDIRECT("'"&amp;G2&amp;"'"&amp;"!c:c"))</f>
        <v>#REF!</v>
      </c>
      <c r="F2" s="2546" t="s">
        <v>2321</v>
      </c>
      <c r="G2" s="2547"/>
    </row>
    <row r="3" spans="1:9" s="244" customFormat="1" ht="18" customHeight="1" thickBot="1">
      <c r="A3" s="247" t="s">
        <v>1395</v>
      </c>
      <c r="B3" s="248">
        <f ca="1">ROUND(B2*10000/(IF(B1="",'数据-汇总表'!E3,INDIRECT("'数据-取费表'!k"&amp;$G$1))),0)</f>
        <v>14516</v>
      </c>
      <c r="C3" s="243" t="s">
        <v>2323</v>
      </c>
      <c r="D3" s="243"/>
      <c r="E3" s="243"/>
      <c r="F3" s="243"/>
      <c r="G3" s="243"/>
    </row>
    <row r="4" spans="1:9" s="252" customFormat="1" ht="15.75">
      <c r="A4" s="249" t="s">
        <v>2324</v>
      </c>
      <c r="B4" s="250"/>
      <c r="C4" s="250"/>
      <c r="D4" s="250"/>
      <c r="E4" s="250"/>
      <c r="F4" s="250"/>
      <c r="G4" s="251"/>
    </row>
    <row r="5" spans="1:9" s="258" customFormat="1" ht="13.5" customHeight="1">
      <c r="A5" s="299" t="s">
        <v>782</v>
      </c>
      <c r="B5" s="254" t="s">
        <v>2326</v>
      </c>
      <c r="C5" s="255">
        <f ca="1">C6+C7+C8</f>
        <v>1980</v>
      </c>
      <c r="D5" s="255" t="s">
        <v>2327</v>
      </c>
      <c r="E5" s="256" t="s">
        <v>2328</v>
      </c>
      <c r="F5" s="256" t="s">
        <v>2329</v>
      </c>
      <c r="G5" s="257"/>
    </row>
    <row r="6" spans="1:9" s="258" customFormat="1" ht="13.5" customHeight="1">
      <c r="A6" s="952" t="s">
        <v>794</v>
      </c>
      <c r="B6" s="259" t="s">
        <v>2331</v>
      </c>
      <c r="C6" s="260">
        <f ca="1">'基准地价修正 (3)'!B2</f>
        <v>1921</v>
      </c>
      <c r="D6" s="261"/>
      <c r="E6" s="262"/>
      <c r="F6" s="262"/>
      <c r="G6" s="263"/>
    </row>
    <row r="7" spans="1:9" s="258" customFormat="1" ht="13.5" customHeight="1">
      <c r="A7" s="952" t="s">
        <v>792</v>
      </c>
      <c r="B7" s="259" t="s">
        <v>2333</v>
      </c>
      <c r="C7" s="264">
        <f ca="1">ROUND(C6*F7,0)</f>
        <v>59</v>
      </c>
      <c r="D7" s="264"/>
      <c r="E7" s="262"/>
      <c r="F7" s="265">
        <f>'数据-取费表'!B48+'数据-取费表'!B49</f>
        <v>3.0499999999999999E-2</v>
      </c>
      <c r="G7" s="263"/>
    </row>
    <row r="8" spans="1:9" s="267" customFormat="1">
      <c r="A8" s="952" t="s">
        <v>793</v>
      </c>
      <c r="B8" s="259" t="s">
        <v>2335</v>
      </c>
      <c r="C8" s="264">
        <f ca="1">IF(G8="已包含在土地购买价格中","0",IF(B1="",'数据-取费表'!B29,IF(G9="全部缴纳",C9+C10,H9)))</f>
        <v>0</v>
      </c>
      <c r="D8" s="266"/>
      <c r="E8" s="264"/>
      <c r="F8" s="265"/>
      <c r="G8" s="2548" t="s">
        <v>3086</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49" t="s">
        <v>3087</v>
      </c>
      <c r="H9" s="1393"/>
      <c r="I9" s="2550"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10577.23</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2335</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2335</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10577.23</v>
      </c>
      <c r="E19" s="255">
        <f>'数据-取费表'!B31</f>
        <v>200</v>
      </c>
      <c r="F19" s="275"/>
      <c r="G19" s="2548" t="s">
        <v>3088</v>
      </c>
    </row>
    <row r="20" spans="1:7" s="258" customFormat="1" ht="13.5" customHeight="1">
      <c r="A20" s="299" t="s">
        <v>2351</v>
      </c>
      <c r="B20" s="254" t="s">
        <v>2352</v>
      </c>
      <c r="C20" s="276">
        <f ca="1">ROUND((C5+C19)*F20,0)</f>
        <v>40</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195</v>
      </c>
      <c r="D22" s="279">
        <f ca="1">C26</f>
        <v>1E-3</v>
      </c>
      <c r="E22" s="280" t="s">
        <v>2356</v>
      </c>
      <c r="F22" s="281">
        <f ca="1">'数据-取费表'!B40</f>
        <v>4.7500000000000001E-2</v>
      </c>
      <c r="G22" s="278" t="str">
        <f>IF('数据-取费表'!B22&lt;=1,"单利计息","复利计息")</f>
        <v>复利计息</v>
      </c>
    </row>
    <row r="23" spans="1:7" s="258" customFormat="1" ht="13.5" customHeight="1">
      <c r="A23" s="954" t="s">
        <v>794</v>
      </c>
      <c r="B23" s="259" t="s">
        <v>2361</v>
      </c>
      <c r="C23" s="1358">
        <f ca="1">ROUND(IF('数据-取费表'!B22&lt;=1,C5*F22*'数据-取费表'!B23,C5*(POWER((1+F22),'数据-取费表'!B23)-1)),0)</f>
        <v>193</v>
      </c>
      <c r="D23" s="282"/>
      <c r="E23" s="282"/>
      <c r="F23" s="283"/>
      <c r="G23" s="284" t="s">
        <v>2362</v>
      </c>
    </row>
    <row r="24" spans="1:7" s="258" customFormat="1" ht="13.5" customHeight="1">
      <c r="A24" s="954" t="s">
        <v>792</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793</v>
      </c>
      <c r="B25" s="259" t="s">
        <v>2367</v>
      </c>
      <c r="C25" s="1358">
        <f ca="1">ROUND(IF('数据-取费表'!B22&lt;=1,C20*F22*'数据-取费表'!B23/2,C20*(POWER((1+F22),'数据-取费表'!B23/2)-1)),0)</f>
        <v>2</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505</v>
      </c>
      <c r="D27" s="279">
        <f ca="1">C29</f>
        <v>5.0000000000000001E-3</v>
      </c>
      <c r="E27" s="280" t="s">
        <v>2356</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505</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5.2400000000000002E-2</v>
      </c>
      <c r="D30" s="280" t="s">
        <v>2356</v>
      </c>
      <c r="E30" s="285"/>
      <c r="F30" s="281">
        <f>'数据-取费表'!B41</f>
        <v>5.5000000000000007E-2</v>
      </c>
      <c r="G30" s="278" t="s">
        <v>2378</v>
      </c>
    </row>
    <row r="31" spans="1:7" ht="16.5" customHeight="1">
      <c r="A31" s="253">
        <v>1</v>
      </c>
      <c r="B31" s="254" t="s">
        <v>2379</v>
      </c>
      <c r="C31" s="255">
        <f ca="1">ROUND((C5+C19+C20+C22+C27)/(1-C21-D22-D27-C30),0)</f>
        <v>2951</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10161</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9520</v>
      </c>
      <c r="D34" s="261"/>
      <c r="E34" s="264"/>
      <c r="F34" s="301">
        <f ca="1">IF('数据-取费表'!B24=0,1,IF(B1="",'数据-取费表'!N16,INDIRECT("'数据-取费表'!n"&amp;$G$1)))</f>
        <v>1</v>
      </c>
      <c r="G34" s="263" t="s">
        <v>2384</v>
      </c>
    </row>
    <row r="35" spans="1:7" ht="13.5" customHeight="1">
      <c r="A35" s="954" t="s">
        <v>796</v>
      </c>
      <c r="B35" s="259" t="s">
        <v>2385</v>
      </c>
      <c r="C35" s="264">
        <f ca="1">ROUND(C34*F35,0)</f>
        <v>286</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212</v>
      </c>
      <c r="D37" s="261">
        <f ca="1">D19</f>
        <v>10577.23</v>
      </c>
      <c r="E37" s="293">
        <f>'数据-取费表'!B35</f>
        <v>200</v>
      </c>
      <c r="F37" s="303"/>
      <c r="G37" s="305" t="s">
        <v>2390</v>
      </c>
    </row>
    <row r="38" spans="1:7" ht="13.5" customHeight="1">
      <c r="A38" s="954" t="s">
        <v>799</v>
      </c>
      <c r="B38" s="259" t="s">
        <v>2391</v>
      </c>
      <c r="C38" s="264">
        <f ca="1">ROUND(C34*F38,0)</f>
        <v>143</v>
      </c>
      <c r="D38" s="264"/>
      <c r="E38" s="264"/>
      <c r="F38" s="303">
        <f>'数据-取费表'!B36</f>
        <v>1.4999999999999999E-2</v>
      </c>
      <c r="G38" s="263" t="s">
        <v>2386</v>
      </c>
    </row>
    <row r="39" spans="1:7" s="258" customFormat="1" ht="13.5" customHeight="1">
      <c r="A39" s="299" t="s">
        <v>2349</v>
      </c>
      <c r="B39" s="254" t="s">
        <v>2352</v>
      </c>
      <c r="C39" s="276">
        <f ca="1">ROUND(C33*F20,0)</f>
        <v>203</v>
      </c>
      <c r="D39" s="276"/>
      <c r="E39" s="276"/>
      <c r="F39" s="277"/>
      <c r="G39" s="278" t="s">
        <v>2394</v>
      </c>
    </row>
    <row r="40" spans="1:7" s="258" customFormat="1" ht="13.5" customHeight="1">
      <c r="A40" s="299" t="s">
        <v>2351</v>
      </c>
      <c r="B40" s="254" t="s">
        <v>2355</v>
      </c>
      <c r="C40" s="1731">
        <f>F21</f>
        <v>0.02</v>
      </c>
      <c r="D40" s="280" t="s">
        <v>2397</v>
      </c>
      <c r="E40" s="276"/>
      <c r="F40" s="277"/>
      <c r="G40" s="278" t="s">
        <v>2398</v>
      </c>
    </row>
    <row r="41" spans="1:7" s="258" customFormat="1" ht="13.5" customHeight="1">
      <c r="A41" s="299" t="s">
        <v>2354</v>
      </c>
      <c r="B41" s="254" t="s">
        <v>2359</v>
      </c>
      <c r="C41" s="276">
        <f ca="1">ROUND(SUM(C42:C43),0)</f>
        <v>493</v>
      </c>
      <c r="D41" s="279">
        <f ca="1">C44</f>
        <v>1E-3</v>
      </c>
      <c r="E41" s="280" t="s">
        <v>2397</v>
      </c>
      <c r="F41" s="281"/>
      <c r="G41" s="278" t="str">
        <f>IF('数据-取费表'!B22&lt;=1,"单利计息","复利计息")</f>
        <v>复利计息</v>
      </c>
    </row>
    <row r="42" spans="1:7" ht="13.5" customHeight="1">
      <c r="A42" s="954" t="s">
        <v>791</v>
      </c>
      <c r="B42" s="259" t="s">
        <v>2361</v>
      </c>
      <c r="C42" s="282">
        <f ca="1">ROUND(IF('数据-取费表'!B22&lt;=1,C33*F22*'数据-取费表'!B21/2,C33*(POWER((1+F22),'数据-取费表'!B21/2)-1)),0)</f>
        <v>483</v>
      </c>
      <c r="D42" s="282"/>
      <c r="E42" s="282"/>
      <c r="F42" s="283"/>
      <c r="G42" s="3179" t="s">
        <v>2402</v>
      </c>
    </row>
    <row r="43" spans="1:7" ht="13.5" customHeight="1">
      <c r="A43" s="954" t="s">
        <v>792</v>
      </c>
      <c r="B43" s="259" t="s">
        <v>2364</v>
      </c>
      <c r="C43" s="282">
        <f ca="1">ROUND(IF('数据-取费表'!B22&lt;=1,C39*F22*'数据-取费表'!B21/2,C39*(POWER((1+F22),'数据-取费表'!B21/2)-1)),0)</f>
        <v>10</v>
      </c>
      <c r="D43" s="282"/>
      <c r="E43" s="282"/>
      <c r="F43" s="283"/>
      <c r="G43" s="3180"/>
    </row>
    <row r="44" spans="1:7" ht="13.5" customHeight="1">
      <c r="A44" s="954" t="s">
        <v>793</v>
      </c>
      <c r="B44" s="259" t="s">
        <v>2367</v>
      </c>
      <c r="C44" s="282">
        <f ca="1">ROUND(IF('数据-取费表'!B22&lt;=1,C40*F22*'数据-取费表'!B21/2,C40*(POWER((1+F22),'数据-取费表'!B21/2)-1)),4)</f>
        <v>1E-3</v>
      </c>
      <c r="D44" s="282"/>
      <c r="E44" s="282"/>
      <c r="F44" s="283"/>
      <c r="G44" s="3181"/>
    </row>
    <row r="45" spans="1:7" s="258" customFormat="1" ht="13.5" customHeight="1">
      <c r="A45" s="299" t="s">
        <v>2358</v>
      </c>
      <c r="B45" s="288" t="s">
        <v>2371</v>
      </c>
      <c r="C45" s="289">
        <f ca="1">C46</f>
        <v>2591</v>
      </c>
      <c r="D45" s="279">
        <f ca="1">C47</f>
        <v>5.0000000000000001E-3</v>
      </c>
      <c r="E45" s="280" t="s">
        <v>2397</v>
      </c>
      <c r="F45" s="290"/>
      <c r="G45" s="291" t="s">
        <v>2406</v>
      </c>
    </row>
    <row r="46" spans="1:7" s="258" customFormat="1" ht="13.5" customHeight="1">
      <c r="A46" s="954" t="s">
        <v>791</v>
      </c>
      <c r="B46" s="292" t="s">
        <v>2407</v>
      </c>
      <c r="C46" s="293">
        <f ca="1">ROUND((C33+C39)*F27,0)</f>
        <v>2591</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14592</v>
      </c>
      <c r="D49" s="276"/>
      <c r="E49" s="276"/>
      <c r="F49" s="308"/>
      <c r="G49" s="278" t="s">
        <v>2412</v>
      </c>
    </row>
    <row r="50" spans="1:7" s="302" customFormat="1" ht="24">
      <c r="A50" s="299" t="s">
        <v>2413</v>
      </c>
      <c r="B50" s="254" t="s">
        <v>2414</v>
      </c>
      <c r="C50" s="276"/>
      <c r="D50" s="276"/>
      <c r="E50" s="276"/>
      <c r="F50" s="308">
        <f>IF('数据-取费表'!B24=0,'数据-取费表'!N16,1)</f>
        <v>0.85</v>
      </c>
      <c r="G50" s="291" t="s">
        <v>2415</v>
      </c>
    </row>
    <row r="51" spans="1:7" ht="16.5" customHeight="1">
      <c r="A51" s="299" t="s">
        <v>2416</v>
      </c>
      <c r="B51" s="254" t="s">
        <v>2417</v>
      </c>
      <c r="C51" s="276">
        <f ca="1">ROUND(C49*F50,0)</f>
        <v>12403</v>
      </c>
      <c r="D51" s="276"/>
      <c r="E51" s="276"/>
      <c r="F51" s="308"/>
      <c r="G51" s="278" t="s">
        <v>2418</v>
      </c>
    </row>
    <row r="52" spans="1:7" s="252" customFormat="1" ht="16.5" thickBot="1">
      <c r="A52" s="309" t="s">
        <v>2419</v>
      </c>
      <c r="B52" s="310"/>
      <c r="C52" s="311">
        <f ca="1">C31+C51</f>
        <v>15354</v>
      </c>
      <c r="D52" s="310"/>
      <c r="E52" s="310"/>
      <c r="F52" s="310"/>
      <c r="G52" s="312"/>
    </row>
    <row r="55" spans="1:7" ht="15">
      <c r="B55" s="314" t="s">
        <v>2420</v>
      </c>
      <c r="C55" s="315"/>
    </row>
    <row r="56" spans="1:7">
      <c r="B56" s="317" t="s">
        <v>1513</v>
      </c>
      <c r="C56" s="319">
        <f ca="1">1-C57</f>
        <v>0.19199999999999995</v>
      </c>
    </row>
    <row r="57" spans="1:7">
      <c r="B57" s="317" t="s">
        <v>1514</v>
      </c>
      <c r="C57" s="318">
        <f ca="1">ROUND(C51/C52,3)</f>
        <v>0.80800000000000005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2797</v>
      </c>
      <c r="B1" s="241"/>
      <c r="C1" s="245" t="s">
        <v>2798</v>
      </c>
      <c r="D1" s="388">
        <f>SUM(D29:D30,D33:D39)</f>
        <v>10577.23</v>
      </c>
      <c r="E1" s="2715"/>
      <c r="F1" s="2715"/>
      <c r="G1" s="2715"/>
      <c r="H1" s="2715"/>
      <c r="I1" s="2715"/>
      <c r="J1" s="2715"/>
      <c r="K1" s="1373"/>
      <c r="L1" s="2716" t="s">
        <v>2799</v>
      </c>
      <c r="M1" s="1083">
        <f>SUMPRODUCT((区片价!B5:B9=I2)*(区片价!C3:F3=E2)*(区片价!C5:F9))</f>
        <v>0</v>
      </c>
      <c r="N1" s="1086">
        <f>SUMPRODUCT((因素修正幅度!B5:B9=I2)*(因素修正幅度!C3:F3=E2)*(因素修正幅度!C5:F9))</f>
        <v>0</v>
      </c>
      <c r="O1" s="2717"/>
      <c r="P1" s="2717"/>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1921</v>
      </c>
      <c r="C2" s="2719" t="s">
        <v>2806</v>
      </c>
      <c r="D2" s="2720" t="s">
        <v>2807</v>
      </c>
      <c r="E2" s="2721" t="s">
        <v>6</v>
      </c>
      <c r="F2" s="2720" t="s">
        <v>2808</v>
      </c>
      <c r="G2" s="2722" t="str">
        <f>IF(E2="商业",项目基本情况!B37,IF(E2="办公",项目基本情况!C37,IF(E2="住宅",项目基本情况!D37,项目基本情况!E37)))</f>
        <v>七级</v>
      </c>
      <c r="H2" s="2720" t="s">
        <v>2809</v>
      </c>
      <c r="I2" s="2722" t="str">
        <f>IF(E2="商业",项目基本情况!B38,IF(E2="办公",项目基本情况!C38,IF(E2="住宅",项目基本情况!D38,项目基本情况!E38)))</f>
        <v>Ⅶ-顺2</v>
      </c>
      <c r="J2" s="2723"/>
      <c r="K2" s="1373"/>
      <c r="L2" s="2724"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3167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1816</v>
      </c>
      <c r="C3" s="2719" t="s">
        <v>2812</v>
      </c>
      <c r="D3" s="2720" t="s">
        <v>2813</v>
      </c>
      <c r="E3" s="2725" t="s">
        <v>3080</v>
      </c>
      <c r="F3" s="2726" t="s">
        <v>2814</v>
      </c>
      <c r="G3" s="916">
        <f>IF(F3="宗地容积率",'数据-汇总表'!I4,IF(F3="估价对象容积率",'数据-汇总表'!I6,'数据-汇总表'!I7))</f>
        <v>1.07</v>
      </c>
      <c r="H3" s="198" t="s">
        <v>2815</v>
      </c>
      <c r="I3" s="947"/>
      <c r="J3" s="2723" t="s">
        <v>2816</v>
      </c>
      <c r="K3" s="1373"/>
      <c r="L3" s="2724"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2273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5"/>
      <c r="B4" s="3186"/>
      <c r="C4" s="3186"/>
      <c r="D4" s="3187"/>
      <c r="E4" s="3187"/>
      <c r="F4" s="3187"/>
      <c r="G4" s="3187"/>
      <c r="H4" s="3187"/>
      <c r="I4" s="3187"/>
      <c r="J4" s="3188"/>
      <c r="K4" s="1373"/>
      <c r="L4" s="2724"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1834</v>
      </c>
      <c r="U4" s="1606"/>
      <c r="V4" s="1605">
        <f t="shared" ca="1" si="1"/>
        <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2819</v>
      </c>
      <c r="C5" s="917">
        <f>ROUND(IF(E2="商业",IF(F16="增加",C6*C7+C16,C6*C7-C16),IF(E2="住宅",IF(F16="增加",C6*C12+C16,C6*C12-C16),IF(F16="增加",C6+C16,C6-C16))),0)</f>
        <v>1447</v>
      </c>
      <c r="D5" s="1790">
        <f>ROUND(IF(E2="商业",IF(F16="增加",C6+C16,C6-C16)),0)</f>
        <v>0</v>
      </c>
      <c r="E5" s="2729"/>
      <c r="F5" s="2729"/>
      <c r="G5" s="2730"/>
      <c r="H5" s="2730"/>
      <c r="I5" s="2730"/>
      <c r="J5" s="2731"/>
      <c r="K5" s="2732"/>
      <c r="L5" s="2724"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1471</v>
      </c>
      <c r="U5" s="1606"/>
      <c r="V5" s="1605">
        <f t="shared" ca="1" si="1"/>
        <v>0</v>
      </c>
      <c r="W5" s="1609"/>
      <c r="X5" s="1609"/>
      <c r="Y5" s="1609"/>
      <c r="Z5" s="1609"/>
      <c r="AA5" s="1609"/>
      <c r="AB5" s="1609"/>
      <c r="AC5" s="2733"/>
      <c r="AD5" s="2734"/>
      <c r="AE5" s="2734"/>
      <c r="AF5" s="2734"/>
      <c r="AG5" s="2734"/>
      <c r="AH5" s="2734"/>
      <c r="AI5" s="2734"/>
      <c r="AJ5" s="2735"/>
    </row>
    <row r="6" spans="1:36" ht="15.75" thickBot="1">
      <c r="A6" s="2737" t="s">
        <v>2821</v>
      </c>
      <c r="B6" s="2738" t="s">
        <v>2822</v>
      </c>
      <c r="C6" s="918">
        <f>SUMIF(L1:L12,G2,M1:M12)</f>
        <v>1480</v>
      </c>
      <c r="D6" s="2739" t="s">
        <v>2823</v>
      </c>
      <c r="E6" s="2740"/>
      <c r="F6" s="2740"/>
      <c r="G6" s="2741"/>
      <c r="H6" s="2741"/>
      <c r="I6" s="2741"/>
      <c r="J6" s="2742"/>
      <c r="K6" s="1845"/>
      <c r="L6" s="2724"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1253</v>
      </c>
      <c r="U6" s="1606"/>
      <c r="V6" s="1605">
        <f t="shared" ca="1" si="1"/>
        <v>0</v>
      </c>
      <c r="W6" s="1609"/>
      <c r="X6" s="1609"/>
      <c r="Y6" s="1609"/>
      <c r="Z6" s="1609"/>
      <c r="AA6" s="1609"/>
      <c r="AB6" s="1609"/>
      <c r="AC6" s="2733"/>
      <c r="AD6" s="2734"/>
      <c r="AE6" s="2734"/>
      <c r="AF6" s="2734"/>
      <c r="AG6" s="2734"/>
      <c r="AH6" s="2734"/>
      <c r="AI6" s="2734"/>
      <c r="AJ6" s="2735"/>
    </row>
    <row r="7" spans="1:36" ht="24">
      <c r="A7" s="3189" t="str">
        <f>IF(E2="商业",IF(C8="不临58条商业街","",2),"")</f>
        <v/>
      </c>
      <c r="B7" s="2743" t="s">
        <v>2825</v>
      </c>
      <c r="C7" s="919" t="e">
        <f>IF(C8="不临58条商业街",1,ROUND(1+(1.6*E8+1.2*E9+0.8*E10+0.4*E11)*C9,4))</f>
        <v>#DIV/0!</v>
      </c>
      <c r="D7" s="2744" t="s">
        <v>2826</v>
      </c>
      <c r="E7" s="948"/>
      <c r="F7" s="2745"/>
      <c r="G7" s="2746"/>
      <c r="H7" s="2746"/>
      <c r="I7" s="2746"/>
      <c r="J7" s="2747"/>
      <c r="K7" s="1845"/>
      <c r="L7" s="2724" t="s">
        <v>2827</v>
      </c>
      <c r="M7" s="1084">
        <f>SUMPRODUCT((区片价!B158:B205=I2)*(区片价!C3:F3=E2)*(区片价!C158:F205))</f>
        <v>1480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1102</v>
      </c>
      <c r="U7" s="1606"/>
      <c r="V7" s="1605">
        <f t="shared" ca="1" si="1"/>
        <v>0</v>
      </c>
      <c r="W7" s="2977" t="s">
        <v>2828</v>
      </c>
      <c r="X7" s="1607" t="str">
        <f>G2</f>
        <v>七级</v>
      </c>
      <c r="Y7" s="1607" t="s">
        <v>2829</v>
      </c>
      <c r="Z7" s="1608">
        <f>G3</f>
        <v>1.07</v>
      </c>
      <c r="AA7" s="1609"/>
      <c r="AB7" s="1609"/>
      <c r="AC7" s="1610"/>
      <c r="AD7" s="1611"/>
      <c r="AE7" s="1611"/>
      <c r="AF7" s="1611"/>
      <c r="AG7" s="1611"/>
      <c r="AH7" s="1611"/>
      <c r="AI7" s="1611"/>
      <c r="AJ7" s="1612"/>
    </row>
    <row r="8" spans="1:36" ht="15">
      <c r="A8" s="3190"/>
      <c r="B8" s="198" t="s">
        <v>2830</v>
      </c>
      <c r="C8" s="2748"/>
      <c r="D8" s="920" t="s">
        <v>139</v>
      </c>
      <c r="E8" s="921" t="e">
        <f>ROUND(C11/E7,4)</f>
        <v>#DIV/0!</v>
      </c>
      <c r="F8" s="2749" t="s">
        <v>2831</v>
      </c>
      <c r="G8" s="2750"/>
      <c r="H8" s="2750"/>
      <c r="I8" s="2750"/>
      <c r="J8" s="2751"/>
      <c r="K8" s="1373"/>
      <c r="L8" s="2724"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2" t="s">
        <v>2833</v>
      </c>
      <c r="X8" s="318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90"/>
      <c r="B9" s="198" t="s">
        <v>2846</v>
      </c>
      <c r="C9" s="922">
        <f>SUMIF(修正!C59:C119,C8,修正!E59:E119)</f>
        <v>0</v>
      </c>
      <c r="D9" s="200" t="s">
        <v>140</v>
      </c>
      <c r="E9" s="200" t="e">
        <f>ROUND(C11/E7,4)</f>
        <v>#DIV/0!</v>
      </c>
      <c r="F9" s="2749" t="s">
        <v>2847</v>
      </c>
      <c r="G9" s="2750"/>
      <c r="H9" s="2750"/>
      <c r="I9" s="2750"/>
      <c r="J9" s="2751"/>
      <c r="K9" s="1373"/>
      <c r="L9" s="2724"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4"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0"/>
      <c r="B10" s="198" t="s">
        <v>2851</v>
      </c>
      <c r="C10" s="200">
        <f>SUMIF(修正!C59:C119,C8,修正!F59:F119)</f>
        <v>0</v>
      </c>
      <c r="D10" s="200" t="s">
        <v>141</v>
      </c>
      <c r="E10" s="200" t="e">
        <f>ROUND(C11/E7,4)</f>
        <v>#DIV/0!</v>
      </c>
      <c r="F10" s="2749" t="s">
        <v>2852</v>
      </c>
      <c r="G10" s="2750"/>
      <c r="H10" s="2750"/>
      <c r="I10" s="2750"/>
      <c r="J10" s="2751"/>
      <c r="K10" s="1373"/>
      <c r="L10" s="2724"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0"/>
      <c r="B11" s="2752" t="s">
        <v>2854</v>
      </c>
      <c r="C11" s="923">
        <f>C10/4</f>
        <v>0</v>
      </c>
      <c r="D11" s="923" t="s">
        <v>142</v>
      </c>
      <c r="E11" s="923" t="e">
        <f>ROUND(C11/E7,4)</f>
        <v>#DIV/0!</v>
      </c>
      <c r="F11" s="2753" t="s">
        <v>2855</v>
      </c>
      <c r="G11" s="2754"/>
      <c r="H11" s="2754"/>
      <c r="I11" s="2754"/>
      <c r="J11" s="2755"/>
      <c r="K11" s="1373"/>
      <c r="L11" s="2724"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4" t="s">
        <v>2857</v>
      </c>
      <c r="X11" s="1617" t="s">
        <v>2829</v>
      </c>
      <c r="Y11" s="1618">
        <f>$G$3</f>
        <v>1.07</v>
      </c>
      <c r="Z11" s="1618">
        <f t="shared" ref="Z11:AJ11" si="3">$G$3</f>
        <v>1.07</v>
      </c>
      <c r="AA11" s="1618">
        <f t="shared" si="3"/>
        <v>1.07</v>
      </c>
      <c r="AB11" s="1618">
        <f t="shared" si="3"/>
        <v>1.07</v>
      </c>
      <c r="AC11" s="1618">
        <f t="shared" si="3"/>
        <v>1.07</v>
      </c>
      <c r="AD11" s="1618">
        <f t="shared" si="3"/>
        <v>1.07</v>
      </c>
      <c r="AE11" s="1618">
        <f t="shared" si="3"/>
        <v>1.07</v>
      </c>
      <c r="AF11" s="1618">
        <f t="shared" si="3"/>
        <v>1.07</v>
      </c>
      <c r="AG11" s="1618">
        <f t="shared" si="3"/>
        <v>1.07</v>
      </c>
      <c r="AH11" s="1618">
        <f t="shared" si="3"/>
        <v>1.07</v>
      </c>
      <c r="AI11" s="1618">
        <f t="shared" si="3"/>
        <v>1.07</v>
      </c>
      <c r="AJ11" s="1618">
        <f t="shared" si="3"/>
        <v>1.07</v>
      </c>
    </row>
    <row r="12" spans="1:36" ht="25.5" thickBot="1">
      <c r="A12" s="3189" t="s">
        <v>2859</v>
      </c>
      <c r="B12" s="2756" t="s">
        <v>2860</v>
      </c>
      <c r="C12" s="919">
        <f>ROUND(C15*D15*E15*F15*G15*H15*I15*J15,4)</f>
        <v>1</v>
      </c>
      <c r="D12" s="2757" t="s">
        <v>2861</v>
      </c>
      <c r="E12" s="2758"/>
      <c r="F12" s="2758"/>
      <c r="G12" s="2759"/>
      <c r="H12" s="2759"/>
      <c r="I12" s="2759"/>
      <c r="J12" s="2760"/>
      <c r="K12" s="1373"/>
      <c r="L12" s="2761"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1"/>
      <c r="B13" s="2762" t="s">
        <v>2864</v>
      </c>
      <c r="C13" s="2763" t="s">
        <v>2865</v>
      </c>
      <c r="D13" s="2971" t="s">
        <v>2866</v>
      </c>
      <c r="E13" s="2971" t="s">
        <v>2867</v>
      </c>
      <c r="F13" s="30" t="s">
        <v>2868</v>
      </c>
      <c r="G13" s="2764" t="s">
        <v>2869</v>
      </c>
      <c r="H13" s="2764" t="s">
        <v>2869</v>
      </c>
      <c r="I13" s="2764" t="s">
        <v>2869</v>
      </c>
      <c r="J13" s="2765" t="s">
        <v>2869</v>
      </c>
      <c r="K13" s="1373"/>
      <c r="L13" s="1373"/>
      <c r="M13" s="1373"/>
      <c r="N13" s="1373"/>
      <c r="O13" s="1373"/>
      <c r="P13" s="1373"/>
      <c r="Q13" s="1373"/>
      <c r="R13" s="1605">
        <v>12</v>
      </c>
      <c r="S13" s="1606"/>
      <c r="T13" s="1605">
        <f t="shared" ca="1" si="0"/>
        <v>0</v>
      </c>
      <c r="U13" s="1606"/>
      <c r="V13" s="1605">
        <f t="shared" ca="1" si="1"/>
        <v>0</v>
      </c>
      <c r="W13" s="3184"/>
      <c r="X13" s="1619"/>
      <c r="Y13" s="1616">
        <f>(-0.163*(Y12^2)-0.59*Y12+7617)*(10^(-4))/Y11</f>
        <v>0.71186915887850466</v>
      </c>
      <c r="Z13" s="1616">
        <f t="shared" ref="Z13:AJ13" si="5">(-0.163*(Z12^2)-0.59*Z12+7617)*(10^(-4))/Z11</f>
        <v>0.71186915887850466</v>
      </c>
      <c r="AA13" s="1616">
        <f t="shared" si="5"/>
        <v>0.71186915887850466</v>
      </c>
      <c r="AB13" s="1616">
        <f t="shared" si="5"/>
        <v>0.71186915887850466</v>
      </c>
      <c r="AC13" s="1616">
        <f t="shared" si="5"/>
        <v>0.71186915887850466</v>
      </c>
      <c r="AD13" s="1616">
        <f t="shared" si="5"/>
        <v>0.71186915887850466</v>
      </c>
      <c r="AE13" s="1616">
        <f t="shared" si="5"/>
        <v>0.71186915887850466</v>
      </c>
      <c r="AF13" s="1616">
        <f t="shared" si="5"/>
        <v>0.71186915887850466</v>
      </c>
      <c r="AG13" s="1616">
        <f t="shared" si="5"/>
        <v>0.71186915887850466</v>
      </c>
      <c r="AH13" s="1616">
        <f t="shared" si="5"/>
        <v>0.71186915887850466</v>
      </c>
      <c r="AI13" s="1616">
        <f t="shared" si="5"/>
        <v>0.71186915887850466</v>
      </c>
      <c r="AJ13" s="1616">
        <f t="shared" si="5"/>
        <v>0.71186915887850466</v>
      </c>
    </row>
    <row r="14" spans="1:36" ht="15">
      <c r="A14" s="3191"/>
      <c r="B14" s="2766"/>
      <c r="C14" s="2767"/>
      <c r="D14" s="2768"/>
      <c r="E14" s="2768"/>
      <c r="F14" s="2769"/>
      <c r="G14" s="2770" t="s">
        <v>2870</v>
      </c>
      <c r="H14" s="2771"/>
      <c r="I14" s="2772"/>
      <c r="J14" s="2773"/>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2"/>
      <c r="B15" s="2774" t="s">
        <v>2871</v>
      </c>
      <c r="C15" s="229">
        <f>IF(C14="有",1.1,1)</f>
        <v>1</v>
      </c>
      <c r="D15" s="229">
        <f>IF(D14="有",1.1,1)</f>
        <v>1</v>
      </c>
      <c r="E15" s="229">
        <f>IF(E14="有",1.1,1)</f>
        <v>1</v>
      </c>
      <c r="F15" s="229">
        <f>IF(F14="500米范围内",1.2,IF(F14="500-1000米",1.1,1))</f>
        <v>1</v>
      </c>
      <c r="G15" s="949">
        <v>1</v>
      </c>
      <c r="H15" s="949">
        <v>1</v>
      </c>
      <c r="I15" s="949">
        <v>1</v>
      </c>
      <c r="J15" s="950">
        <v>1</v>
      </c>
      <c r="K15" s="1373"/>
      <c r="L15" s="2775" t="s">
        <v>2807</v>
      </c>
      <c r="M15" s="920" t="s">
        <v>2872</v>
      </c>
      <c r="N15" s="920" t="s">
        <v>2873</v>
      </c>
      <c r="O15" s="920" t="s">
        <v>2874</v>
      </c>
      <c r="P15" s="2776"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9" t="s">
        <v>2876</v>
      </c>
      <c r="B16" s="2743" t="s">
        <v>2877</v>
      </c>
      <c r="C16" s="2964">
        <f>ROUND(SUM(G17:J17)/C17,0)</f>
        <v>33</v>
      </c>
      <c r="D16" s="2777" t="s">
        <v>2878</v>
      </c>
      <c r="E16" s="2778" t="s">
        <v>3081</v>
      </c>
      <c r="F16" s="2779" t="s">
        <v>3082</v>
      </c>
      <c r="G16" s="2780" t="s">
        <v>3110</v>
      </c>
      <c r="H16" s="2780"/>
      <c r="I16" s="2780"/>
      <c r="J16" s="2781"/>
      <c r="K16" s="1373"/>
      <c r="L16" s="2782"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0"/>
      <c r="B17" s="2783" t="s">
        <v>2880</v>
      </c>
      <c r="C17" s="924">
        <f>SUMPRODUCT((修正!A2:A5=E2)*(修正!B1:M1=G2)*(修正!B2:M5))</f>
        <v>1.2</v>
      </c>
      <c r="D17" s="2784" t="s">
        <v>2881</v>
      </c>
      <c r="E17" s="923" t="str">
        <f>IF(OR(G2="八级",G2="九级",G2="十级",G2="十一级",G2="十二级"),"五通一平","七通一平")</f>
        <v>七通一平</v>
      </c>
      <c r="F17" s="924" t="s">
        <v>2882</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5"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2884</v>
      </c>
      <c r="C18" s="926">
        <f>SUMIF(修正!C18:C39,E3,修正!E18:E39)</f>
        <v>1</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9.25" thickBot="1">
      <c r="A19" s="2787" t="s">
        <v>809</v>
      </c>
      <c r="B19" s="2788" t="s">
        <v>2885</v>
      </c>
      <c r="C19" s="927">
        <f>ROUND(IF(H19="按公示增长率计算",SUMPRODUCT((地价!A3:A23=YEAR(G19)&amp;"-"&amp;ROUNDUP(MONTH(G19)/3,0))*(地价!X2:AB2=E2)*(地价!X3:AB23)),IF(H19="地价指数",M20/M19,(1+I19)^O19)),4)</f>
        <v>1.2557</v>
      </c>
      <c r="D19" s="2795" t="s">
        <v>2886</v>
      </c>
      <c r="E19" s="928">
        <v>41640</v>
      </c>
      <c r="F19" s="2795" t="s">
        <v>2887</v>
      </c>
      <c r="G19" s="929">
        <f>'数据-取费表'!B2</f>
        <v>43294</v>
      </c>
      <c r="H19" s="2796" t="s">
        <v>3084</v>
      </c>
      <c r="I19" s="930" t="str">
        <f>IF(H19="季度增幅（自定义）",SUMIF(N21:N24,E2,O21:O24),"")</f>
        <v/>
      </c>
      <c r="J19" s="2793"/>
      <c r="K19" s="1380"/>
      <c r="L19" s="2797" t="s">
        <v>2888</v>
      </c>
      <c r="M19" s="1737">
        <f>ROUND(SUMIF(地价!B2:F2,E2,地价!B23:F23),0)</f>
        <v>230</v>
      </c>
      <c r="N19" s="2798"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2890</v>
      </c>
      <c r="C20" s="932">
        <f ca="1">ROUND(POWER(1+G20,J20-I20)*(POWER(1+G20,I20)-1)/(POWER(1+G20,J20)-1),4)</f>
        <v>0.88949999999999996</v>
      </c>
      <c r="D20" s="2804" t="s">
        <v>2891</v>
      </c>
      <c r="E20" s="1771">
        <f ca="1">存贷款利率!D4/100</f>
        <v>4.3499999999999997E-2</v>
      </c>
      <c r="F20" s="2804" t="s">
        <v>2883</v>
      </c>
      <c r="G20" s="937">
        <f ca="1">SUMIF(M15:P15,E2,M17:P17)</f>
        <v>4.8000000000000001E-2</v>
      </c>
      <c r="H20" s="2804" t="s">
        <v>2892</v>
      </c>
      <c r="I20" s="938">
        <f>SUMIF('数据-取费表'!C6:C15,E2,'数据-取费表'!F6:F15)/COUNTIF('数据-取费表'!C6:C15,E2)</f>
        <v>34.78</v>
      </c>
      <c r="J20" s="939">
        <f>IF(E2="住宅",70,IF(E2="商业",40,50))</f>
        <v>50</v>
      </c>
      <c r="K20" s="1380"/>
      <c r="L20" s="2805" t="s">
        <v>2893</v>
      </c>
      <c r="M20" s="1738">
        <f>ROUND(SUMPRODUCT((地价!A4:A23=YEAR(G19)&amp;"-"&amp;ROUNDUP(MONTH(G19)/3,0))*(地价!B2:F2=E2)*(地价!B4:F23)),0)</f>
        <v>289</v>
      </c>
      <c r="N20" s="2806" t="s">
        <v>2894</v>
      </c>
      <c r="O20" s="2807" t="s">
        <v>2895</v>
      </c>
      <c r="P20" s="2808" t="s">
        <v>2896</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3085</v>
      </c>
      <c r="C21" s="2982">
        <f>IF(B21="容积率修正",IF(G3&lt;=10,D22,J22),C23)</f>
        <v>1.0681</v>
      </c>
      <c r="D21" s="2811"/>
      <c r="E21" s="2811"/>
      <c r="F21" s="2811"/>
      <c r="G21" s="2811"/>
      <c r="H21" s="2811"/>
      <c r="I21" s="2811"/>
      <c r="J21" s="2812"/>
      <c r="K21" s="1380"/>
      <c r="N21" s="2813" t="s">
        <v>2897</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6" customFormat="1" ht="14.25">
      <c r="A22" s="2662" t="s">
        <v>2898</v>
      </c>
      <c r="B22" s="2814" t="s">
        <v>2899</v>
      </c>
      <c r="C22" s="2981" t="s">
        <v>2900</v>
      </c>
      <c r="D22" s="2981">
        <f>IF(E22=G22,F22,IF(G3&lt;=10,ROUND(F22+(H22-F22)*(G3-E22)/(G22-E22),4),"——"))</f>
        <v>1.0681</v>
      </c>
      <c r="E22" s="916">
        <f>ROUNDDOWN(G3,1)</f>
        <v>1</v>
      </c>
      <c r="F22" s="29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1.1000000000000001</v>
      </c>
      <c r="H22" s="29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2981" t="s">
        <v>155</v>
      </c>
      <c r="J22" s="941" t="str">
        <f>IF(G3&gt;10,D113,"——")</f>
        <v>——</v>
      </c>
      <c r="K22" s="1380"/>
      <c r="N22" s="2813" t="s">
        <v>2901</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2" t="s">
        <v>2902</v>
      </c>
      <c r="B23" s="2815" t="s">
        <v>2903</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2904</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2905</v>
      </c>
      <c r="C24" s="927">
        <f>SUMIF(A45:A88,E2,B45:B88)</f>
        <v>1.0518000000000001</v>
      </c>
      <c r="D24" s="2791"/>
      <c r="E24" s="2821"/>
      <c r="F24" s="2821"/>
      <c r="G24" s="2821"/>
      <c r="H24" s="2821"/>
      <c r="I24" s="2821"/>
      <c r="J24" s="2822"/>
      <c r="K24" s="1380"/>
      <c r="N24" s="2823" t="s">
        <v>2906</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2907</v>
      </c>
      <c r="C25" s="933"/>
      <c r="D25" s="2746"/>
      <c r="E25" s="2746"/>
      <c r="F25" s="2825"/>
      <c r="G25" s="2746"/>
      <c r="H25" s="2746"/>
      <c r="I25" s="2746"/>
      <c r="J25" s="2747"/>
      <c r="K25" s="1373"/>
      <c r="N25" s="2826" t="s">
        <v>2908</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7"/>
      <c r="B26" s="2814" t="s">
        <v>2909</v>
      </c>
      <c r="C26" s="206">
        <f ca="1">E29+SUM(E33:E39)</f>
        <v>1921</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2910</v>
      </c>
      <c r="C27" s="934">
        <f ca="1">E30+SUM(I33:I39)</f>
        <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2911</v>
      </c>
      <c r="C28" s="2838" t="s">
        <v>2912</v>
      </c>
      <c r="D28" s="2838" t="s">
        <v>2913</v>
      </c>
      <c r="E28" s="2839" t="s">
        <v>2914</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2915</v>
      </c>
      <c r="C29" s="206">
        <f ca="1">ROUND(C5*C18*C19*C20*C21*C24,0)</f>
        <v>1816</v>
      </c>
      <c r="D29" s="2843">
        <f>'数据-汇总表'!F21</f>
        <v>10577.23</v>
      </c>
      <c r="E29" s="2980">
        <f ca="1">ROUND(C29*D29/10000,0)</f>
        <v>1921</v>
      </c>
      <c r="F29" s="2844" t="s">
        <v>2916</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2917</v>
      </c>
      <c r="C30" s="229">
        <f ca="1">ROUND(IF(E2="工业",C29*M39,C29*M38),0)</f>
        <v>272</v>
      </c>
      <c r="D30" s="2849"/>
      <c r="E30" s="2980">
        <f ca="1">ROUND(C30*D30/10000,0)</f>
        <v>0</v>
      </c>
      <c r="F30" s="2850" t="s">
        <v>2918</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199" t="s">
        <v>2923</v>
      </c>
      <c r="B33" s="2859" t="s">
        <v>2924</v>
      </c>
      <c r="C33" s="206">
        <f ca="1">ROUND(D5*C19*C20*C24*F33,0)</f>
        <v>0</v>
      </c>
      <c r="D33" s="2843"/>
      <c r="E33" s="200">
        <f ca="1">ROUND(C33*D33/10000,0)</f>
        <v>0</v>
      </c>
      <c r="F33" s="200">
        <f>SUMIF(修正!A45:A56,G2,修正!B45:B56)</f>
        <v>0.7</v>
      </c>
      <c r="G33" s="200">
        <f t="shared" ref="G33" ca="1" si="6">ROUND(IF(E2="工业",C33*$M$39,C33*$M$38),0)</f>
        <v>0</v>
      </c>
      <c r="H33" s="200">
        <f>D33</f>
        <v>0</v>
      </c>
      <c r="I33" s="200">
        <f ca="1">ROUND(G33*H33/10000,0)</f>
        <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0"/>
      <c r="B34" s="2763" t="s">
        <v>2925</v>
      </c>
      <c r="C34" s="206">
        <f ca="1">ROUND(D5*C19*C20*C24*F34,0)</f>
        <v>0</v>
      </c>
      <c r="D34" s="2843"/>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0"/>
      <c r="B35" s="2763" t="s">
        <v>2926</v>
      </c>
      <c r="C35" s="206">
        <f ca="1">ROUND(D5*C19*C20*C24*F35,0)</f>
        <v>0</v>
      </c>
      <c r="D35" s="2843"/>
      <c r="E35" s="200">
        <f t="shared" ca="1" si="7"/>
        <v>0</v>
      </c>
      <c r="F35" s="200">
        <f>SUMIF(修正!A45:A56,G2,修正!D45:D56)</f>
        <v>0.28000000000000003</v>
      </c>
      <c r="G35" s="200">
        <f ca="1">ROUND(IF(E2="工业",C35*$M$39,C35*$M$38),0)</f>
        <v>0</v>
      </c>
      <c r="H35" s="200">
        <f t="shared" si="8"/>
        <v>0</v>
      </c>
      <c r="I35" s="200">
        <f t="shared" ca="1" si="9"/>
        <v>0</v>
      </c>
      <c r="J35" s="2860"/>
      <c r="K35" s="1373"/>
      <c r="L35" s="1373"/>
      <c r="M35" s="1373"/>
      <c r="N35" s="1373"/>
      <c r="O35" s="1373"/>
      <c r="P35" s="1373"/>
      <c r="Q35" s="1373"/>
      <c r="R35" s="1373"/>
      <c r="S35" s="1373"/>
      <c r="T35" s="1373"/>
      <c r="U35" s="1373"/>
      <c r="V35" s="1373"/>
      <c r="W35" s="1373"/>
      <c r="X35" s="1373"/>
      <c r="Y35" s="1373"/>
      <c r="Z35" s="1374"/>
    </row>
    <row r="36" spans="1:37" ht="13.5" thickBot="1">
      <c r="A36" s="3201"/>
      <c r="B36" s="2763" t="s">
        <v>2927</v>
      </c>
      <c r="C36" s="206">
        <f ca="1">ROUND(D5*C19*C20*C24*F36,0)</f>
        <v>0</v>
      </c>
      <c r="D36" s="2843"/>
      <c r="E36" s="200">
        <f t="shared" ca="1" si="7"/>
        <v>0</v>
      </c>
      <c r="F36" s="200">
        <f>SUMIF(修正!A45:A56,G2,修正!E45:E56)</f>
        <v>0.25</v>
      </c>
      <c r="G36" s="200">
        <f ca="1">ROUND(IF(E2="工业",C36*$M$39,C36*$M$38),0)</f>
        <v>0</v>
      </c>
      <c r="H36" s="200">
        <f t="shared" si="8"/>
        <v>0</v>
      </c>
      <c r="I36" s="200">
        <f t="shared" ca="1" si="9"/>
        <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2928</v>
      </c>
      <c r="C37" s="200">
        <f ca="1">ROUND(C5*C19*C20*C24*F37,0)</f>
        <v>425</v>
      </c>
      <c r="D37" s="2843"/>
      <c r="E37" s="200">
        <f t="shared" ca="1" si="7"/>
        <v>0</v>
      </c>
      <c r="F37" s="206">
        <f>SUMIF(修正!A45:A56,G2,修正!F45:F56)</f>
        <v>0.25</v>
      </c>
      <c r="G37" s="200">
        <f ca="1">ROUND(IF(E2="工业",C37*$M$39,C37*$M$38),0)</f>
        <v>64</v>
      </c>
      <c r="H37" s="200">
        <f t="shared" si="8"/>
        <v>0</v>
      </c>
      <c r="I37" s="200">
        <f t="shared" ca="1" si="9"/>
        <v>0</v>
      </c>
      <c r="J37" s="2860"/>
      <c r="K37" s="1373"/>
      <c r="L37" s="2862" t="s">
        <v>2929</v>
      </c>
      <c r="M37" s="2863"/>
      <c r="N37" s="1373"/>
      <c r="O37" s="1373"/>
      <c r="P37" s="1373"/>
      <c r="Q37" s="1373"/>
      <c r="R37" s="1373"/>
      <c r="S37" s="1373"/>
      <c r="T37" s="1373"/>
      <c r="U37" s="1373"/>
      <c r="V37" s="1373"/>
      <c r="W37" s="1373"/>
      <c r="X37" s="1373"/>
      <c r="Y37" s="1373"/>
      <c r="Z37" s="1374"/>
    </row>
    <row r="38" spans="1:37">
      <c r="A38" s="2861"/>
      <c r="B38" s="2763" t="s">
        <v>2930</v>
      </c>
      <c r="C38" s="200">
        <f ca="1">ROUND(C5*C19*C20*C24*F38,0)</f>
        <v>425</v>
      </c>
      <c r="D38" s="2843"/>
      <c r="E38" s="200">
        <f t="shared" ca="1" si="7"/>
        <v>0</v>
      </c>
      <c r="F38" s="206">
        <f>SUMIF(修正!A45:A56,G2,修正!G45:G56)</f>
        <v>0.25</v>
      </c>
      <c r="G38" s="200">
        <f ca="1">ROUND(IF(E2="工业",C38*$M$39,C38*$M$38),0)</f>
        <v>64</v>
      </c>
      <c r="H38" s="200">
        <f t="shared" si="8"/>
        <v>0</v>
      </c>
      <c r="I38" s="200">
        <f t="shared" ca="1" si="9"/>
        <v>0</v>
      </c>
      <c r="J38" s="2860"/>
      <c r="K38" s="1373"/>
      <c r="L38" s="1890" t="s">
        <v>2931</v>
      </c>
      <c r="M38" s="2864">
        <v>0.25</v>
      </c>
      <c r="N38" s="1373"/>
      <c r="O38" s="1373"/>
      <c r="P38" s="1373"/>
      <c r="Q38" s="1373"/>
      <c r="R38" s="1373"/>
      <c r="S38" s="1373"/>
      <c r="T38" s="1373"/>
      <c r="U38" s="1373"/>
      <c r="V38" s="1373"/>
      <c r="W38" s="1373"/>
      <c r="X38" s="1373"/>
      <c r="Y38" s="1373"/>
      <c r="Z38" s="1374"/>
    </row>
    <row r="39" spans="1:37" ht="13.5" thickBot="1">
      <c r="A39" s="2847"/>
      <c r="B39" s="2865" t="s">
        <v>2932</v>
      </c>
      <c r="C39" s="229">
        <f ca="1">ROUND(C5*C19*C20*C24*F39,0)</f>
        <v>340</v>
      </c>
      <c r="D39" s="2849"/>
      <c r="E39" s="229">
        <f t="shared" ca="1" si="7"/>
        <v>0</v>
      </c>
      <c r="F39" s="935">
        <f>SUMIF(修正!A45:A56,G2,修正!H45:H56)</f>
        <v>0.2</v>
      </c>
      <c r="G39" s="229">
        <f ca="1">ROUND(IF(E2="工业",C39*$M$39,C39*$M$38),0)</f>
        <v>51</v>
      </c>
      <c r="H39" s="229">
        <f t="shared" si="8"/>
        <v>0</v>
      </c>
      <c r="I39" s="229">
        <f t="shared" ca="1" si="9"/>
        <v>0</v>
      </c>
      <c r="J39" s="2866"/>
      <c r="K39" s="1373"/>
      <c r="L39" s="2867" t="s">
        <v>2875</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2933</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2934</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2935</v>
      </c>
      <c r="B47" s="2969" t="s">
        <v>2936</v>
      </c>
      <c r="C47" s="2969" t="s">
        <v>2937</v>
      </c>
      <c r="D47" s="2969" t="s">
        <v>2938</v>
      </c>
      <c r="E47" s="819" t="s">
        <v>2939</v>
      </c>
      <c r="F47" s="2877" t="s">
        <v>2940</v>
      </c>
      <c r="G47" s="2969" t="s">
        <v>754</v>
      </c>
      <c r="H47" s="2878" t="s">
        <v>2941</v>
      </c>
      <c r="I47" s="2969"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38.25">
      <c r="A48" s="2876" t="s">
        <v>2943</v>
      </c>
      <c r="B48" s="2879" t="str">
        <f>估价对象房地状况!C4</f>
        <v>估价对象位于XX商圈，周边商业氛围成熟，人流量大，商业繁华度好</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6" t="s">
        <v>2944</v>
      </c>
      <c r="B49" s="2880" t="str">
        <f>估价对象房地状况!C18</f>
        <v>估价对象周边道路状况、公共交通通达情况、停车便捷程度，综合评价交通便捷度较好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2945</v>
      </c>
      <c r="B50" s="2880">
        <f>估价对象房地状况!C19</f>
        <v>0</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2946</v>
      </c>
      <c r="B51" s="2881" t="s">
        <v>2947</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2948</v>
      </c>
      <c r="B52" s="2880">
        <f>估价对象房地状况!C24</f>
        <v>0</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2949</v>
      </c>
      <c r="B53" s="2882" t="s">
        <v>2950</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2951</v>
      </c>
      <c r="B54" s="1728" t="str">
        <f>估价对象房地状况!C21</f>
        <v>估价对象所在区域公共配套设施齐备情况</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2952</v>
      </c>
      <c r="B55" s="2880" t="str">
        <f>估价对象房地状况!C22</f>
        <v>估价对象所在区域基础设施水平</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4" t="s">
        <v>2953</v>
      </c>
      <c r="B56" s="2885" t="str">
        <f>估价对象房地状况!C20</f>
        <v>区域自然环境：；人文环境；综合评价环境状况一般</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2954</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2935</v>
      </c>
      <c r="B58" s="2969"/>
      <c r="C58" s="2969" t="s">
        <v>2937</v>
      </c>
      <c r="D58" s="2969" t="s">
        <v>2938</v>
      </c>
      <c r="E58" s="819" t="s">
        <v>2939</v>
      </c>
      <c r="F58" s="2877" t="s">
        <v>2955</v>
      </c>
      <c r="G58" s="2969" t="s">
        <v>754</v>
      </c>
      <c r="H58" s="2878" t="s">
        <v>2941</v>
      </c>
      <c r="I58" s="2969"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38.25">
      <c r="A59" s="2876" t="s">
        <v>2956</v>
      </c>
      <c r="B59" s="2879" t="str">
        <f>估价对象房地状况!C17</f>
        <v>估价对象位于XX商圈，周边办公楼项目较多，入驻率高，办公集聚程度较好</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6" t="s">
        <v>2944</v>
      </c>
      <c r="B60" s="2880" t="str">
        <f>估价对象房地状况!C18</f>
        <v>估价对象周边道路状况、公共交通通达情况、停车便捷程度，综合评价交通便捷度较好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2945</v>
      </c>
      <c r="B61" s="2880">
        <f>估价对象房地状况!C19</f>
        <v>0</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2946</v>
      </c>
      <c r="B62" s="2881" t="s">
        <v>2947</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2948</v>
      </c>
      <c r="B63" s="2880">
        <f>估价对象房地状况!C24</f>
        <v>0</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2949</v>
      </c>
      <c r="B64" s="2882" t="s">
        <v>2950</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2951</v>
      </c>
      <c r="B65" s="1728" t="str">
        <f>估价对象房地状况!C21</f>
        <v>估价对象所在区域公共配套设施齐备情况</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2952</v>
      </c>
      <c r="B66" s="1728" t="str">
        <f>估价对象房地状况!C22</f>
        <v>估价对象所在区域基础设施水平</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4" t="s">
        <v>2953</v>
      </c>
      <c r="B67" s="2886" t="str">
        <f>估价对象房地状况!C20</f>
        <v>区域自然环境：；人文环境；综合评价环境状况一般</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2957</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2935</v>
      </c>
      <c r="B69" s="2969"/>
      <c r="C69" s="2969" t="s">
        <v>2937</v>
      </c>
      <c r="D69" s="2969" t="s">
        <v>2938</v>
      </c>
      <c r="E69" s="819" t="s">
        <v>2939</v>
      </c>
      <c r="F69" s="2877" t="s">
        <v>2955</v>
      </c>
      <c r="G69" s="2969" t="s">
        <v>754</v>
      </c>
      <c r="H69" s="2878" t="s">
        <v>2941</v>
      </c>
      <c r="I69" s="2969"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51">
      <c r="A70" s="2876" t="s">
        <v>2958</v>
      </c>
      <c r="B70" s="2879" t="str">
        <f>估价对象房地状况!C15</f>
        <v>估价对象周边居住用地比例、居住小区规模和社区发展完善程度，综合评价居住社区成熟度一般</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6" t="s">
        <v>2944</v>
      </c>
      <c r="B71" s="2880" t="str">
        <f>估价对象房地状况!C18</f>
        <v>估价对象周边道路状况、公共交通通达情况、停车便捷程度，综合评价交通便捷度较好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2945</v>
      </c>
      <c r="B72" s="2880">
        <f>估价对象房地状况!C19</f>
        <v>0</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2959</v>
      </c>
      <c r="B73" s="2880">
        <f>估价对象房地状况!C24</f>
        <v>0</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2951</v>
      </c>
      <c r="B74" s="1728" t="str">
        <f>估价对象房地状况!C21</f>
        <v>估价对象所在区域公共配套设施齐备情况</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2952</v>
      </c>
      <c r="B75" s="1728" t="str">
        <f>估价对象房地状况!C22</f>
        <v>估价对象所在区域基础设施水平</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2949</v>
      </c>
      <c r="B76" s="2882" t="s">
        <v>2950</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38.25">
      <c r="A77" s="2876" t="s">
        <v>2953</v>
      </c>
      <c r="B77" s="2879" t="str">
        <f>估价对象房地状况!C20</f>
        <v>区域自然环境：；人文环境；综合评价环境状况一般</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2960</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2961</v>
      </c>
      <c r="B79" s="2873">
        <f>1+E81</f>
        <v>1.0518000000000001</v>
      </c>
      <c r="C79" s="814"/>
      <c r="D79" s="814"/>
      <c r="E79" s="815"/>
      <c r="F79" s="2875"/>
      <c r="G79" s="6"/>
      <c r="H79" s="6"/>
      <c r="I79" s="6"/>
      <c r="J79" s="7"/>
      <c r="K79" s="7"/>
      <c r="L79" s="7"/>
      <c r="M79" s="7"/>
      <c r="N79" s="7"/>
      <c r="Z79" s="2718"/>
      <c r="AA79" s="2794"/>
      <c r="AG79" s="1375"/>
      <c r="AK79" s="2794"/>
    </row>
    <row r="80" spans="1:37" ht="24.75">
      <c r="A80" s="2876" t="s">
        <v>2935</v>
      </c>
      <c r="B80" s="2969"/>
      <c r="C80" s="2969" t="s">
        <v>2937</v>
      </c>
      <c r="D80" s="2969" t="s">
        <v>2938</v>
      </c>
      <c r="E80" s="819" t="s">
        <v>2939</v>
      </c>
      <c r="F80" s="2877" t="s">
        <v>2955</v>
      </c>
      <c r="G80" s="2969" t="s">
        <v>754</v>
      </c>
      <c r="H80" s="2878" t="s">
        <v>2941</v>
      </c>
      <c r="I80" s="2969" t="s">
        <v>2942</v>
      </c>
      <c r="J80" s="603" t="s">
        <v>2590</v>
      </c>
      <c r="K80" s="603" t="s">
        <v>2591</v>
      </c>
      <c r="L80" s="603" t="s">
        <v>2592</v>
      </c>
      <c r="M80" s="603" t="s">
        <v>2593</v>
      </c>
      <c r="N80" s="603" t="s">
        <v>2594</v>
      </c>
      <c r="Z80" s="2718"/>
      <c r="AA80" s="2794"/>
      <c r="AG80" s="1375"/>
      <c r="AK80" s="2794"/>
    </row>
    <row r="81" spans="1:37" ht="38.25">
      <c r="A81" s="2876" t="s">
        <v>2962</v>
      </c>
      <c r="B81" s="2880" t="str">
        <f>估价对象房地状况!G15</f>
        <v>估价对象位于天竺空港工业区，园区建设成熟度较好，产业集聚程度较好</v>
      </c>
      <c r="C81" s="2768" t="s">
        <v>3089</v>
      </c>
      <c r="D81" s="1289">
        <f t="shared" ref="D81:D88" si="25">SUMIF($J$80:$N$80,C81,J81:N81)</f>
        <v>1.6899999999999998E-2</v>
      </c>
      <c r="E81" s="821">
        <f>ROUND(SUM(D81:D88),4)</f>
        <v>5.1799999999999999E-2</v>
      </c>
      <c r="F81" s="2499">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18"/>
      <c r="AA81" s="2794"/>
      <c r="AG81" s="1375"/>
      <c r="AK81" s="2794"/>
    </row>
    <row r="82" spans="1:37" ht="51">
      <c r="A82" s="2876" t="s">
        <v>2944</v>
      </c>
      <c r="B82" s="2880" t="str">
        <f>估价对象房地状况!G16</f>
        <v>估价对象周边道路状况较好、公共交通通达情况较好、停车便捷程度较好，综合评价交通便捷度较好</v>
      </c>
      <c r="C82" s="2768" t="s">
        <v>3089</v>
      </c>
      <c r="D82" s="1289">
        <f t="shared" si="25"/>
        <v>2.1399999999999999E-2</v>
      </c>
      <c r="E82" s="826"/>
      <c r="F82" s="2499"/>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18"/>
      <c r="AA82" s="2794"/>
      <c r="AG82" s="1375"/>
      <c r="AK82" s="2794"/>
    </row>
    <row r="83" spans="1:37" ht="24">
      <c r="A83" s="2876" t="s">
        <v>2945</v>
      </c>
      <c r="B83" s="2880">
        <f>估价对象房地状况!G17</f>
        <v>0</v>
      </c>
      <c r="C83" s="2768" t="s">
        <v>3089</v>
      </c>
      <c r="D83" s="1289">
        <f t="shared" si="25"/>
        <v>3.2000000000000002E-3</v>
      </c>
      <c r="E83" s="826"/>
      <c r="F83" s="2499"/>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18"/>
      <c r="AA83" s="2794"/>
      <c r="AG83" s="1375"/>
      <c r="AK83" s="2794"/>
    </row>
    <row r="84" spans="1:37" ht="14.25">
      <c r="A84" s="2876" t="s">
        <v>2959</v>
      </c>
      <c r="B84" s="2880">
        <f>估价对象房地状况!G22</f>
        <v>0</v>
      </c>
      <c r="C84" s="2768" t="s">
        <v>3092</v>
      </c>
      <c r="D84" s="1289">
        <f t="shared" si="25"/>
        <v>-2.5999999999999999E-3</v>
      </c>
      <c r="E84" s="826"/>
      <c r="F84" s="2499"/>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18"/>
      <c r="AA84" s="2794"/>
      <c r="AG84" s="1375"/>
      <c r="AK84" s="2794"/>
    </row>
    <row r="85" spans="1:37" ht="25.5">
      <c r="A85" s="2876" t="s">
        <v>2951</v>
      </c>
      <c r="B85" s="1728" t="str">
        <f>估价对象房地状况!G19</f>
        <v>估价对象所在区域公共配套设施齐备情况一般</v>
      </c>
      <c r="C85" s="2768" t="s">
        <v>3090</v>
      </c>
      <c r="D85" s="1289">
        <f t="shared" si="25"/>
        <v>0</v>
      </c>
      <c r="E85" s="826"/>
      <c r="F85" s="2499"/>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18"/>
      <c r="AA85" s="2794"/>
      <c r="AG85" s="1375"/>
      <c r="AK85" s="2794"/>
    </row>
    <row r="86" spans="1:37" ht="25.5">
      <c r="A86" s="2876" t="s">
        <v>2952</v>
      </c>
      <c r="B86" s="1728" t="str">
        <f>估价对象房地状况!G20</f>
        <v>估价对象所在区域基础设施水平为六通</v>
      </c>
      <c r="C86" s="2768" t="s">
        <v>3089</v>
      </c>
      <c r="D86" s="1289">
        <f t="shared" si="25"/>
        <v>9.7000000000000003E-3</v>
      </c>
      <c r="E86" s="826"/>
      <c r="F86" s="2499"/>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18"/>
      <c r="AA86" s="2794"/>
      <c r="AG86" s="1375"/>
      <c r="AK86" s="2794"/>
    </row>
    <row r="87" spans="1:37" ht="24">
      <c r="A87" s="2876" t="s">
        <v>2949</v>
      </c>
      <c r="B87" s="2990" t="s">
        <v>3115</v>
      </c>
      <c r="C87" s="2768" t="s">
        <v>3089</v>
      </c>
      <c r="D87" s="1289">
        <f t="shared" si="25"/>
        <v>3.2000000000000002E-3</v>
      </c>
      <c r="E87" s="826"/>
      <c r="F87" s="2499"/>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18"/>
      <c r="AA87" s="2794"/>
      <c r="AG87" s="1375"/>
      <c r="AK87" s="2794"/>
    </row>
    <row r="88" spans="1:37" ht="39" thickBot="1">
      <c r="A88" s="2884" t="s">
        <v>2963</v>
      </c>
      <c r="B88" s="2889" t="str">
        <f>估价对象房地状况!G18</f>
        <v>该园区内无污染型企业，绿化情况一般，卫生条件一般，整体环境状况一般</v>
      </c>
      <c r="C88" s="2768" t="s">
        <v>3090</v>
      </c>
      <c r="D88" s="1289">
        <f t="shared" si="25"/>
        <v>0</v>
      </c>
      <c r="E88" s="827"/>
      <c r="F88" s="2499"/>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18"/>
      <c r="AA88" s="2794"/>
      <c r="AG88" s="1375"/>
      <c r="AK88" s="2794"/>
    </row>
    <row r="90" spans="1:37">
      <c r="A90" s="3193" t="s">
        <v>2964</v>
      </c>
      <c r="B90" s="3193"/>
      <c r="C90" s="3193"/>
      <c r="D90" s="3193"/>
      <c r="E90" s="3193"/>
      <c r="F90" s="3193"/>
      <c r="G90" s="3193"/>
      <c r="H90" s="3193"/>
      <c r="I90" s="3193"/>
      <c r="J90" s="3193"/>
      <c r="K90" s="2978"/>
      <c r="L90" s="2978"/>
      <c r="M90" s="2978"/>
      <c r="N90" s="2978"/>
    </row>
    <row r="91" spans="1:37">
      <c r="A91" s="3195" t="s">
        <v>2965</v>
      </c>
      <c r="B91" s="3195" t="s">
        <v>2966</v>
      </c>
      <c r="C91" s="2844" t="s">
        <v>2967</v>
      </c>
      <c r="D91" s="2845"/>
      <c r="E91" s="2845"/>
      <c r="F91" s="2845"/>
      <c r="G91" s="2845"/>
      <c r="H91" s="2845"/>
      <c r="I91" s="2845"/>
      <c r="J91" s="2891"/>
      <c r="K91" s="2892"/>
      <c r="L91" s="2892"/>
      <c r="M91" s="2892"/>
      <c r="N91" s="2892"/>
    </row>
    <row r="92" spans="1:37">
      <c r="A92" s="3195"/>
      <c r="B92" s="3195"/>
      <c r="C92" s="2980" t="s">
        <v>2834</v>
      </c>
      <c r="D92" s="2980" t="s">
        <v>2835</v>
      </c>
      <c r="E92" s="2980" t="s">
        <v>2836</v>
      </c>
      <c r="F92" s="2980" t="s">
        <v>2837</v>
      </c>
      <c r="G92" s="2980" t="s">
        <v>2838</v>
      </c>
      <c r="H92" s="2980" t="s">
        <v>2839</v>
      </c>
      <c r="I92" s="2980" t="s">
        <v>2840</v>
      </c>
      <c r="J92" s="2980" t="s">
        <v>2841</v>
      </c>
      <c r="K92" s="2980" t="s">
        <v>2842</v>
      </c>
      <c r="L92" s="2980" t="s">
        <v>2843</v>
      </c>
      <c r="M92" s="2980" t="s">
        <v>2844</v>
      </c>
      <c r="N92" s="2980" t="s">
        <v>2845</v>
      </c>
    </row>
    <row r="93" spans="1:37">
      <c r="A93" s="3196"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97"/>
      <c r="B99" s="2893" t="s">
        <v>2850</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1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96" t="s">
        <v>2969</v>
      </c>
      <c r="B101" s="2897" t="s">
        <v>2970</v>
      </c>
      <c r="C101" s="2898">
        <f>$G$3</f>
        <v>1.07</v>
      </c>
      <c r="D101" s="2898">
        <f t="shared" ref="D101:N101" si="32">$G$3</f>
        <v>1.07</v>
      </c>
      <c r="E101" s="2898">
        <f t="shared" si="32"/>
        <v>1.07</v>
      </c>
      <c r="F101" s="2898">
        <f t="shared" si="32"/>
        <v>1.07</v>
      </c>
      <c r="G101" s="2898">
        <f t="shared" si="32"/>
        <v>1.07</v>
      </c>
      <c r="H101" s="2898">
        <f t="shared" si="32"/>
        <v>1.07</v>
      </c>
      <c r="I101" s="2898">
        <f t="shared" si="32"/>
        <v>1.07</v>
      </c>
      <c r="J101" s="2898">
        <f t="shared" si="32"/>
        <v>1.07</v>
      </c>
      <c r="K101" s="2898">
        <f t="shared" si="32"/>
        <v>1.07</v>
      </c>
      <c r="L101" s="2898">
        <f t="shared" si="32"/>
        <v>1.07</v>
      </c>
      <c r="M101" s="2898">
        <f t="shared" si="32"/>
        <v>1.07</v>
      </c>
      <c r="N101" s="2898">
        <f t="shared" si="32"/>
        <v>1.07</v>
      </c>
    </row>
    <row r="102" spans="1:14">
      <c r="A102" s="3197"/>
      <c r="B102" s="2893">
        <v>1</v>
      </c>
      <c r="C102" s="2894">
        <f>1.9362/C101</f>
        <v>1.8095327102803735</v>
      </c>
      <c r="D102" s="2894">
        <f>1.9362/D101</f>
        <v>1.8095327102803735</v>
      </c>
      <c r="E102" s="2894">
        <f>1.8629/E101</f>
        <v>1.7410280373831775</v>
      </c>
      <c r="F102" s="2894">
        <f>1.8629/F101</f>
        <v>1.7410280373831775</v>
      </c>
      <c r="G102" s="2894">
        <f>1.8629/G101</f>
        <v>1.7410280373831775</v>
      </c>
      <c r="H102" s="2894">
        <f>1.8629/H101</f>
        <v>1.7410280373831775</v>
      </c>
      <c r="I102" s="2894">
        <f>1.8629/I101</f>
        <v>1.7410280373831775</v>
      </c>
      <c r="J102" s="2894">
        <f>1.942/J101</f>
        <v>1.8149532710280372</v>
      </c>
      <c r="K102" s="2894">
        <f>1.942/K101</f>
        <v>1.8149532710280372</v>
      </c>
      <c r="L102" s="2894">
        <f>1.942/L101</f>
        <v>1.8149532710280372</v>
      </c>
      <c r="M102" s="2894">
        <f>1.942/M101</f>
        <v>1.8149532710280372</v>
      </c>
      <c r="N102" s="2894">
        <f>1.942/N101</f>
        <v>1.8149532710280372</v>
      </c>
    </row>
    <row r="103" spans="1:14">
      <c r="A103" s="3197"/>
      <c r="B103" s="2893">
        <v>2</v>
      </c>
      <c r="C103" s="2894">
        <f>1.4198/C101</f>
        <v>1.3269158878504672</v>
      </c>
      <c r="D103" s="2894">
        <f>1.4198/D101</f>
        <v>1.3269158878504672</v>
      </c>
      <c r="E103" s="2894">
        <f>1.3372/E101</f>
        <v>1.2497196261682242</v>
      </c>
      <c r="F103" s="2894">
        <f>1.3372/F101</f>
        <v>1.2497196261682242</v>
      </c>
      <c r="G103" s="2894">
        <f>1.3372/G101</f>
        <v>1.2497196261682242</v>
      </c>
      <c r="H103" s="2894">
        <f>1.3372/H101</f>
        <v>1.2497196261682242</v>
      </c>
      <c r="I103" s="2894">
        <f>1.3372/I101</f>
        <v>1.2497196261682242</v>
      </c>
      <c r="J103" s="2894">
        <f>1.2799/J101</f>
        <v>1.1961682242990654</v>
      </c>
      <c r="K103" s="2894">
        <f>1.2799/K101</f>
        <v>1.1961682242990654</v>
      </c>
      <c r="L103" s="2894">
        <f>1.2799/L101</f>
        <v>1.1961682242990654</v>
      </c>
      <c r="M103" s="2894">
        <f>1.2799/M101</f>
        <v>1.1961682242990654</v>
      </c>
      <c r="N103" s="2894">
        <f>1.2799/N101</f>
        <v>1.1961682242990654</v>
      </c>
    </row>
    <row r="104" spans="1:14">
      <c r="A104" s="3197"/>
      <c r="B104" s="2893">
        <v>3</v>
      </c>
      <c r="C104" s="2894">
        <f>1.1594/C101</f>
        <v>1.0835514018691588</v>
      </c>
      <c r="D104" s="2894">
        <f>1.1594/D101</f>
        <v>1.0835514018691588</v>
      </c>
      <c r="E104" s="2894">
        <f>1.0788/E101</f>
        <v>1.0082242990654204</v>
      </c>
      <c r="F104" s="2894">
        <f>1.0788/F101</f>
        <v>1.0082242990654204</v>
      </c>
      <c r="G104" s="2894">
        <f>1.0788/G101</f>
        <v>1.0082242990654204</v>
      </c>
      <c r="H104" s="2894">
        <f>1.0788/H101</f>
        <v>1.0082242990654204</v>
      </c>
      <c r="I104" s="2894">
        <f>1.0788/I101</f>
        <v>1.0082242990654204</v>
      </c>
      <c r="J104" s="2894">
        <f>1.0072/J101</f>
        <v>0.94130841121495334</v>
      </c>
      <c r="K104" s="2894">
        <f>1.0072/K101</f>
        <v>0.94130841121495334</v>
      </c>
      <c r="L104" s="2894">
        <f>1.0072/L101</f>
        <v>0.94130841121495334</v>
      </c>
      <c r="M104" s="2894">
        <f>1.0072/M101</f>
        <v>0.94130841121495334</v>
      </c>
      <c r="N104" s="2894">
        <f>1.0072/N101</f>
        <v>0.94130841121495334</v>
      </c>
    </row>
    <row r="105" spans="1:14">
      <c r="A105" s="3197"/>
      <c r="B105" s="2893">
        <v>4</v>
      </c>
      <c r="C105" s="2894">
        <f>0.9622/C101</f>
        <v>0.89925233644859814</v>
      </c>
      <c r="D105" s="2894">
        <f>0.9622/D101</f>
        <v>0.89925233644859814</v>
      </c>
      <c r="E105" s="2894">
        <f>0.8656/E101</f>
        <v>0.80897196261682247</v>
      </c>
      <c r="F105" s="2894">
        <f>0.8656/F101</f>
        <v>0.80897196261682247</v>
      </c>
      <c r="G105" s="2894">
        <f>0.8656/G101</f>
        <v>0.80897196261682247</v>
      </c>
      <c r="H105" s="2894">
        <f>0.8656/H101</f>
        <v>0.80897196261682247</v>
      </c>
      <c r="I105" s="2894">
        <f>0.8656/I101</f>
        <v>0.80897196261682247</v>
      </c>
      <c r="J105" s="2894">
        <f>0.7525/J101</f>
        <v>0.70327102803738306</v>
      </c>
      <c r="K105" s="2894">
        <f>0.7525/K101</f>
        <v>0.70327102803738306</v>
      </c>
      <c r="L105" s="2894">
        <f>0.7525/L101</f>
        <v>0.70327102803738306</v>
      </c>
      <c r="M105" s="2894">
        <f>0.7525/M101</f>
        <v>0.70327102803738306</v>
      </c>
      <c r="N105" s="2894">
        <f>0.7525/N101</f>
        <v>0.70327102803738306</v>
      </c>
    </row>
    <row r="106" spans="1:14">
      <c r="A106" s="3197"/>
      <c r="B106" s="2893">
        <v>5</v>
      </c>
      <c r="C106" s="2894">
        <f>0.8417/C101</f>
        <v>0.78663551401869158</v>
      </c>
      <c r="D106" s="2894">
        <f>0.8417/D101</f>
        <v>0.78663551401869158</v>
      </c>
      <c r="E106" s="2894">
        <f>0.7371/E101</f>
        <v>0.68887850467289713</v>
      </c>
      <c r="F106" s="2894">
        <f>0.7371/F101</f>
        <v>0.68887850467289713</v>
      </c>
      <c r="G106" s="2894">
        <f>0.7371/G101</f>
        <v>0.68887850467289713</v>
      </c>
      <c r="H106" s="2894">
        <f>0.7371/H101</f>
        <v>0.68887850467289713</v>
      </c>
      <c r="I106" s="2894">
        <f>0.7371/I101</f>
        <v>0.68887850467289713</v>
      </c>
      <c r="J106" s="2894">
        <f>0.5659/J101</f>
        <v>0.5288785046728971</v>
      </c>
      <c r="K106" s="2894">
        <f>0.5659/K101</f>
        <v>0.5288785046728971</v>
      </c>
      <c r="L106" s="2894">
        <f>0.5659/L101</f>
        <v>0.5288785046728971</v>
      </c>
      <c r="M106" s="2894">
        <f>0.5659/M101</f>
        <v>0.5288785046728971</v>
      </c>
      <c r="N106" s="2894">
        <f>0.5659/N101</f>
        <v>0.5288785046728971</v>
      </c>
    </row>
    <row r="107" spans="1:14">
      <c r="A107" s="3197"/>
      <c r="B107" s="2893">
        <v>6</v>
      </c>
      <c r="C107" s="2894">
        <f>0.7608/C101</f>
        <v>0.71102803738317755</v>
      </c>
      <c r="D107" s="2894">
        <f>0.7608/D101</f>
        <v>0.71102803738317755</v>
      </c>
      <c r="E107" s="2894">
        <f>0.6482/E101</f>
        <v>0.60579439252336442</v>
      </c>
      <c r="F107" s="2894">
        <f>0.6482/F101</f>
        <v>0.60579439252336442</v>
      </c>
      <c r="G107" s="2894">
        <f>0.6482/G101</f>
        <v>0.60579439252336442</v>
      </c>
      <c r="H107" s="2894">
        <f>0.6482/H101</f>
        <v>0.60579439252336442</v>
      </c>
      <c r="I107" s="2894">
        <f>0.6482/I101</f>
        <v>0.60579439252336442</v>
      </c>
      <c r="J107" s="2894">
        <f>0.4525/J101</f>
        <v>0.42289719626168221</v>
      </c>
      <c r="K107" s="2894">
        <f>0.4525/K101</f>
        <v>0.42289719626168221</v>
      </c>
      <c r="L107" s="2894">
        <f>0.4525/L101</f>
        <v>0.42289719626168221</v>
      </c>
      <c r="M107" s="2894">
        <f>0.4525/M101</f>
        <v>0.42289719626168221</v>
      </c>
      <c r="N107" s="2894">
        <f>0.4525/N101</f>
        <v>0.42289719626168221</v>
      </c>
    </row>
    <row r="108" spans="1:14">
      <c r="A108" s="3197"/>
      <c r="B108" s="3152" t="s">
        <v>2863</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198"/>
      <c r="B109" s="3153"/>
      <c r="C109" s="2896">
        <f>(-0.163*(C108^2)-0.59*C108+7617)*(10^(-4))/C101</f>
        <v>0.71186915887850466</v>
      </c>
      <c r="D109" s="2896">
        <f>(-0.163*(D108^2)-0.59*D108+7617)*(10^(-4))/D101</f>
        <v>0.71186915887850466</v>
      </c>
      <c r="E109" s="2896">
        <f>(-0.161*(E108^2)-7.509*E108+6533)*(10^(-4))/E101</f>
        <v>0.6105607476635514</v>
      </c>
      <c r="F109" s="2896">
        <f>(-0.161*(F108^2)-7.509*F108+6533)*(10^(-4))/F101</f>
        <v>0.6105607476635514</v>
      </c>
      <c r="G109" s="2896">
        <f>(-0.161*(G108^2)-7.509*G108+6533)*(10^(-4))/G101</f>
        <v>0.6105607476635514</v>
      </c>
      <c r="H109" s="2896">
        <f>(-0.161*(H108^2)-7.509*H108+6533)*(10^(-4))/H101</f>
        <v>0.6105607476635514</v>
      </c>
      <c r="I109" s="2896">
        <f>(-0.161*(I108^2)-7.509*I108+6533)*(10^(-4))/I101</f>
        <v>0.6105607476635514</v>
      </c>
      <c r="J109" s="2896">
        <f>(-0.214*(J108^2)-21.991*J108+4665)*(10^(-4))/J101</f>
        <v>0.43598130841121496</v>
      </c>
      <c r="K109" s="2896">
        <f>(-0.214*(K108^2)-21.991*K108+4665)*(10^(-4))/K101</f>
        <v>0.43598130841121496</v>
      </c>
      <c r="L109" s="2896">
        <f>(-0.214*(L108^2)-21.991*L108+4665)*(10^(-4))/L101</f>
        <v>0.43598130841121496</v>
      </c>
      <c r="M109" s="2896">
        <f>(-0.214*(M108^2)-21.991*M108+4665)*(10^(-4))/M101</f>
        <v>0.43598130841121496</v>
      </c>
      <c r="N109" s="2896">
        <f>(-0.214*(N108^2)-21.991*N108+4665)*(10^(-4))/N101</f>
        <v>0.43598130841121496</v>
      </c>
    </row>
    <row r="110" spans="1:14">
      <c r="A110" s="3194" t="s">
        <v>2972</v>
      </c>
      <c r="B110" s="3194"/>
      <c r="C110" s="3194"/>
      <c r="D110" s="3194"/>
      <c r="E110" s="3194"/>
      <c r="F110" s="3194"/>
      <c r="G110" s="3194"/>
      <c r="H110" s="3194"/>
      <c r="I110" s="3194"/>
      <c r="J110" s="3194"/>
      <c r="K110" s="2979"/>
      <c r="L110" s="2979"/>
      <c r="M110" s="2979"/>
      <c r="N110" s="2979"/>
    </row>
    <row r="112" spans="1:14" ht="13.5" thickBot="1"/>
    <row r="113" spans="1:13" ht="25.5" thickBot="1">
      <c r="A113" s="903" t="s">
        <v>2973</v>
      </c>
      <c r="B113" s="1290">
        <f>G3</f>
        <v>1.07</v>
      </c>
      <c r="C113" s="904" t="s">
        <v>2974</v>
      </c>
      <c r="D113" s="905">
        <f>SUMPRODUCT((A115:A118=F113)*(B114:M114=H113)*B115:M118)</f>
        <v>0.61680000000000001</v>
      </c>
      <c r="E113" s="2722" t="s">
        <v>2807</v>
      </c>
      <c r="F113" s="2901" t="str">
        <f>E2</f>
        <v>工业</v>
      </c>
      <c r="G113" s="2722" t="s">
        <v>2808</v>
      </c>
      <c r="H113" s="2901" t="str">
        <f>G2</f>
        <v>七级</v>
      </c>
      <c r="I113" s="2722"/>
      <c r="J113" s="2902"/>
      <c r="K113" s="2902"/>
      <c r="L113" s="2902"/>
      <c r="M113" s="2902"/>
    </row>
    <row r="114" spans="1:13">
      <c r="A114" s="908"/>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9" t="s">
        <v>2872</v>
      </c>
      <c r="B115" s="910">
        <f>ROUND(0.9335-0.0094*B113,4)</f>
        <v>0.9234</v>
      </c>
      <c r="C115" s="910">
        <f>B115</f>
        <v>0.9234</v>
      </c>
      <c r="D115" s="910">
        <f>ROUND(0.8331-0.0109*B113,4)</f>
        <v>0.82140000000000002</v>
      </c>
      <c r="E115" s="910">
        <f>D115</f>
        <v>0.82140000000000002</v>
      </c>
      <c r="F115" s="910">
        <f>E115</f>
        <v>0.82140000000000002</v>
      </c>
      <c r="G115" s="910">
        <f>F115</f>
        <v>0.82140000000000002</v>
      </c>
      <c r="H115" s="910">
        <f>G115</f>
        <v>0.82140000000000002</v>
      </c>
      <c r="I115" s="910">
        <f>ROUND(0.689-0.0155*B113,4)</f>
        <v>0.6724</v>
      </c>
      <c r="J115" s="910">
        <f t="shared" ref="J115:M118" si="34">I115</f>
        <v>0.6724</v>
      </c>
      <c r="K115" s="910">
        <f t="shared" si="34"/>
        <v>0.6724</v>
      </c>
      <c r="L115" s="910">
        <f t="shared" si="34"/>
        <v>0.6724</v>
      </c>
      <c r="M115" s="911">
        <f t="shared" si="34"/>
        <v>0.6724</v>
      </c>
    </row>
    <row r="116" spans="1:13">
      <c r="A116" s="909" t="s">
        <v>2873</v>
      </c>
      <c r="B116" s="910">
        <f>ROUND(0.949-0.012*B113,4)</f>
        <v>0.93620000000000003</v>
      </c>
      <c r="C116" s="910">
        <f>B116</f>
        <v>0.93620000000000003</v>
      </c>
      <c r="D116" s="910">
        <f>ROUND(0.8567-0.013*B113,4)</f>
        <v>0.84279999999999999</v>
      </c>
      <c r="E116" s="910">
        <f t="shared" ref="E116:H117" si="35">D116</f>
        <v>0.84279999999999999</v>
      </c>
      <c r="F116" s="910">
        <f t="shared" si="35"/>
        <v>0.84279999999999999</v>
      </c>
      <c r="G116" s="910">
        <f t="shared" si="35"/>
        <v>0.84279999999999999</v>
      </c>
      <c r="H116" s="910">
        <f t="shared" si="35"/>
        <v>0.84279999999999999</v>
      </c>
      <c r="I116" s="910">
        <f>ROUND(0.7694-0.014*B113,4)</f>
        <v>0.75439999999999996</v>
      </c>
      <c r="J116" s="910">
        <f t="shared" si="34"/>
        <v>0.75439999999999996</v>
      </c>
      <c r="K116" s="910">
        <f t="shared" si="34"/>
        <v>0.75439999999999996</v>
      </c>
      <c r="L116" s="910">
        <f t="shared" si="34"/>
        <v>0.75439999999999996</v>
      </c>
      <c r="M116" s="911">
        <f t="shared" si="34"/>
        <v>0.75439999999999996</v>
      </c>
    </row>
    <row r="117" spans="1:13">
      <c r="A117" s="909" t="s">
        <v>2874</v>
      </c>
      <c r="B117" s="910">
        <f>ROUND(0.8808-0.006*B113,4)</f>
        <v>0.87439999999999996</v>
      </c>
      <c r="C117" s="910">
        <f>B117</f>
        <v>0.87439999999999996</v>
      </c>
      <c r="D117" s="910">
        <f>ROUND(0.8748-0.008*B113,4)</f>
        <v>0.86619999999999997</v>
      </c>
      <c r="E117" s="910">
        <f t="shared" si="35"/>
        <v>0.86619999999999997</v>
      </c>
      <c r="F117" s="910">
        <f t="shared" si="35"/>
        <v>0.86619999999999997</v>
      </c>
      <c r="G117" s="910">
        <f t="shared" si="35"/>
        <v>0.86619999999999997</v>
      </c>
      <c r="H117" s="910">
        <f t="shared" si="35"/>
        <v>0.86619999999999997</v>
      </c>
      <c r="I117" s="910">
        <f>ROUND(0.7412-0.0095*B113,4)</f>
        <v>0.73099999999999998</v>
      </c>
      <c r="J117" s="910">
        <f t="shared" si="34"/>
        <v>0.73099999999999998</v>
      </c>
      <c r="K117" s="910">
        <f t="shared" si="34"/>
        <v>0.73099999999999998</v>
      </c>
      <c r="L117" s="910">
        <f t="shared" si="34"/>
        <v>0.73099999999999998</v>
      </c>
      <c r="M117" s="911">
        <f t="shared" si="34"/>
        <v>0.73099999999999998</v>
      </c>
    </row>
    <row r="118" spans="1:13" ht="13.5" thickBot="1">
      <c r="A118" s="714" t="s">
        <v>2875</v>
      </c>
      <c r="B118" s="912">
        <f>ROUND(0.7275-0.01*B113,4)</f>
        <v>0.71679999999999999</v>
      </c>
      <c r="C118" s="912">
        <f>B118</f>
        <v>0.71679999999999999</v>
      </c>
      <c r="D118" s="912">
        <f>ROUND(0.7043-0.012*B113,4)</f>
        <v>0.6915</v>
      </c>
      <c r="E118" s="912">
        <f>D118</f>
        <v>0.6915</v>
      </c>
      <c r="F118" s="912">
        <f>E118</f>
        <v>0.6915</v>
      </c>
      <c r="G118" s="912">
        <f>ROUND(0.6299-0.0122*B113,4)</f>
        <v>0.61680000000000001</v>
      </c>
      <c r="H118" s="912">
        <f>G118</f>
        <v>0.61680000000000001</v>
      </c>
      <c r="I118" s="912">
        <f>ROUND(0.5667-0.0136*B113,4)</f>
        <v>0.55210000000000004</v>
      </c>
      <c r="J118" s="912">
        <f t="shared" si="34"/>
        <v>0.55210000000000004</v>
      </c>
      <c r="K118" s="912">
        <f t="shared" si="34"/>
        <v>0.55210000000000004</v>
      </c>
      <c r="L118" s="912">
        <f t="shared" si="34"/>
        <v>0.55210000000000004</v>
      </c>
      <c r="M118" s="913">
        <f t="shared" si="34"/>
        <v>0.55210000000000004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华鑫国际信托有限公司：</v>
      </c>
    </row>
    <row r="4" spans="1:1" ht="36">
      <c r="A4" s="1951" t="str">
        <f>"受贵公司委托，我公司对"&amp;项目基本情况!S1&amp;"进行了预评估。"</f>
        <v>受贵公司委托，我公司对北京市顺义区竺园路6号1、2、3幢全部房地产抵押价值进行了预评估。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6号1、2、3幢全部房地产，为北京斐瑞康通信技术有限公司所有。根据《不动产权证书》[京（2017）顺不动产权第0000005号、京（2017）顺不动产权第0000006号]，估价对象（分摊）出让国有建设用地使用权面积为20000平方米。根据《不动产权证书》[京（2017）顺不动产权第0013563号、京（2017）顺不动产权第0013643号]，估价对象建筑面积为21402.85平方米。</v>
      </c>
    </row>
    <row r="8" spans="1:1" ht="57.75">
      <c r="A8" s="1954" t="s">
        <v>1614</v>
      </c>
    </row>
    <row r="9" spans="1:1" ht="18.75">
      <c r="A9" s="1953" t="s">
        <v>1615</v>
      </c>
    </row>
    <row r="10" spans="1:1" ht="108">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6号1、2、3幢全部房地产,属北京斐瑞康通信技术有限公司开发建设的工业项目，该项目尚在开发建设中。根据《不动产权证书》[京（2017）顺不动产权第0000005号、京（2017）顺不动产权第0000006号]，估价对象（分摊）出让国有建设用地使用权面积为20000平方米。根据《不动产权证书》[京（2017）顺不动产权第0013563号、京（2017）顺不动产权第0013643号]，估价对象规划建筑面积为21402.85平方米。</v>
      </c>
    </row>
    <row r="11" spans="1:1" ht="76.5">
      <c r="A11" s="1954" t="s">
        <v>1616</v>
      </c>
    </row>
    <row r="12" spans="1:1" ht="18.75">
      <c r="A12" s="1952" t="s">
        <v>1617</v>
      </c>
    </row>
    <row r="13" spans="1:1" ht="38.25" customHeight="1">
      <c r="A13" s="1955" t="str">
        <f>IF(项目基本情况!B8="抵押",IF(项目基本情况!B5=项目基本情况!B6,定义!C51,定义!B51),定义!D51)</f>
        <v>北京斐瑞康通信技术有限公司拟使用北京市顺义区竺园路6号1、2、3幢全部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办公用房、厂房，土地取得方式为出让，出让国有建设用地使用权剩余土地使用年限为办公用房、厂房34.78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厂房，实际开发程度为宗地红线外“六通”（即通路、通电、通讯、通上水、通下水、通热）、红线内场地平整条件下，剩余土地使用年限为办公用房、厂房34.78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"本次评估采用的主估价方法为"&amp;'结果表（办公）'!K4&amp;"和"&amp;'结果表（办公）'!L4&amp;"。"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85" zoomScaleNormal="85"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3063</v>
      </c>
      <c r="D1" s="1823" t="s">
        <v>70</v>
      </c>
      <c r="E1" s="1824" t="s">
        <v>1387</v>
      </c>
      <c r="F1" s="1286">
        <f ca="1">J53</f>
        <v>34.78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6861</v>
      </c>
      <c r="C2" s="1848" t="s">
        <v>1516</v>
      </c>
      <c r="D2" s="1848"/>
      <c r="E2" s="1849"/>
      <c r="F2" s="1850"/>
      <c r="G2" s="1851"/>
      <c r="H2" s="1843"/>
      <c r="I2" s="1843"/>
      <c r="J2" s="1843"/>
      <c r="K2" s="1844"/>
      <c r="L2" s="1843"/>
      <c r="M2" s="1843"/>
    </row>
    <row r="3" spans="1:37" ht="18" customHeight="1" thickBot="1">
      <c r="A3" s="1852" t="s">
        <v>1517</v>
      </c>
      <c r="B3" s="1853">
        <f ca="1">IF(ISERROR(B2*10000/F43),0,ROUND(B2*10000/F43,0))</f>
        <v>16811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444</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443</v>
      </c>
      <c r="D6" s="164" t="s">
        <v>3024</v>
      </c>
      <c r="E6" s="347" t="s">
        <v>1405</v>
      </c>
      <c r="F6" s="348">
        <f ca="1">INDIRECT("'数据-取费表'!u"&amp;$G$1)</f>
        <v>3.5</v>
      </c>
      <c r="G6" s="1854"/>
      <c r="H6" s="1294" t="s">
        <v>1035</v>
      </c>
      <c r="I6" s="3204" t="s">
        <v>1403</v>
      </c>
      <c r="J6" s="346">
        <f ca="1">ROUND(M6*M8*M7*(1-M9)/10000,0)</f>
        <v>0</v>
      </c>
      <c r="K6" s="164" t="s">
        <v>3023</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4081.21</v>
      </c>
      <c r="G7" s="1854"/>
      <c r="H7" s="349"/>
      <c r="I7" s="3205"/>
      <c r="J7" s="351"/>
      <c r="K7" s="352"/>
      <c r="L7" s="347" t="s">
        <v>1406</v>
      </c>
      <c r="M7" s="348">
        <f ca="1">F7</f>
        <v>4081.21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3033</v>
      </c>
      <c r="E10" s="358" t="s">
        <v>1410</v>
      </c>
      <c r="F10" s="1369" t="s">
        <v>3071</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1845</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1428</v>
      </c>
      <c r="D14" s="1803" t="s">
        <v>1418</v>
      </c>
      <c r="E14" s="1797"/>
      <c r="F14" s="364"/>
      <c r="G14" s="1854"/>
      <c r="H14" s="1204" t="s">
        <v>1035</v>
      </c>
      <c r="I14" s="347" t="s">
        <v>1419</v>
      </c>
      <c r="J14" s="24">
        <f ca="1">C29</f>
        <v>2170</v>
      </c>
      <c r="K14" s="15"/>
      <c r="L14" s="982"/>
      <c r="M14" s="983"/>
    </row>
    <row r="15" spans="1:37" s="1861" customFormat="1" ht="18" customHeight="1" thickBot="1">
      <c r="A15" s="1204" t="s">
        <v>1036</v>
      </c>
      <c r="B15" s="347" t="s">
        <v>1420</v>
      </c>
      <c r="C15" s="24">
        <f ca="1">ROUND(C14*F15,0)</f>
        <v>43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51</v>
      </c>
      <c r="K16" s="1340" t="s">
        <v>1425</v>
      </c>
      <c r="L16" s="1341"/>
      <c r="M16" s="1297"/>
    </row>
    <row r="17" spans="1:37" s="1861" customFormat="1" ht="18" customHeight="1">
      <c r="A17" s="1204" t="s">
        <v>1390</v>
      </c>
      <c r="B17" s="347" t="s">
        <v>1426</v>
      </c>
      <c r="C17" s="24">
        <f ca="1">ROUND(F17*(F43+INDIRECT("'数据-取费表'!S"&amp;$G$1))/10000,0)</f>
        <v>82</v>
      </c>
      <c r="D17" s="347" t="s">
        <v>1427</v>
      </c>
      <c r="E17" s="347" t="s">
        <v>1428</v>
      </c>
      <c r="F17" s="26">
        <f>'数据-取费表'!B35</f>
        <v>200</v>
      </c>
      <c r="G17" s="1857"/>
      <c r="H17" s="1204" t="s">
        <v>1035</v>
      </c>
      <c r="I17" s="347" t="s">
        <v>1429</v>
      </c>
      <c r="J17" s="24">
        <f ca="1">ROUND(IF(项目基本情况!B11="自然人",J5*M17,J18+J19+J20),1)</f>
        <v>18.8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1574</v>
      </c>
      <c r="D19" s="140" t="s">
        <v>1436</v>
      </c>
      <c r="E19" s="1821"/>
      <c r="F19" s="26"/>
      <c r="G19" s="1854"/>
      <c r="H19" s="1204" t="s">
        <v>1036</v>
      </c>
      <c r="I19" s="347" t="s">
        <v>1437</v>
      </c>
      <c r="J19" s="24">
        <f ca="1">IF(K19="按租金收入计税",ROUND(J5*M19,2),ROUND(C29*M19*0.7,2))</f>
        <v>18.23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31</v>
      </c>
      <c r="D20" s="369" t="s">
        <v>1440</v>
      </c>
      <c r="E20" s="347" t="s">
        <v>1422</v>
      </c>
      <c r="F20" s="367">
        <f>'数据-取费表'!B37</f>
        <v>0.02</v>
      </c>
      <c r="G20" s="1857"/>
      <c r="H20" s="1204" t="s">
        <v>1389</v>
      </c>
      <c r="I20" s="164" t="s">
        <v>1441</v>
      </c>
      <c r="J20" s="25">
        <f ca="1">ROUND(M20*M21/10000,2)</f>
        <v>0.56999999999999995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3813.71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32.6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-51</v>
      </c>
      <c r="K25" s="1348" t="s">
        <v>1464</v>
      </c>
      <c r="L25" s="1349"/>
      <c r="M25" s="1350"/>
    </row>
    <row r="26" spans="1:37">
      <c r="A26" s="1204" t="s">
        <v>1034</v>
      </c>
      <c r="B26" s="347" t="s">
        <v>1465</v>
      </c>
      <c r="C26" s="24">
        <f ca="1">ROUND((C19+C20)*F26,0)</f>
        <v>321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2170</v>
      </c>
      <c r="D29" s="1345"/>
      <c r="E29" s="1343"/>
      <c r="F29" s="1346"/>
      <c r="G29" s="1857"/>
      <c r="H29" s="380" t="s">
        <v>1033</v>
      </c>
      <c r="I29" s="381" t="s">
        <v>1479</v>
      </c>
      <c r="J29" s="382">
        <f ca="1">ROUND(J26/(1+F40)^F41,0)</f>
        <v>0</v>
      </c>
      <c r="K29" s="383" t="s">
        <v>1480</v>
      </c>
      <c r="L29" s="384"/>
      <c r="M29" s="385">
        <f ca="1">INDIRECT("'数据-取费表'!k"&amp;$G$1)</f>
        <v>4081.21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77.099999999999994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23.26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53.28</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0.56999999999999995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3813.71</v>
      </c>
      <c r="G35" s="1854"/>
      <c r="H35" s="745"/>
      <c r="I35" s="1863"/>
      <c r="J35" s="1864"/>
      <c r="K35" s="1865"/>
      <c r="L35" s="1862"/>
      <c r="M35" s="1862"/>
    </row>
    <row r="36" spans="1:18" ht="18" customHeight="1">
      <c r="A36" s="1355" t="s">
        <v>1039</v>
      </c>
      <c r="B36" s="347" t="s">
        <v>1449</v>
      </c>
      <c r="C36" s="24">
        <f ca="1">ROUND(C29*F36,1)</f>
        <v>32.6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6.7</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325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6861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16811</v>
      </c>
      <c r="D43" s="383" t="s">
        <v>1488</v>
      </c>
      <c r="E43" s="384" t="s">
        <v>1489</v>
      </c>
      <c r="F43" s="385">
        <f ca="1">INDIRECT("'数据-取费表'!k"&amp;$G$1)</f>
        <v>4081.21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-10209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6861</v>
      </c>
      <c r="R47" s="1889" t="s">
        <v>1529</v>
      </c>
    </row>
    <row r="48" spans="1:18" s="1845" customFormat="1" ht="28.5" thickBot="1">
      <c r="A48" s="1363" t="s">
        <v>1135</v>
      </c>
      <c r="B48" s="345" t="s">
        <v>1401</v>
      </c>
      <c r="C48" s="1820">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1895">
        <v>2005</v>
      </c>
      <c r="K49" s="1892" t="s">
        <v>1535</v>
      </c>
      <c r="L49" s="1896"/>
      <c r="O49" s="1897" t="s">
        <v>1042</v>
      </c>
      <c r="P49" s="1888" t="s">
        <v>1536</v>
      </c>
      <c r="Q49" s="1889">
        <f ca="1">C29</f>
        <v>2170</v>
      </c>
      <c r="R49" s="1889" t="s">
        <v>1529</v>
      </c>
    </row>
    <row r="50" spans="1:18" s="1845" customFormat="1" ht="13.5" thickBot="1">
      <c r="A50" s="1198"/>
      <c r="B50" s="1201"/>
      <c r="C50" s="1371"/>
      <c r="D50" s="1175"/>
      <c r="E50" s="1280" t="s">
        <v>1406</v>
      </c>
      <c r="F50" s="1281">
        <f ca="1">F7</f>
        <v>4081.21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37</v>
      </c>
      <c r="K51" s="1903" t="s">
        <v>1541</v>
      </c>
      <c r="L51" s="1904">
        <f ca="1">ROUND(-PV(INDIRECT("'数据-取费表'!h"&amp;$G$1),L48,(C39-C13*C76),0),0)</f>
        <v>2747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6861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1845</v>
      </c>
      <c r="D56" s="1917"/>
      <c r="E56" s="1918"/>
      <c r="F56" s="1910"/>
      <c r="I56" s="1919" t="s">
        <v>1554</v>
      </c>
      <c r="J56" s="1920" t="s">
        <v>3047</v>
      </c>
      <c r="K56" s="1890" t="s">
        <v>1555</v>
      </c>
      <c r="L56" s="1893" t="str">
        <f ca="1">IF(L48&lt;J51,"——",L48-J53)</f>
        <v>——</v>
      </c>
      <c r="O56" s="1887" t="s">
        <v>1040</v>
      </c>
      <c r="P56" s="1888" t="s">
        <v>1528</v>
      </c>
      <c r="Q56" s="1889">
        <f ca="1">C40+J29</f>
        <v>6861</v>
      </c>
      <c r="R56" s="1889" t="s">
        <v>1529</v>
      </c>
    </row>
    <row r="57" spans="1:18" s="1845" customFormat="1" ht="24.75" thickBot="1">
      <c r="A57" s="1921"/>
      <c r="B57" s="1172" t="s">
        <v>1478</v>
      </c>
      <c r="C57" s="282">
        <f ca="1">C29</f>
        <v>2170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182.9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182.28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0.56999999999999995</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6861</v>
      </c>
      <c r="R62" s="1889" t="s">
        <v>1047</v>
      </c>
    </row>
    <row r="63" spans="1:18" s="1845" customFormat="1" ht="13.5" thickBot="1">
      <c r="A63" s="372"/>
      <c r="B63" s="1178"/>
      <c r="C63" s="29"/>
      <c r="D63" s="1188"/>
      <c r="E63" s="1172" t="s">
        <v>1499</v>
      </c>
      <c r="F63" s="348">
        <f t="shared" ca="1" si="0"/>
        <v>3813.71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32.6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2.8</v>
      </c>
      <c r="D65" s="1186" t="s">
        <v>1454</v>
      </c>
      <c r="E65" s="1172" t="s">
        <v>1455</v>
      </c>
      <c r="F65" s="376">
        <f t="shared" ca="1" si="0"/>
        <v>1.5E-3</v>
      </c>
      <c r="I65" s="1932" t="s">
        <v>1579</v>
      </c>
      <c r="J65" s="1933">
        <v>40</v>
      </c>
      <c r="K65" s="1933">
        <v>30</v>
      </c>
      <c r="L65" s="1933">
        <v>50</v>
      </c>
      <c r="M65" s="1935">
        <v>0.02</v>
      </c>
      <c r="O65" s="1887" t="s">
        <v>1040</v>
      </c>
      <c r="P65" s="1888" t="s">
        <v>1580</v>
      </c>
      <c r="Q65" s="1889">
        <f ca="1">C40+J29</f>
        <v>6861</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-218</v>
      </c>
      <c r="D67" s="1185" t="s">
        <v>1464</v>
      </c>
      <c r="E67" s="1190"/>
      <c r="F67" s="1191"/>
      <c r="O67" s="1897" t="s">
        <v>1042</v>
      </c>
      <c r="P67" s="1888" t="s">
        <v>1562</v>
      </c>
      <c r="Q67" s="1936">
        <f ca="1">L51</f>
        <v>2747</v>
      </c>
      <c r="R67" s="1889" t="s">
        <v>1582</v>
      </c>
    </row>
    <row r="68" spans="1:18" s="1845" customFormat="1" ht="16.5" thickBot="1">
      <c r="A68" s="1169" t="s">
        <v>1032</v>
      </c>
      <c r="B68" s="1170" t="s">
        <v>1485</v>
      </c>
      <c r="C68" s="346">
        <f ca="1">ROUND(C67*(1-((1+F70)/(1+F68))^F69)/(F68-F70),0)</f>
        <v>-3348</v>
      </c>
      <c r="D68" s="1187" t="s">
        <v>1469</v>
      </c>
      <c r="E68" s="1172" t="s">
        <v>1470</v>
      </c>
      <c r="F68" s="357">
        <f ca="1">F40</f>
        <v>5.5E-2</v>
      </c>
      <c r="O68" s="1897" t="s">
        <v>1043</v>
      </c>
      <c r="P68" s="1937" t="s">
        <v>1583</v>
      </c>
      <c r="Q68" s="1889">
        <f ca="1">ROUND(Q69-Q70*Q71,0)</f>
        <v>168</v>
      </c>
      <c r="R68" s="1889" t="s">
        <v>1051</v>
      </c>
    </row>
    <row r="69" spans="1:18" s="1845" customFormat="1" ht="13.5" thickBot="1">
      <c r="A69" s="1173"/>
      <c r="B69" s="1174"/>
      <c r="C69" s="351"/>
      <c r="D69" s="1192" t="s">
        <v>1473</v>
      </c>
      <c r="E69" s="1172" t="s">
        <v>1474</v>
      </c>
      <c r="F69" s="379">
        <f ca="1">F41</f>
        <v>34.78</v>
      </c>
      <c r="O69" s="1897" t="s">
        <v>1048</v>
      </c>
      <c r="P69" s="1937" t="s">
        <v>1584</v>
      </c>
      <c r="Q69" s="1889">
        <f ca="1">C39</f>
        <v>325</v>
      </c>
      <c r="R69" s="1889" t="s">
        <v>1529</v>
      </c>
    </row>
    <row r="70" spans="1:18" s="1845" customFormat="1" ht="13.5" thickBot="1">
      <c r="A70" s="1176"/>
      <c r="B70" s="1177"/>
      <c r="C70" s="355"/>
      <c r="D70" s="1188"/>
      <c r="E70" s="1172" t="s">
        <v>1477</v>
      </c>
      <c r="F70" s="1278"/>
      <c r="O70" s="1897" t="s">
        <v>1049</v>
      </c>
      <c r="P70" s="1937" t="s">
        <v>1585</v>
      </c>
      <c r="Q70" s="1889">
        <f ca="1">C13</f>
        <v>1845</v>
      </c>
      <c r="R70" s="1889" t="s">
        <v>1529</v>
      </c>
    </row>
    <row r="71" spans="1:18" s="1845" customFormat="1" ht="13.5" thickBot="1">
      <c r="A71" s="1193" t="s">
        <v>1033</v>
      </c>
      <c r="B71" s="1194" t="s">
        <v>1487</v>
      </c>
      <c r="C71" s="382">
        <f ca="1">ROUND(C68*10000/F71,0)</f>
        <v>-8203</v>
      </c>
      <c r="D71" s="1195" t="s">
        <v>1488</v>
      </c>
      <c r="E71" s="1196" t="s">
        <v>1489</v>
      </c>
      <c r="F71" s="385">
        <f ca="1">F43</f>
        <v>4081.21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157</v>
      </c>
      <c r="D75" s="1845"/>
      <c r="E75" s="1845"/>
      <c r="F75" s="1845"/>
      <c r="K75" s="1871"/>
      <c r="L75" s="1845"/>
      <c r="O75" s="1887" t="s">
        <v>1046</v>
      </c>
      <c r="P75" s="1888" t="s">
        <v>1549</v>
      </c>
      <c r="Q75" s="1889">
        <f ca="1">Q65+Q66</f>
        <v>6861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0.51700000000000002</v>
      </c>
    </row>
    <row r="80" spans="1:18">
      <c r="B80" s="386" t="s">
        <v>1511</v>
      </c>
      <c r="C80" s="318">
        <f ca="1">ROUND(C75/C39,3)</f>
        <v>0.48299999999999998</v>
      </c>
    </row>
    <row r="81" spans="2:3">
      <c r="B81" s="314" t="s">
        <v>1512</v>
      </c>
      <c r="C81" s="282"/>
    </row>
    <row r="82" spans="2:3">
      <c r="B82" s="317" t="s">
        <v>1513</v>
      </c>
      <c r="C82" s="319">
        <f ca="1">1-C83</f>
        <v>0.73099999999999998</v>
      </c>
    </row>
    <row r="83" spans="2:3">
      <c r="B83" s="317" t="s">
        <v>1514</v>
      </c>
      <c r="C83" s="318">
        <f ca="1">ROUND(C13/C40,3)</f>
        <v>0.26900000000000002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85" zoomScaleNormal="85" zoomScaleSheetLayoutView="90" workbookViewId="0">
      <selection activeCell="J47" sqref="J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3072</v>
      </c>
      <c r="D1" s="1823" t="s">
        <v>70</v>
      </c>
      <c r="E1" s="1824" t="s">
        <v>1387</v>
      </c>
      <c r="F1" s="1286">
        <f ca="1">J53</f>
        <v>34.78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4728</v>
      </c>
      <c r="C2" s="1848" t="s">
        <v>1516</v>
      </c>
      <c r="D2" s="1848"/>
      <c r="E2" s="1849"/>
      <c r="F2" s="1850"/>
      <c r="G2" s="1851"/>
      <c r="H2" s="1843"/>
      <c r="I2" s="1843"/>
      <c r="J2" s="1843"/>
      <c r="K2" s="1844"/>
      <c r="L2" s="1843"/>
      <c r="M2" s="1843"/>
    </row>
    <row r="3" spans="1:37" ht="18" customHeight="1" thickBot="1">
      <c r="A3" s="1852" t="s">
        <v>1517</v>
      </c>
      <c r="B3" s="1853">
        <f ca="1">IF(ISERROR(B2*10000/F43),0,ROUND(B2*10000/F43,0))</f>
        <v>7010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335</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335</v>
      </c>
      <c r="D6" s="164" t="s">
        <v>3024</v>
      </c>
      <c r="E6" s="347" t="s">
        <v>1405</v>
      </c>
      <c r="F6" s="348">
        <f ca="1">INDIRECT("'数据-取费表'!u"&amp;$G$1)</f>
        <v>1.6</v>
      </c>
      <c r="G6" s="1854"/>
      <c r="H6" s="1294" t="s">
        <v>1035</v>
      </c>
      <c r="I6" s="3204" t="s">
        <v>1403</v>
      </c>
      <c r="J6" s="346">
        <f ca="1">ROUND(M6*M8*M7*(1-M9)/10000,0)</f>
        <v>0</v>
      </c>
      <c r="K6" s="164" t="s">
        <v>3023</v>
      </c>
      <c r="L6" s="347" t="s">
        <v>1405</v>
      </c>
      <c r="M6" s="348">
        <f ca="1">INDIRECT("'数据-取费表'!z"&amp;$G$1)</f>
        <v>0</v>
      </c>
    </row>
    <row r="7" spans="1:37" ht="18" customHeight="1">
      <c r="A7" s="1298"/>
      <c r="B7" s="3205"/>
      <c r="C7" s="1300"/>
      <c r="D7" s="352"/>
      <c r="E7" s="2976" t="s">
        <v>1406</v>
      </c>
      <c r="F7" s="348">
        <f ca="1">IF(INDIRECT("'数据-取费表'!ah"&amp;$G$1)="",INDIRECT("'数据-取费表'!k"&amp;$G$1),INDIRECT("'数据-取费表'!ah"&amp;$G$1))</f>
        <v>6744.41</v>
      </c>
      <c r="G7" s="1854"/>
      <c r="H7" s="349"/>
      <c r="I7" s="3205"/>
      <c r="J7" s="351"/>
      <c r="K7" s="352"/>
      <c r="L7" s="347" t="s">
        <v>1406</v>
      </c>
      <c r="M7" s="348">
        <f ca="1">F7</f>
        <v>6744.41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t="s">
        <v>3071</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1661</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1349</v>
      </c>
      <c r="D14" s="2963" t="s">
        <v>1418</v>
      </c>
      <c r="E14" s="2958"/>
      <c r="F14" s="364"/>
      <c r="G14" s="1854"/>
      <c r="H14" s="1204" t="s">
        <v>1035</v>
      </c>
      <c r="I14" s="347" t="s">
        <v>1419</v>
      </c>
      <c r="J14" s="24">
        <f ca="1">C29</f>
        <v>1954</v>
      </c>
      <c r="K14" s="2975"/>
      <c r="L14" s="982"/>
      <c r="M14" s="983"/>
    </row>
    <row r="15" spans="1:37" s="1861" customFormat="1" ht="18" customHeight="1" thickBot="1">
      <c r="A15" s="1204" t="s">
        <v>1036</v>
      </c>
      <c r="B15" s="347" t="s">
        <v>1420</v>
      </c>
      <c r="C15" s="24">
        <f ca="1">ROUND(C14*F15,0)</f>
        <v>40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47</v>
      </c>
      <c r="K16" s="1340" t="s">
        <v>1425</v>
      </c>
      <c r="L16" s="2965"/>
      <c r="M16" s="1297"/>
    </row>
    <row r="17" spans="1:37" s="1861" customFormat="1" ht="18" customHeight="1">
      <c r="A17" s="1204" t="s">
        <v>1390</v>
      </c>
      <c r="B17" s="347" t="s">
        <v>1426</v>
      </c>
      <c r="C17" s="24">
        <f ca="1">ROUND(F17*(F43+INDIRECT("'数据-取费表'!S"&amp;$G$1))/10000,0)</f>
        <v>135</v>
      </c>
      <c r="D17" s="347" t="s">
        <v>1427</v>
      </c>
      <c r="E17" s="347" t="s">
        <v>1428</v>
      </c>
      <c r="F17" s="26">
        <f>'数据-取费表'!B35</f>
        <v>200</v>
      </c>
      <c r="G17" s="1857"/>
      <c r="H17" s="1204" t="s">
        <v>1035</v>
      </c>
      <c r="I17" s="347" t="s">
        <v>1429</v>
      </c>
      <c r="J17" s="24">
        <f ca="1">ROUND(IF(项目基本情况!B11="自然人",J5*M17,J18+J19+J20),1)</f>
        <v>17.399999999999999</v>
      </c>
      <c r="K17" s="2963" t="s">
        <v>1430</v>
      </c>
      <c r="L17" s="296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20</v>
      </c>
      <c r="D18" s="347" t="s">
        <v>1421</v>
      </c>
      <c r="E18" s="347" t="s">
        <v>1422</v>
      </c>
      <c r="F18" s="367">
        <f>'数据-取费表'!B36</f>
        <v>1.4999999999999999E-2</v>
      </c>
      <c r="G18" s="1857"/>
      <c r="H18" s="1204" t="s">
        <v>1034</v>
      </c>
      <c r="I18" s="347" t="s">
        <v>1433</v>
      </c>
      <c r="J18" s="24">
        <f ca="1">ROUND(J5*M18/(1+'数据-取费表'!C42),2)</f>
        <v>0</v>
      </c>
      <c r="K18" s="296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1544</v>
      </c>
      <c r="D19" s="140" t="s">
        <v>1436</v>
      </c>
      <c r="E19" s="2973"/>
      <c r="F19" s="26"/>
      <c r="G19" s="1854"/>
      <c r="H19" s="1204" t="s">
        <v>1036</v>
      </c>
      <c r="I19" s="347" t="s">
        <v>1437</v>
      </c>
      <c r="J19" s="24">
        <f ca="1">IF(K19="按租金收入计税",ROUND(J5*M19,2),ROUND(C29*M19*0.7,2))</f>
        <v>16.41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31</v>
      </c>
      <c r="D20" s="369" t="s">
        <v>1440</v>
      </c>
      <c r="E20" s="347" t="s">
        <v>1422</v>
      </c>
      <c r="F20" s="367">
        <f>'数据-取费表'!B37</f>
        <v>0.02</v>
      </c>
      <c r="G20" s="1857"/>
      <c r="H20" s="1204" t="s">
        <v>1389</v>
      </c>
      <c r="I20" s="164" t="s">
        <v>1441</v>
      </c>
      <c r="J20" s="25">
        <f ca="1">ROUND(M20*M21/10000,2)</f>
        <v>0.95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6302.35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73"/>
      <c r="F22" s="26"/>
      <c r="G22" s="1854"/>
      <c r="H22" s="1204" t="s">
        <v>1039</v>
      </c>
      <c r="I22" s="347" t="s">
        <v>1449</v>
      </c>
      <c r="J22" s="24">
        <f ca="1">ROUND(J14*M22,1)</f>
        <v>29.3</v>
      </c>
      <c r="K22" s="296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61"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73"/>
      <c r="F25" s="26"/>
      <c r="G25" s="1854"/>
      <c r="H25" s="1332" t="s">
        <v>1031</v>
      </c>
      <c r="I25" s="1347" t="s">
        <v>1463</v>
      </c>
      <c r="J25" s="355">
        <f ca="1">J5-J16</f>
        <v>-47</v>
      </c>
      <c r="K25" s="1348" t="s">
        <v>1464</v>
      </c>
      <c r="L25" s="1349"/>
      <c r="M25" s="1350"/>
    </row>
    <row r="26" spans="1:37">
      <c r="A26" s="1204" t="s">
        <v>1034</v>
      </c>
      <c r="B26" s="347" t="s">
        <v>1465</v>
      </c>
      <c r="C26" s="24">
        <f ca="1">ROUND((C19+C20)*F26,0)</f>
        <v>158</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1954</v>
      </c>
      <c r="D29" s="1345"/>
      <c r="E29" s="1343"/>
      <c r="F29" s="1346"/>
      <c r="G29" s="1857"/>
      <c r="H29" s="380" t="s">
        <v>1033</v>
      </c>
      <c r="I29" s="381" t="s">
        <v>1479</v>
      </c>
      <c r="J29" s="382">
        <f ca="1">ROUND(J26/(1+F40)^F41,0)</f>
        <v>0</v>
      </c>
      <c r="K29" s="383" t="s">
        <v>1480</v>
      </c>
      <c r="L29" s="384"/>
      <c r="M29" s="385">
        <f ca="1">INDIRECT("'数据-取费表'!k"&amp;$G$1)</f>
        <v>6744.41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96</v>
      </c>
      <c r="D30" s="1340" t="s">
        <v>1425</v>
      </c>
      <c r="E30" s="2965"/>
      <c r="F30" s="1297"/>
      <c r="G30" s="1854"/>
      <c r="H30" s="745"/>
      <c r="I30" s="746"/>
      <c r="J30" s="747"/>
      <c r="K30" s="748"/>
      <c r="L30" s="749"/>
      <c r="M30" s="750"/>
    </row>
    <row r="31" spans="1:37" ht="18" customHeight="1">
      <c r="A31" s="1204" t="s">
        <v>1035</v>
      </c>
      <c r="B31" s="347" t="s">
        <v>1429</v>
      </c>
      <c r="C31" s="24">
        <f ca="1">ROUND(IF(项目基本情况!B11="自然人",C5*F31,C32+C33+C34),1)</f>
        <v>58.7</v>
      </c>
      <c r="D31" s="2963" t="s">
        <v>1430</v>
      </c>
      <c r="E31" s="296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17.55</v>
      </c>
      <c r="D32" s="296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40.200000000000003</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6302.35</v>
      </c>
      <c r="G35" s="1854"/>
      <c r="H35" s="745"/>
      <c r="I35" s="1863"/>
      <c r="J35" s="1864"/>
      <c r="K35" s="1865"/>
      <c r="L35" s="1862"/>
      <c r="M35" s="1862"/>
    </row>
    <row r="36" spans="1:18" ht="18" customHeight="1">
      <c r="A36" s="1355" t="s">
        <v>1039</v>
      </c>
      <c r="B36" s="347" t="s">
        <v>1449</v>
      </c>
      <c r="C36" s="24">
        <f ca="1">ROUND(C29*F36,1)</f>
        <v>29.3</v>
      </c>
      <c r="D36" s="296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2.5</v>
      </c>
      <c r="D37" s="2961"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5</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239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4728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7010</v>
      </c>
      <c r="D43" s="383" t="s">
        <v>1488</v>
      </c>
      <c r="E43" s="384" t="s">
        <v>1489</v>
      </c>
      <c r="F43" s="385">
        <f ca="1">INDIRECT("'数据-取费表'!k"&amp;$G$1)</f>
        <v>6744.41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-7946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4728</v>
      </c>
      <c r="R47" s="1889" t="s">
        <v>1529</v>
      </c>
    </row>
    <row r="48" spans="1:18" s="1845" customFormat="1" ht="28.5" thickBot="1">
      <c r="A48" s="1363" t="s">
        <v>1135</v>
      </c>
      <c r="B48" s="345" t="s">
        <v>1401</v>
      </c>
      <c r="C48" s="2972">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3023</v>
      </c>
      <c r="E49" s="1833" t="s">
        <v>1491</v>
      </c>
      <c r="F49" s="1284"/>
      <c r="G49" s="1894"/>
      <c r="H49" s="793"/>
      <c r="I49" s="1890" t="s">
        <v>1534</v>
      </c>
      <c r="J49" s="1895">
        <v>2005</v>
      </c>
      <c r="K49" s="1892" t="s">
        <v>1535</v>
      </c>
      <c r="L49" s="1896"/>
      <c r="O49" s="1897" t="s">
        <v>1042</v>
      </c>
      <c r="P49" s="1888" t="s">
        <v>1536</v>
      </c>
      <c r="Q49" s="1889">
        <f ca="1">C29</f>
        <v>1954</v>
      </c>
      <c r="R49" s="1889" t="s">
        <v>1529</v>
      </c>
    </row>
    <row r="50" spans="1:18" s="1845" customFormat="1" ht="13.5" thickBot="1">
      <c r="A50" s="1198"/>
      <c r="B50" s="1201"/>
      <c r="C50" s="1371"/>
      <c r="D50" s="1175"/>
      <c r="E50" s="1280" t="s">
        <v>1406</v>
      </c>
      <c r="F50" s="1281">
        <f ca="1">F7</f>
        <v>6744.41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37</v>
      </c>
      <c r="K51" s="1903" t="s">
        <v>1541</v>
      </c>
      <c r="L51" s="1904">
        <f ca="1">ROUND(-PV(INDIRECT("'数据-取费表'!h"&amp;$G$1),L48,(C39-C13*C76),0),0)</f>
        <v>1703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4728</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1661</v>
      </c>
      <c r="D56" s="1917"/>
      <c r="E56" s="1918"/>
      <c r="F56" s="1910"/>
      <c r="I56" s="1919" t="s">
        <v>1554</v>
      </c>
      <c r="J56" s="1920" t="s">
        <v>3047</v>
      </c>
      <c r="K56" s="1890" t="s">
        <v>1555</v>
      </c>
      <c r="L56" s="1893" t="str">
        <f ca="1">IF(L48&lt;J51,"——",L48-J53)</f>
        <v>——</v>
      </c>
      <c r="O56" s="1887" t="s">
        <v>1040</v>
      </c>
      <c r="P56" s="1888" t="s">
        <v>1528</v>
      </c>
      <c r="Q56" s="1889">
        <f ca="1">C40+J29</f>
        <v>4728</v>
      </c>
      <c r="R56" s="1889" t="s">
        <v>1529</v>
      </c>
    </row>
    <row r="57" spans="1:18" s="1845" customFormat="1" ht="24.75" thickBot="1">
      <c r="A57" s="1921"/>
      <c r="B57" s="1172" t="s">
        <v>1478</v>
      </c>
      <c r="C57" s="282">
        <f ca="1">C29</f>
        <v>1954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197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165.1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164.14</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0.95</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4728</v>
      </c>
      <c r="R62" s="1889" t="s">
        <v>1047</v>
      </c>
    </row>
    <row r="63" spans="1:18" s="1845" customFormat="1" ht="13.5" thickBot="1">
      <c r="A63" s="372"/>
      <c r="B63" s="1178"/>
      <c r="C63" s="29"/>
      <c r="D63" s="1188"/>
      <c r="E63" s="1172" t="s">
        <v>1447</v>
      </c>
      <c r="F63" s="348">
        <f t="shared" ca="1" si="0"/>
        <v>6302.35</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29.3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2.5</v>
      </c>
      <c r="D65" s="1186" t="s">
        <v>1454</v>
      </c>
      <c r="E65" s="1172" t="s">
        <v>1422</v>
      </c>
      <c r="F65" s="376">
        <f t="shared" ca="1" si="0"/>
        <v>1.5E-3</v>
      </c>
      <c r="I65" s="1932" t="s">
        <v>1579</v>
      </c>
      <c r="J65" s="1933">
        <v>40</v>
      </c>
      <c r="K65" s="1933">
        <v>30</v>
      </c>
      <c r="L65" s="1933">
        <v>50</v>
      </c>
      <c r="M65" s="1935">
        <v>0.02</v>
      </c>
      <c r="O65" s="1887" t="s">
        <v>1040</v>
      </c>
      <c r="P65" s="1888" t="s">
        <v>1528</v>
      </c>
      <c r="Q65" s="1889">
        <f ca="1">C40+J29</f>
        <v>4728</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-197</v>
      </c>
      <c r="D67" s="1185" t="s">
        <v>1464</v>
      </c>
      <c r="E67" s="1190"/>
      <c r="F67" s="1191"/>
      <c r="O67" s="1897" t="s">
        <v>1042</v>
      </c>
      <c r="P67" s="1888" t="s">
        <v>1562</v>
      </c>
      <c r="Q67" s="1936">
        <f ca="1">L51</f>
        <v>1703</v>
      </c>
      <c r="R67" s="1889" t="s">
        <v>1582</v>
      </c>
    </row>
    <row r="68" spans="1:18" s="1845" customFormat="1" ht="16.5" thickBot="1">
      <c r="A68" s="1169" t="s">
        <v>1032</v>
      </c>
      <c r="B68" s="1170" t="s">
        <v>1485</v>
      </c>
      <c r="C68" s="346">
        <f ca="1">ROUND(C67*(1-((1+F70)/(1+F68))^F69)/(F68-F70),0)</f>
        <v>-3218</v>
      </c>
      <c r="D68" s="1187" t="s">
        <v>1469</v>
      </c>
      <c r="E68" s="1172" t="s">
        <v>1470</v>
      </c>
      <c r="F68" s="357">
        <f ca="1">F40</f>
        <v>0.05</v>
      </c>
      <c r="O68" s="1897" t="s">
        <v>1043</v>
      </c>
      <c r="P68" s="1937" t="s">
        <v>1583</v>
      </c>
      <c r="Q68" s="1889">
        <f ca="1">ROUND(Q69-Q70*Q71,0)</f>
        <v>98</v>
      </c>
      <c r="R68" s="1889" t="s">
        <v>1051</v>
      </c>
    </row>
    <row r="69" spans="1:18" s="1845" customFormat="1" ht="13.5" thickBot="1">
      <c r="A69" s="1173"/>
      <c r="B69" s="1174"/>
      <c r="C69" s="351"/>
      <c r="D69" s="1192" t="s">
        <v>1473</v>
      </c>
      <c r="E69" s="1172" t="s">
        <v>1474</v>
      </c>
      <c r="F69" s="379">
        <f ca="1">F41</f>
        <v>34.78</v>
      </c>
      <c r="O69" s="1897" t="s">
        <v>1048</v>
      </c>
      <c r="P69" s="1937" t="s">
        <v>1584</v>
      </c>
      <c r="Q69" s="1889">
        <f ca="1">C39</f>
        <v>239</v>
      </c>
      <c r="R69" s="1889" t="s">
        <v>1529</v>
      </c>
    </row>
    <row r="70" spans="1:18" s="1845" customFormat="1" ht="13.5" thickBot="1">
      <c r="A70" s="1176"/>
      <c r="B70" s="1177"/>
      <c r="C70" s="355"/>
      <c r="D70" s="1188"/>
      <c r="E70" s="1172" t="s">
        <v>1477</v>
      </c>
      <c r="F70" s="1278"/>
      <c r="O70" s="1897" t="s">
        <v>1049</v>
      </c>
      <c r="P70" s="1937" t="s">
        <v>1585</v>
      </c>
      <c r="Q70" s="1889">
        <f ca="1">C13</f>
        <v>1661</v>
      </c>
      <c r="R70" s="1889" t="s">
        <v>1529</v>
      </c>
    </row>
    <row r="71" spans="1:18" s="1845" customFormat="1" ht="13.5" thickBot="1">
      <c r="A71" s="1193" t="s">
        <v>1033</v>
      </c>
      <c r="B71" s="1194" t="s">
        <v>1487</v>
      </c>
      <c r="C71" s="382">
        <f ca="1">ROUND(C68*10000/F71,0)</f>
        <v>-4771</v>
      </c>
      <c r="D71" s="1195" t="s">
        <v>1488</v>
      </c>
      <c r="E71" s="1196" t="s">
        <v>1489</v>
      </c>
      <c r="F71" s="385">
        <f ca="1">F43</f>
        <v>6744.41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141</v>
      </c>
      <c r="D75" s="1845"/>
      <c r="E75" s="1845"/>
      <c r="F75" s="1845"/>
      <c r="K75" s="1871"/>
      <c r="L75" s="1845"/>
      <c r="O75" s="1887" t="s">
        <v>1046</v>
      </c>
      <c r="P75" s="1888" t="s">
        <v>1549</v>
      </c>
      <c r="Q75" s="1889">
        <f ca="1">Q65+Q66</f>
        <v>4728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0.41000000000000003</v>
      </c>
    </row>
    <row r="80" spans="1:18">
      <c r="B80" s="386" t="s">
        <v>1511</v>
      </c>
      <c r="C80" s="318">
        <f ca="1">ROUND(C75/C39,3)</f>
        <v>0.59</v>
      </c>
    </row>
    <row r="81" spans="2:3">
      <c r="B81" s="314" t="s">
        <v>1512</v>
      </c>
      <c r="C81" s="282"/>
    </row>
    <row r="82" spans="2:3">
      <c r="B82" s="317" t="s">
        <v>1513</v>
      </c>
      <c r="C82" s="319">
        <f ca="1">1-C83</f>
        <v>0.64900000000000002</v>
      </c>
    </row>
    <row r="83" spans="2:3">
      <c r="B83" s="317" t="s">
        <v>1514</v>
      </c>
      <c r="C83" s="318">
        <f ca="1">ROUND(C13/C40,3)</f>
        <v>0.35099999999999998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5" zoomScaleNormal="85" zoomScaleSheetLayoutView="90" workbookViewId="0">
      <selection activeCell="J47" sqref="J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3065</v>
      </c>
      <c r="D1" s="1823" t="s">
        <v>70</v>
      </c>
      <c r="E1" s="1824" t="s">
        <v>1387</v>
      </c>
      <c r="F1" s="1286">
        <f ca="1">J53</f>
        <v>34.78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48109</v>
      </c>
      <c r="C2" s="1848" t="s">
        <v>1516</v>
      </c>
      <c r="D2" s="1848"/>
      <c r="E2" s="1849"/>
      <c r="F2" s="1850"/>
      <c r="G2" s="1851"/>
      <c r="H2" s="1843"/>
      <c r="I2" s="1843"/>
      <c r="J2" s="1843"/>
      <c r="K2" s="1844"/>
      <c r="L2" s="1843"/>
      <c r="M2" s="1843"/>
    </row>
    <row r="3" spans="1:37" ht="18" customHeight="1" thickBot="1">
      <c r="A3" s="1852" t="s">
        <v>1517</v>
      </c>
      <c r="B3" s="1853">
        <f ca="1">IF(ISERROR(B2*10000/F43),0,ROUND(B2*10000/F43,0))</f>
        <v>45484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3943</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3938</v>
      </c>
      <c r="D6" s="164" t="s">
        <v>3024</v>
      </c>
      <c r="E6" s="347" t="s">
        <v>1405</v>
      </c>
      <c r="F6" s="348">
        <f ca="1">INDIRECT("'数据-取费表'!u"&amp;$G$1)</f>
        <v>12</v>
      </c>
      <c r="G6" s="1854"/>
      <c r="H6" s="1294" t="s">
        <v>1035</v>
      </c>
      <c r="I6" s="3204" t="s">
        <v>1403</v>
      </c>
      <c r="J6" s="346">
        <f ca="1">ROUND(M6*M8*M7*(1-M9)/10000,0)</f>
        <v>0</v>
      </c>
      <c r="K6" s="164" t="s">
        <v>3023</v>
      </c>
      <c r="L6" s="347" t="s">
        <v>1405</v>
      </c>
      <c r="M6" s="348">
        <f ca="1">INDIRECT("'数据-取费表'!z"&amp;$G$1)</f>
        <v>0</v>
      </c>
    </row>
    <row r="7" spans="1:37" ht="18" customHeight="1">
      <c r="A7" s="1298"/>
      <c r="B7" s="3205"/>
      <c r="C7" s="1300"/>
      <c r="D7" s="352"/>
      <c r="E7" s="2976" t="s">
        <v>1406</v>
      </c>
      <c r="F7" s="348">
        <f ca="1">IF(INDIRECT("'数据-取费表'!ah"&amp;$G$1)="",INDIRECT("'数据-取费表'!k"&amp;$G$1),INDIRECT("'数据-取费表'!ah"&amp;$G$1))</f>
        <v>10577.23</v>
      </c>
      <c r="G7" s="1854"/>
      <c r="H7" s="349"/>
      <c r="I7" s="3205"/>
      <c r="J7" s="351"/>
      <c r="K7" s="352"/>
      <c r="L7" s="347" t="s">
        <v>1406</v>
      </c>
      <c r="M7" s="348">
        <f ca="1">F7</f>
        <v>10577.23</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5</v>
      </c>
      <c r="D10" s="1827" t="s">
        <v>3032</v>
      </c>
      <c r="E10" s="358" t="s">
        <v>1410</v>
      </c>
      <c r="F10" s="1369" t="s">
        <v>3071</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12403</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9520</v>
      </c>
      <c r="D14" s="2963" t="s">
        <v>1418</v>
      </c>
      <c r="E14" s="2958"/>
      <c r="F14" s="364"/>
      <c r="G14" s="1854"/>
      <c r="H14" s="1204" t="s">
        <v>1035</v>
      </c>
      <c r="I14" s="347" t="s">
        <v>1419</v>
      </c>
      <c r="J14" s="24">
        <f ca="1">C29</f>
        <v>14592</v>
      </c>
      <c r="K14" s="2975"/>
      <c r="L14" s="982"/>
      <c r="M14" s="983"/>
    </row>
    <row r="15" spans="1:37" s="1861" customFormat="1" ht="18" customHeight="1" thickBot="1">
      <c r="A15" s="1204" t="s">
        <v>1036</v>
      </c>
      <c r="B15" s="347" t="s">
        <v>1420</v>
      </c>
      <c r="C15" s="24">
        <f ca="1">ROUND(C14*F15,0)</f>
        <v>286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489</v>
      </c>
      <c r="K16" s="1340" t="s">
        <v>1425</v>
      </c>
      <c r="L16" s="2965"/>
      <c r="M16" s="1297"/>
    </row>
    <row r="17" spans="1:37" s="1861" customFormat="1" ht="18" customHeight="1">
      <c r="A17" s="1204" t="s">
        <v>1390</v>
      </c>
      <c r="B17" s="347" t="s">
        <v>1426</v>
      </c>
      <c r="C17" s="24">
        <f ca="1">ROUND(F17*(F43+INDIRECT("'数据-取费表'!S"&amp;$G$1))/10000,0)</f>
        <v>212</v>
      </c>
      <c r="D17" s="347" t="s">
        <v>1427</v>
      </c>
      <c r="E17" s="347" t="s">
        <v>1428</v>
      </c>
      <c r="F17" s="26">
        <f>'数据-取费表'!B35</f>
        <v>200</v>
      </c>
      <c r="G17" s="1857"/>
      <c r="H17" s="1204" t="s">
        <v>1035</v>
      </c>
      <c r="I17" s="347" t="s">
        <v>1429</v>
      </c>
      <c r="J17" s="24">
        <f ca="1">ROUND(IF(项目基本情况!B11="自然人",J5*M17,J18+J19+J20),1)</f>
        <v>124.1</v>
      </c>
      <c r="K17" s="2963" t="s">
        <v>1430</v>
      </c>
      <c r="L17" s="296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143</v>
      </c>
      <c r="D18" s="347" t="s">
        <v>1421</v>
      </c>
      <c r="E18" s="347" t="s">
        <v>1422</v>
      </c>
      <c r="F18" s="367">
        <f>'数据-取费表'!B36</f>
        <v>1.4999999999999999E-2</v>
      </c>
      <c r="G18" s="1857"/>
      <c r="H18" s="1204" t="s">
        <v>1034</v>
      </c>
      <c r="I18" s="347" t="s">
        <v>1433</v>
      </c>
      <c r="J18" s="24">
        <f ca="1">ROUND(J5*M18/(1+'数据-取费表'!C42),2)</f>
        <v>0</v>
      </c>
      <c r="K18" s="296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10161</v>
      </c>
      <c r="D19" s="140" t="s">
        <v>1436</v>
      </c>
      <c r="E19" s="2973"/>
      <c r="F19" s="26"/>
      <c r="G19" s="1854"/>
      <c r="H19" s="1204" t="s">
        <v>1036</v>
      </c>
      <c r="I19" s="347" t="s">
        <v>1437</v>
      </c>
      <c r="J19" s="24">
        <f ca="1">IF(K19="按租金收入计税",ROUND(J5*M19,2),ROUND(C29*M19*0.7,2))</f>
        <v>122.57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203</v>
      </c>
      <c r="D20" s="369" t="s">
        <v>1440</v>
      </c>
      <c r="E20" s="347" t="s">
        <v>1422</v>
      </c>
      <c r="F20" s="367">
        <f>'数据-取费表'!B37</f>
        <v>0.02</v>
      </c>
      <c r="G20" s="1857"/>
      <c r="H20" s="1204" t="s">
        <v>1389</v>
      </c>
      <c r="I20" s="164" t="s">
        <v>1441</v>
      </c>
      <c r="J20" s="25">
        <f ca="1">ROUND(M20*M21/10000,2)</f>
        <v>1.48</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9883.9500000000007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73"/>
      <c r="F22" s="26"/>
      <c r="G22" s="1854"/>
      <c r="H22" s="1204" t="s">
        <v>1039</v>
      </c>
      <c r="I22" s="347" t="s">
        <v>1449</v>
      </c>
      <c r="J22" s="24">
        <f ca="1">ROUND(J14*M22,1)</f>
        <v>364.8</v>
      </c>
      <c r="K22" s="296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493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61"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73"/>
      <c r="F25" s="26"/>
      <c r="G25" s="1854"/>
      <c r="H25" s="1332" t="s">
        <v>1031</v>
      </c>
      <c r="I25" s="1347" t="s">
        <v>1463</v>
      </c>
      <c r="J25" s="355">
        <f ca="1">J5-J16</f>
        <v>-489</v>
      </c>
      <c r="K25" s="1348" t="s">
        <v>1464</v>
      </c>
      <c r="L25" s="1349"/>
      <c r="M25" s="1350"/>
    </row>
    <row r="26" spans="1:37">
      <c r="A26" s="1204" t="s">
        <v>1034</v>
      </c>
      <c r="B26" s="347" t="s">
        <v>1465</v>
      </c>
      <c r="C26" s="24">
        <f ca="1">ROUND((C19+C20)*F26,0)</f>
        <v>2591</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14592</v>
      </c>
      <c r="D29" s="1345"/>
      <c r="E29" s="1343"/>
      <c r="F29" s="1346"/>
      <c r="G29" s="1857"/>
      <c r="H29" s="380" t="s">
        <v>1033</v>
      </c>
      <c r="I29" s="381" t="s">
        <v>1479</v>
      </c>
      <c r="J29" s="382">
        <f ca="1">ROUND(J26/(1+F40)^F41,0)</f>
        <v>0</v>
      </c>
      <c r="K29" s="383" t="s">
        <v>1480</v>
      </c>
      <c r="L29" s="384"/>
      <c r="M29" s="385">
        <f ca="1">INDIRECT("'数据-取费表'!k"&amp;$G$1)</f>
        <v>10577.23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1169</v>
      </c>
      <c r="D30" s="1340" t="s">
        <v>1425</v>
      </c>
      <c r="E30" s="2965"/>
      <c r="F30" s="1297"/>
      <c r="G30" s="1854"/>
      <c r="H30" s="745"/>
      <c r="I30" s="746"/>
      <c r="J30" s="747"/>
      <c r="K30" s="748"/>
      <c r="L30" s="749"/>
      <c r="M30" s="750"/>
    </row>
    <row r="31" spans="1:37" ht="18" customHeight="1">
      <c r="A31" s="1204" t="s">
        <v>1035</v>
      </c>
      <c r="B31" s="347" t="s">
        <v>1429</v>
      </c>
      <c r="C31" s="24">
        <f ca="1">ROUND(IF(项目基本情况!B11="自然人",C5*F31,C32+C33+C34),1)</f>
        <v>681.2</v>
      </c>
      <c r="D31" s="2963" t="s">
        <v>1430</v>
      </c>
      <c r="E31" s="296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206.54</v>
      </c>
      <c r="D32" s="296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473.16</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9883.9500000000007</v>
      </c>
      <c r="G35" s="1854"/>
      <c r="H35" s="745"/>
      <c r="I35" s="1863"/>
      <c r="J35" s="1864"/>
      <c r="K35" s="1865"/>
      <c r="L35" s="1862"/>
      <c r="M35" s="1862"/>
    </row>
    <row r="36" spans="1:18" ht="18" customHeight="1">
      <c r="A36" s="1355" t="s">
        <v>1039</v>
      </c>
      <c r="B36" s="347" t="s">
        <v>1449</v>
      </c>
      <c r="C36" s="24">
        <f ca="1">ROUND(C29*F36,1)</f>
        <v>364.8</v>
      </c>
      <c r="D36" s="296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ROUND(C13*F37,1)</f>
        <v>24.8</v>
      </c>
      <c r="D37" s="2961"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98.6</v>
      </c>
      <c r="D38" s="1345" t="s">
        <v>1459</v>
      </c>
      <c r="E38" s="1343" t="s">
        <v>1422</v>
      </c>
      <c r="F38" s="1339">
        <f ca="1">INDIRECT("'数据-取费表'!Am"&amp;$G$1)</f>
        <v>2.5000000000000001E-2</v>
      </c>
      <c r="G38" s="1854"/>
      <c r="H38" s="1862"/>
      <c r="I38" s="1863"/>
      <c r="J38" s="1864"/>
      <c r="K38" s="1868"/>
      <c r="L38" s="1862"/>
      <c r="M38" s="1862"/>
    </row>
    <row r="39" spans="1:18" ht="24.6" customHeight="1" thickTop="1">
      <c r="A39" s="1332" t="s">
        <v>1031</v>
      </c>
      <c r="B39" s="1347" t="s">
        <v>1463</v>
      </c>
      <c r="C39" s="355">
        <f ca="1">C5-C30</f>
        <v>2774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48109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45484</v>
      </c>
      <c r="D43" s="383" t="s">
        <v>1488</v>
      </c>
      <c r="E43" s="384" t="s">
        <v>1489</v>
      </c>
      <c r="F43" s="385">
        <f ca="1">INDIRECT("'数据-取费表'!k"&amp;$G$1)</f>
        <v>10577.23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-72942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48109</v>
      </c>
      <c r="R47" s="1889" t="s">
        <v>1529</v>
      </c>
    </row>
    <row r="48" spans="1:18" s="1845" customFormat="1" ht="28.5" thickBot="1">
      <c r="A48" s="1363" t="s">
        <v>1135</v>
      </c>
      <c r="B48" s="345" t="s">
        <v>1401</v>
      </c>
      <c r="C48" s="2972">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3023</v>
      </c>
      <c r="E49" s="1833" t="s">
        <v>1491</v>
      </c>
      <c r="F49" s="1284"/>
      <c r="G49" s="1894"/>
      <c r="H49" s="793"/>
      <c r="I49" s="1890" t="s">
        <v>1534</v>
      </c>
      <c r="J49" s="1895">
        <v>2005</v>
      </c>
      <c r="K49" s="1892" t="s">
        <v>1535</v>
      </c>
      <c r="L49" s="1896"/>
      <c r="O49" s="1897" t="s">
        <v>1042</v>
      </c>
      <c r="P49" s="1888" t="s">
        <v>1536</v>
      </c>
      <c r="Q49" s="1889">
        <f ca="1">C29</f>
        <v>14592</v>
      </c>
      <c r="R49" s="1889" t="s">
        <v>1529</v>
      </c>
    </row>
    <row r="50" spans="1:18" s="1845" customFormat="1" ht="13.5" thickBot="1">
      <c r="A50" s="1198"/>
      <c r="B50" s="1201"/>
      <c r="C50" s="1371"/>
      <c r="D50" s="1175"/>
      <c r="E50" s="1280" t="s">
        <v>1406</v>
      </c>
      <c r="F50" s="1281">
        <f ca="1">F7</f>
        <v>10577.23</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37</v>
      </c>
      <c r="K51" s="1903" t="s">
        <v>1541</v>
      </c>
      <c r="L51" s="1904">
        <f ca="1">ROUND(-PV(INDIRECT("'数据-取费表'!h"&amp;$G$1),L48,(C39-C13*C76),0),0)</f>
        <v>28092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48109</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12403</v>
      </c>
      <c r="D56" s="1917"/>
      <c r="E56" s="1918"/>
      <c r="F56" s="1910"/>
      <c r="I56" s="1919" t="s">
        <v>1554</v>
      </c>
      <c r="J56" s="1920" t="s">
        <v>3047</v>
      </c>
      <c r="K56" s="1890" t="s">
        <v>1555</v>
      </c>
      <c r="L56" s="1893" t="str">
        <f ca="1">IF(L48&lt;J51,"——",L48-J53)</f>
        <v>——</v>
      </c>
      <c r="O56" s="1887" t="s">
        <v>1040</v>
      </c>
      <c r="P56" s="1888" t="s">
        <v>1528</v>
      </c>
      <c r="Q56" s="1889">
        <f ca="1">C40+J29</f>
        <v>48109</v>
      </c>
      <c r="R56" s="1889" t="s">
        <v>1529</v>
      </c>
    </row>
    <row r="57" spans="1:18" s="1845" customFormat="1" ht="24.75" thickBot="1">
      <c r="A57" s="1921"/>
      <c r="B57" s="1172" t="s">
        <v>1478</v>
      </c>
      <c r="C57" s="282">
        <f ca="1">C29</f>
        <v>14592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1617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1227.2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1225.73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1.48</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48109</v>
      </c>
      <c r="R62" s="1889" t="s">
        <v>1047</v>
      </c>
    </row>
    <row r="63" spans="1:18" s="1845" customFormat="1" ht="13.5" thickBot="1">
      <c r="A63" s="372"/>
      <c r="B63" s="1178"/>
      <c r="C63" s="29"/>
      <c r="D63" s="1188"/>
      <c r="E63" s="1172" t="s">
        <v>1447</v>
      </c>
      <c r="F63" s="348">
        <f t="shared" ca="1" si="0"/>
        <v>9883.9500000000007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364.8</v>
      </c>
      <c r="D64" s="1186" t="s">
        <v>1482</v>
      </c>
      <c r="E64" s="1172" t="s">
        <v>1422</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24.8</v>
      </c>
      <c r="D65" s="1186" t="s">
        <v>1454</v>
      </c>
      <c r="E65" s="1172" t="s">
        <v>1422</v>
      </c>
      <c r="F65" s="376">
        <f t="shared" ca="1" si="0"/>
        <v>2E-3</v>
      </c>
      <c r="I65" s="1932" t="s">
        <v>1579</v>
      </c>
      <c r="J65" s="1933">
        <v>40</v>
      </c>
      <c r="K65" s="1933">
        <v>30</v>
      </c>
      <c r="L65" s="1933">
        <v>50</v>
      </c>
      <c r="M65" s="1935">
        <v>0.02</v>
      </c>
      <c r="O65" s="1887" t="s">
        <v>1040</v>
      </c>
      <c r="P65" s="1888" t="s">
        <v>1528</v>
      </c>
      <c r="Q65" s="1889">
        <f ca="1">C40+J29</f>
        <v>48109</v>
      </c>
      <c r="R65" s="1889" t="s">
        <v>1529</v>
      </c>
    </row>
    <row r="66" spans="1:18" s="1845" customFormat="1" ht="16.5" thickBot="1">
      <c r="A66" s="1204" t="s">
        <v>1504</v>
      </c>
      <c r="B66" s="1172" t="s">
        <v>1439</v>
      </c>
      <c r="C66" s="24">
        <f ca="1">ROUND(C48*F66,1)</f>
        <v>0</v>
      </c>
      <c r="D66" s="1186" t="s">
        <v>1459</v>
      </c>
      <c r="E66" s="1172" t="s">
        <v>1422</v>
      </c>
      <c r="F66" s="357">
        <f t="shared" ca="1" si="0"/>
        <v>2.5000000000000001E-2</v>
      </c>
      <c r="O66" s="1887" t="s">
        <v>1041</v>
      </c>
      <c r="P66" s="1888" t="s">
        <v>1558</v>
      </c>
      <c r="Q66" s="1889">
        <f ca="1">L60</f>
        <v>0</v>
      </c>
      <c r="R66" s="1889" t="s">
        <v>1581</v>
      </c>
    </row>
    <row r="67" spans="1:18" s="1845" customFormat="1" ht="16.5" thickBot="1">
      <c r="A67" s="1179" t="s">
        <v>1031</v>
      </c>
      <c r="B67" s="1189" t="s">
        <v>1463</v>
      </c>
      <c r="C67" s="361">
        <f ca="1">C48-C58</f>
        <v>-1617</v>
      </c>
      <c r="D67" s="1185" t="s">
        <v>1464</v>
      </c>
      <c r="E67" s="1190"/>
      <c r="F67" s="1191"/>
      <c r="O67" s="1897" t="s">
        <v>1042</v>
      </c>
      <c r="P67" s="1888" t="s">
        <v>1562</v>
      </c>
      <c r="Q67" s="1936">
        <f ca="1">L51</f>
        <v>28092</v>
      </c>
      <c r="R67" s="1889" t="s">
        <v>1582</v>
      </c>
    </row>
    <row r="68" spans="1:18" s="1845" customFormat="1" ht="16.5" thickBot="1">
      <c r="A68" s="1169" t="s">
        <v>1032</v>
      </c>
      <c r="B68" s="1170" t="s">
        <v>1485</v>
      </c>
      <c r="C68" s="346">
        <f ca="1">ROUND(C67*(1-((1+F70)/(1+F68))^F69)/(F68-F70),0)</f>
        <v>-24833</v>
      </c>
      <c r="D68" s="1187" t="s">
        <v>1469</v>
      </c>
      <c r="E68" s="1172" t="s">
        <v>1470</v>
      </c>
      <c r="F68" s="357">
        <f ca="1">F40</f>
        <v>5.5E-2</v>
      </c>
      <c r="O68" s="1897" t="s">
        <v>1043</v>
      </c>
      <c r="P68" s="1937" t="s">
        <v>1583</v>
      </c>
      <c r="Q68" s="1889">
        <f ca="1">ROUND(Q69-Q70*Q71,0)</f>
        <v>1720</v>
      </c>
      <c r="R68" s="1889" t="s">
        <v>1051</v>
      </c>
    </row>
    <row r="69" spans="1:18" s="1845" customFormat="1" ht="13.5" thickBot="1">
      <c r="A69" s="1173"/>
      <c r="B69" s="1174"/>
      <c r="C69" s="351"/>
      <c r="D69" s="1192" t="s">
        <v>1473</v>
      </c>
      <c r="E69" s="1172" t="s">
        <v>1474</v>
      </c>
      <c r="F69" s="379">
        <f ca="1">F41</f>
        <v>34.78</v>
      </c>
      <c r="O69" s="1897" t="s">
        <v>1048</v>
      </c>
      <c r="P69" s="1937" t="s">
        <v>1584</v>
      </c>
      <c r="Q69" s="1889">
        <f ca="1">C39</f>
        <v>2774</v>
      </c>
      <c r="R69" s="1889" t="s">
        <v>1529</v>
      </c>
    </row>
    <row r="70" spans="1:18" s="1845" customFormat="1" ht="13.5" thickBot="1">
      <c r="A70" s="1176"/>
      <c r="B70" s="1177"/>
      <c r="C70" s="355"/>
      <c r="D70" s="1188"/>
      <c r="E70" s="1172" t="s">
        <v>1477</v>
      </c>
      <c r="F70" s="1278"/>
      <c r="O70" s="1897" t="s">
        <v>1049</v>
      </c>
      <c r="P70" s="1937" t="s">
        <v>1585</v>
      </c>
      <c r="Q70" s="1889">
        <f ca="1">C13</f>
        <v>12403</v>
      </c>
      <c r="R70" s="1889" t="s">
        <v>1529</v>
      </c>
    </row>
    <row r="71" spans="1:18" s="1845" customFormat="1" ht="13.5" thickBot="1">
      <c r="A71" s="1193" t="s">
        <v>1033</v>
      </c>
      <c r="B71" s="1194" t="s">
        <v>1487</v>
      </c>
      <c r="C71" s="382">
        <f ca="1">ROUND(C68*10000/F71,0)</f>
        <v>-23478</v>
      </c>
      <c r="D71" s="1195" t="s">
        <v>1488</v>
      </c>
      <c r="E71" s="1196" t="s">
        <v>1489</v>
      </c>
      <c r="F71" s="385">
        <f ca="1">F43</f>
        <v>10577.23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1054</v>
      </c>
      <c r="D75" s="1845"/>
      <c r="E75" s="1845"/>
      <c r="F75" s="1845"/>
      <c r="K75" s="1871"/>
      <c r="L75" s="1845"/>
      <c r="O75" s="1887" t="s">
        <v>1046</v>
      </c>
      <c r="P75" s="1888" t="s">
        <v>1549</v>
      </c>
      <c r="Q75" s="1889">
        <f ca="1">Q65+Q66</f>
        <v>48109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v>
      </c>
    </row>
    <row r="80" spans="1:18">
      <c r="B80" s="386" t="s">
        <v>1511</v>
      </c>
      <c r="C80" s="318">
        <f ca="1">ROUND(C75/C39,3)</f>
        <v>0.38</v>
      </c>
    </row>
    <row r="81" spans="2:3">
      <c r="B81" s="314" t="s">
        <v>1512</v>
      </c>
      <c r="C81" s="282"/>
    </row>
    <row r="82" spans="2:3">
      <c r="B82" s="317" t="s">
        <v>1513</v>
      </c>
      <c r="C82" s="319">
        <f ca="1">1-C83</f>
        <v>0.74199999999999999</v>
      </c>
    </row>
    <row r="83" spans="2:3">
      <c r="B83" s="317" t="s">
        <v>1514</v>
      </c>
      <c r="C83" s="318">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5" zoomScaleNormal="85" zoomScaleSheetLayoutView="90" workbookViewId="0">
      <selection activeCell="K44" sqref="K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3063</v>
      </c>
      <c r="D1" s="1823" t="s">
        <v>70</v>
      </c>
      <c r="E1" s="1824" t="s">
        <v>1387</v>
      </c>
      <c r="F1" s="1286">
        <f ca="1">J53</f>
        <v>34.78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6898</v>
      </c>
      <c r="C2" s="1848" t="s">
        <v>1591</v>
      </c>
      <c r="D2" s="1941">
        <f ca="1">C40+J29+L46</f>
        <v>68975887</v>
      </c>
      <c r="E2" s="1849" t="s">
        <v>1592</v>
      </c>
      <c r="F2" s="1850"/>
      <c r="G2" s="1851"/>
      <c r="H2" s="1843"/>
      <c r="I2" s="1843"/>
      <c r="J2" s="1843"/>
      <c r="K2" s="1844"/>
      <c r="L2" s="1843"/>
      <c r="M2" s="1843"/>
    </row>
    <row r="3" spans="1:37" ht="18" customHeight="1" thickBot="1">
      <c r="A3" s="1852" t="s">
        <v>1593</v>
      </c>
      <c r="B3" s="1853">
        <f ca="1">IF(ISERROR(D2/F43),0,ROUND(D2/F43,0))</f>
        <v>16901</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4437224</v>
      </c>
      <c r="D5" s="1825" t="s">
        <v>1601</v>
      </c>
      <c r="E5" s="1296"/>
      <c r="F5" s="1297"/>
      <c r="G5" s="1854"/>
      <c r="H5" s="344">
        <v>1</v>
      </c>
      <c r="I5" s="345" t="s">
        <v>1600</v>
      </c>
      <c r="J5" s="1295">
        <f ca="1">J6+J10+J12</f>
        <v>0</v>
      </c>
      <c r="K5" s="1825" t="s">
        <v>1601</v>
      </c>
      <c r="L5" s="1296"/>
      <c r="M5" s="1297"/>
    </row>
    <row r="6" spans="1:37" ht="18" customHeight="1">
      <c r="A6" s="1294" t="s">
        <v>1035</v>
      </c>
      <c r="B6" s="3204" t="s">
        <v>1403</v>
      </c>
      <c r="C6" s="1299">
        <f ca="1">ROUND(F6*F8*F7*(1-F9),0)</f>
        <v>4431684</v>
      </c>
      <c r="D6" s="164" t="s">
        <v>3021</v>
      </c>
      <c r="E6" s="347" t="s">
        <v>1405</v>
      </c>
      <c r="F6" s="348">
        <f ca="1">INDIRECT("'数据-取费表'!u"&amp;$G$1)</f>
        <v>3.5</v>
      </c>
      <c r="G6" s="1854"/>
      <c r="H6" s="1294" t="s">
        <v>1035</v>
      </c>
      <c r="I6" s="3204" t="s">
        <v>1403</v>
      </c>
      <c r="J6" s="346">
        <f ca="1">ROUND(M6*M8*M7*(1-M9),0)</f>
        <v>0</v>
      </c>
      <c r="K6" s="1837" t="s">
        <v>3022</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4081.21</v>
      </c>
      <c r="G7" s="1854"/>
      <c r="H7" s="349"/>
      <c r="I7" s="3205"/>
      <c r="J7" s="351"/>
      <c r="K7" s="352"/>
      <c r="L7" s="347" t="s">
        <v>1406</v>
      </c>
      <c r="M7" s="348">
        <f ca="1">F7</f>
        <v>4081.21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5540</v>
      </c>
      <c r="D10" s="1827" t="s">
        <v>3032</v>
      </c>
      <c r="E10" s="358" t="s">
        <v>1410</v>
      </c>
      <c r="F10" s="1369" t="s">
        <v>3071</v>
      </c>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18456149</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14284235</v>
      </c>
      <c r="D14" s="1803" t="s">
        <v>1418</v>
      </c>
      <c r="E14" s="1797"/>
      <c r="F14" s="364"/>
      <c r="G14" s="1854"/>
      <c r="H14" s="1204" t="s">
        <v>1035</v>
      </c>
      <c r="I14" s="347" t="s">
        <v>1419</v>
      </c>
      <c r="J14" s="24">
        <f ca="1">C29</f>
        <v>21713116</v>
      </c>
      <c r="K14" s="15"/>
      <c r="L14" s="982"/>
      <c r="M14" s="983"/>
    </row>
    <row r="15" spans="1:37" s="1861" customFormat="1" ht="18" customHeight="1" thickBot="1">
      <c r="A15" s="1204" t="s">
        <v>1036</v>
      </c>
      <c r="B15" s="347" t="s">
        <v>1420</v>
      </c>
      <c r="C15" s="24">
        <f ca="1">ROUND(C14*F15,0)</f>
        <v>428527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513808</v>
      </c>
      <c r="K16" s="1340" t="s">
        <v>1425</v>
      </c>
      <c r="L16" s="1341"/>
      <c r="M16" s="1297"/>
    </row>
    <row r="17" spans="1:37" s="1861" customFormat="1" ht="18" customHeight="1">
      <c r="A17" s="1204" t="s">
        <v>1390</v>
      </c>
      <c r="B17" s="347" t="s">
        <v>1426</v>
      </c>
      <c r="C17" s="24">
        <f ca="1">ROUND(F17*(F43+INDIRECT("'数据-取费表'!S"&amp;$G$1)),0)</f>
        <v>816242</v>
      </c>
      <c r="D17" s="347" t="s">
        <v>1427</v>
      </c>
      <c r="E17" s="347" t="s">
        <v>1428</v>
      </c>
      <c r="F17" s="26">
        <f>'数据-取费表'!B35</f>
        <v>200</v>
      </c>
      <c r="G17" s="1857"/>
      <c r="H17" s="1204" t="s">
        <v>1035</v>
      </c>
      <c r="I17" s="347" t="s">
        <v>1429</v>
      </c>
      <c r="J17" s="24">
        <f ca="1">ROUND(IF(项目基本情况!B11="自然人",J5*M17,J18+J19+J20),0)</f>
        <v>188111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214264</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15743268</v>
      </c>
      <c r="D19" s="140" t="s">
        <v>1436</v>
      </c>
      <c r="E19" s="1821"/>
      <c r="F19" s="26"/>
      <c r="G19" s="1854"/>
      <c r="H19" s="1204" t="s">
        <v>1036</v>
      </c>
      <c r="I19" s="347" t="s">
        <v>1437</v>
      </c>
      <c r="J19" s="24">
        <f ca="1">IF(K19="按租金收入计税",ROUND(J5*M19,0),ROUND(C29*M19*0.7,0))</f>
        <v>182390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314865</v>
      </c>
      <c r="D20" s="369" t="s">
        <v>1440</v>
      </c>
      <c r="E20" s="347" t="s">
        <v>1422</v>
      </c>
      <c r="F20" s="367">
        <f>'数据-取费表'!B37</f>
        <v>0.02</v>
      </c>
      <c r="G20" s="1857"/>
      <c r="H20" s="1204" t="s">
        <v>1389</v>
      </c>
      <c r="I20" s="164" t="s">
        <v>1441</v>
      </c>
      <c r="J20" s="25">
        <f ca="1">ROUND(M20*M21,0)</f>
        <v>5721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3813.71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325697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762761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-513808</v>
      </c>
      <c r="K25" s="1348" t="s">
        <v>1464</v>
      </c>
      <c r="L25" s="1349"/>
      <c r="M25" s="1350"/>
    </row>
    <row r="26" spans="1:37" ht="18" customHeight="1">
      <c r="A26" s="1204" t="s">
        <v>1034</v>
      </c>
      <c r="B26" s="347" t="s">
        <v>1465</v>
      </c>
      <c r="C26" s="24">
        <f ca="1">ROUND((C19+C20)*F26,0)</f>
        <v>3211627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21713116</v>
      </c>
      <c r="D29" s="1345"/>
      <c r="E29" s="1343"/>
      <c r="F29" s="1346"/>
      <c r="G29" s="1857"/>
      <c r="H29" s="380" t="s">
        <v>1033</v>
      </c>
      <c r="I29" s="381" t="s">
        <v>1479</v>
      </c>
      <c r="J29" s="382">
        <f ca="1">ROUND(J26/(1+F40)^F41,0)</f>
        <v>0</v>
      </c>
      <c r="K29" s="383" t="s">
        <v>1480</v>
      </c>
      <c r="L29" s="384"/>
      <c r="M29" s="385">
        <f ca="1">INDIRECT("'数据-取费表'!k"&amp;$G$1)</f>
        <v>4081.21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1190553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770614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232426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532467</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5721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3813.71</v>
      </c>
      <c r="G35" s="1854"/>
      <c r="H35" s="745"/>
      <c r="I35" s="1863"/>
      <c r="J35" s="1864"/>
      <c r="K35" s="1865"/>
      <c r="L35" s="1862"/>
      <c r="M35" s="1862"/>
    </row>
    <row r="36" spans="1:18" ht="18" customHeight="1">
      <c r="A36" s="1355" t="s">
        <v>1039</v>
      </c>
      <c r="B36" s="347" t="s">
        <v>1449</v>
      </c>
      <c r="C36" s="24">
        <f ca="1">ROUND(C29*F36,0)</f>
        <v>325697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27684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66558.399999999994</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3246671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68542288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16795</v>
      </c>
      <c r="D43" s="383" t="s">
        <v>1488</v>
      </c>
      <c r="E43" s="384" t="s">
        <v>1489</v>
      </c>
      <c r="F43" s="385">
        <f ca="1">INDIRECT("'数据-取费表'!k"&amp;$G$1)</f>
        <v>4081.21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-114628907</v>
      </c>
      <c r="D45" s="1943" t="s">
        <v>1604</v>
      </c>
      <c r="E45" s="1869"/>
      <c r="F45" s="1869"/>
      <c r="O45" s="1872" t="s">
        <v>1519</v>
      </c>
      <c r="P45" s="1842"/>
      <c r="Q45" s="1842"/>
      <c r="R45" s="1842"/>
    </row>
    <row r="46" spans="1:18" s="1845" customFormat="1" ht="13.5" thickBot="1">
      <c r="A46" s="1873" t="s">
        <v>1520</v>
      </c>
      <c r="C46" s="1874">
        <f ca="1">ROUND(C45/10000,0)</f>
        <v>-11463</v>
      </c>
      <c r="D46" s="1875" t="str">
        <f>C2</f>
        <v>万元</v>
      </c>
      <c r="I46" s="1876" t="s">
        <v>1521</v>
      </c>
      <c r="J46" s="1877"/>
      <c r="K46" s="1878"/>
      <c r="L46" s="1879">
        <f ca="1">IF(M47="住宅",0,IF(L48&gt;J51,L60,J60))</f>
        <v>433599</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68542288</v>
      </c>
      <c r="R47" s="1889" t="s">
        <v>1529</v>
      </c>
    </row>
    <row r="48" spans="1:18" s="1845" customFormat="1" ht="28.5" thickBot="1">
      <c r="A48" s="1363" t="s">
        <v>1135</v>
      </c>
      <c r="B48" s="345" t="s">
        <v>1401</v>
      </c>
      <c r="C48" s="1820">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f ca="1">J60</f>
        <v>433599</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2006</v>
      </c>
      <c r="K49" s="1892" t="s">
        <v>1535</v>
      </c>
      <c r="L49" s="1896"/>
      <c r="O49" s="1897" t="s">
        <v>1042</v>
      </c>
      <c r="P49" s="1888" t="s">
        <v>1536</v>
      </c>
      <c r="Q49" s="1889">
        <f ca="1">C29</f>
        <v>21713116</v>
      </c>
      <c r="R49" s="1889" t="s">
        <v>1529</v>
      </c>
    </row>
    <row r="50" spans="1:18" s="1845" customFormat="1" ht="13.5" thickBot="1">
      <c r="A50" s="1198"/>
      <c r="B50" s="1201"/>
      <c r="C50" s="1202"/>
      <c r="D50" s="1175"/>
      <c r="E50" s="1280" t="s">
        <v>1406</v>
      </c>
      <c r="F50" s="1281">
        <f ca="1">F7</f>
        <v>4081.21</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27408580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68975887</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8.3000000000000004E-2</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18456149</v>
      </c>
      <c r="D56" s="1917"/>
      <c r="E56" s="1918"/>
      <c r="F56" s="1910"/>
      <c r="I56" s="1919" t="s">
        <v>1554</v>
      </c>
      <c r="J56" s="1920" t="s">
        <v>3076</v>
      </c>
      <c r="K56" s="1890" t="s">
        <v>1555</v>
      </c>
      <c r="L56" s="1893" t="str">
        <f ca="1">IF(L48&lt;J51,"——",L48-J51)</f>
        <v>——</v>
      </c>
      <c r="O56" s="1887" t="s">
        <v>1040</v>
      </c>
      <c r="P56" s="1888" t="s">
        <v>1528</v>
      </c>
      <c r="Q56" s="1889">
        <f ca="1">C40+J29</f>
        <v>68542288</v>
      </c>
      <c r="R56" s="1889" t="s">
        <v>1529</v>
      </c>
    </row>
    <row r="57" spans="1:18" s="1845" customFormat="1" ht="24.75" thickBot="1">
      <c r="A57" s="1921"/>
      <c r="B57" s="1172" t="s">
        <v>1478</v>
      </c>
      <c r="C57" s="282">
        <f ca="1">C29</f>
        <v>21713116</v>
      </c>
      <c r="D57" s="1922"/>
      <c r="E57" s="1923"/>
      <c r="F57" s="1924"/>
      <c r="I57" s="1925" t="s">
        <v>1556</v>
      </c>
      <c r="J57" s="1926">
        <f ca="1">IF(OR(M47="住宅",J51&lt;L48,J56="是"),"——",J51-L48)</f>
        <v>3.2199999999999989</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2183004</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1829623</v>
      </c>
      <c r="D59" s="1185" t="s">
        <v>1430</v>
      </c>
      <c r="E59" s="1186" t="s">
        <v>1431</v>
      </c>
      <c r="F59" s="368" t="str">
        <f ca="1">IF(项目基本情况!B11="企业","",IF(INDIRECT("'数据-取费表'!c"&amp;$G$1)="住宅",5%,IF(F49*F50*F51/12/(1+'数据-取费表'!C42)&gt;20000,12%,7%)))</f>
        <v/>
      </c>
      <c r="I59" s="1925" t="s">
        <v>1563</v>
      </c>
      <c r="J59" s="1926">
        <f ca="1">IF(OR(M47="住宅",J51&lt;L48,J56="是"),"——",ROUND(C29*J58,0))</f>
        <v>8685246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433599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1823902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5721</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68542288</v>
      </c>
      <c r="R62" s="1889" t="s">
        <v>1047</v>
      </c>
    </row>
    <row r="63" spans="1:18" s="1845" customFormat="1" ht="13.5" thickBot="1">
      <c r="A63" s="372"/>
      <c r="B63" s="1178"/>
      <c r="C63" s="29"/>
      <c r="D63" s="1188"/>
      <c r="E63" s="1172" t="s">
        <v>1499</v>
      </c>
      <c r="F63" s="348">
        <f t="shared" ca="1" si="0"/>
        <v>3813.71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325697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27684</v>
      </c>
      <c r="D65" s="1186" t="s">
        <v>1454</v>
      </c>
      <c r="E65" s="1172" t="s">
        <v>1455</v>
      </c>
      <c r="F65" s="376">
        <f t="shared" ca="1" si="0"/>
        <v>1.5E-3</v>
      </c>
      <c r="I65" s="1932" t="s">
        <v>1579</v>
      </c>
      <c r="J65" s="1933">
        <v>40</v>
      </c>
      <c r="K65" s="1933">
        <v>30</v>
      </c>
      <c r="L65" s="1933">
        <v>50</v>
      </c>
      <c r="M65" s="1935">
        <v>0.02</v>
      </c>
      <c r="O65" s="1887" t="s">
        <v>1040</v>
      </c>
      <c r="P65" s="1888" t="s">
        <v>1580</v>
      </c>
      <c r="Q65" s="1889">
        <f ca="1">C40+J29</f>
        <v>68542288</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-2183004</v>
      </c>
      <c r="D67" s="1185" t="s">
        <v>1464</v>
      </c>
      <c r="E67" s="1190"/>
      <c r="F67" s="1191"/>
      <c r="O67" s="1897" t="s">
        <v>1042</v>
      </c>
      <c r="P67" s="1888" t="s">
        <v>1562</v>
      </c>
      <c r="Q67" s="1936">
        <f ca="1">L51</f>
        <v>27408580</v>
      </c>
      <c r="R67" s="1889" t="s">
        <v>1582</v>
      </c>
    </row>
    <row r="68" spans="1:18" s="1845" customFormat="1" ht="16.5" thickBot="1">
      <c r="A68" s="1169" t="s">
        <v>1032</v>
      </c>
      <c r="B68" s="1170" t="s">
        <v>1485</v>
      </c>
      <c r="C68" s="346">
        <f ca="1">ROUND(C67*(1-((1+F70)/(1+F68))^F69)/(F68-F70),0)</f>
        <v>-46086619</v>
      </c>
      <c r="D68" s="1187" t="s">
        <v>1469</v>
      </c>
      <c r="E68" s="1172" t="s">
        <v>1470</v>
      </c>
      <c r="F68" s="357">
        <f ca="1">F40</f>
        <v>5.5E-2</v>
      </c>
      <c r="O68" s="1897" t="s">
        <v>1043</v>
      </c>
      <c r="P68" s="1937" t="s">
        <v>1583</v>
      </c>
      <c r="Q68" s="1889">
        <f ca="1">ROUND(Q69-Q70*Q71,0)</f>
        <v>1677898</v>
      </c>
      <c r="R68" s="1889" t="s">
        <v>1051</v>
      </c>
    </row>
    <row r="69" spans="1:18" s="1845" customFormat="1" ht="13.5" thickBot="1">
      <c r="A69" s="1173"/>
      <c r="B69" s="1174"/>
      <c r="C69" s="351"/>
      <c r="D69" s="1192" t="s">
        <v>1473</v>
      </c>
      <c r="E69" s="1172" t="s">
        <v>1474</v>
      </c>
      <c r="F69" s="379">
        <f ca="1">F41</f>
        <v>34.78</v>
      </c>
      <c r="O69" s="1897" t="s">
        <v>1048</v>
      </c>
      <c r="P69" s="1937" t="s">
        <v>1584</v>
      </c>
      <c r="Q69" s="1889">
        <f ca="1">C39</f>
        <v>3246671</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18456149</v>
      </c>
      <c r="R70" s="1889" t="s">
        <v>1529</v>
      </c>
    </row>
    <row r="71" spans="1:18" s="1845" customFormat="1" ht="13.5" thickBot="1">
      <c r="A71" s="1193" t="s">
        <v>1033</v>
      </c>
      <c r="B71" s="1194" t="s">
        <v>1487</v>
      </c>
      <c r="C71" s="382">
        <f ca="1">ROUND(C68/F71,0)</f>
        <v>-11292</v>
      </c>
      <c r="D71" s="1195" t="s">
        <v>1488</v>
      </c>
      <c r="E71" s="1196" t="s">
        <v>1489</v>
      </c>
      <c r="F71" s="385">
        <f ca="1">F43</f>
        <v>4081.21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1568773</v>
      </c>
      <c r="D75" s="1845"/>
      <c r="E75" s="1845"/>
      <c r="F75" s="1845"/>
      <c r="K75" s="1871"/>
      <c r="L75" s="1845"/>
      <c r="O75" s="1887" t="s">
        <v>1046</v>
      </c>
      <c r="P75" s="1888" t="s">
        <v>1549</v>
      </c>
      <c r="Q75" s="1889">
        <f ca="1">Q65+Q66</f>
        <v>68542288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0.51700000000000002</v>
      </c>
    </row>
    <row r="80" spans="1:18">
      <c r="B80" s="386" t="s">
        <v>1511</v>
      </c>
      <c r="C80" s="318">
        <f ca="1">ROUND(C75/C39,3)</f>
        <v>0.48299999999999998</v>
      </c>
    </row>
    <row r="81" spans="2:3">
      <c r="B81" s="314" t="s">
        <v>1512</v>
      </c>
      <c r="C81" s="282"/>
    </row>
    <row r="82" spans="2:3">
      <c r="B82" s="317" t="s">
        <v>1513</v>
      </c>
      <c r="C82" s="319">
        <f ca="1">1-C83</f>
        <v>0.73099999999999998</v>
      </c>
    </row>
    <row r="83" spans="2:3">
      <c r="B83" s="317" t="s">
        <v>1514</v>
      </c>
      <c r="C83" s="318">
        <f ca="1">ROUND(C13/C40,3)</f>
        <v>0.26900000000000002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3072</v>
      </c>
      <c r="D1" s="1823" t="s">
        <v>70</v>
      </c>
      <c r="E1" s="1824" t="s">
        <v>1387</v>
      </c>
      <c r="F1" s="1286">
        <f ca="1">J53</f>
        <v>34.78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4780</v>
      </c>
      <c r="C2" s="1848" t="s">
        <v>1516</v>
      </c>
      <c r="D2" s="1941">
        <f ca="1">C40+J29+L46</f>
        <v>47799752</v>
      </c>
      <c r="E2" s="1849" t="s">
        <v>1592</v>
      </c>
      <c r="F2" s="1850"/>
      <c r="G2" s="1851"/>
      <c r="H2" s="1843"/>
      <c r="I2" s="1843"/>
      <c r="J2" s="1843"/>
      <c r="K2" s="1844"/>
      <c r="L2" s="1843"/>
      <c r="M2" s="1843"/>
    </row>
    <row r="3" spans="1:37" ht="18" customHeight="1" thickBot="1">
      <c r="A3" s="1852" t="s">
        <v>1517</v>
      </c>
      <c r="B3" s="1853">
        <f ca="1">IF(ISERROR(D2/F43),0,ROUND(D2/F43,0))</f>
        <v>7087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3352110</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ROUND(F6*F8*F7*(1-F9),0)</f>
        <v>3347925</v>
      </c>
      <c r="D6" s="164" t="s">
        <v>3021</v>
      </c>
      <c r="E6" s="347" t="s">
        <v>1405</v>
      </c>
      <c r="F6" s="348">
        <f ca="1">INDIRECT("'数据-取费表'!u"&amp;$G$1)</f>
        <v>1.6</v>
      </c>
      <c r="G6" s="1854"/>
      <c r="H6" s="1294" t="s">
        <v>1035</v>
      </c>
      <c r="I6" s="3204" t="s">
        <v>1403</v>
      </c>
      <c r="J6" s="346">
        <f ca="1">ROUND(M6*M8*M7*(1-M9),0)</f>
        <v>0</v>
      </c>
      <c r="K6" s="1837" t="s">
        <v>3022</v>
      </c>
      <c r="L6" s="347" t="s">
        <v>1405</v>
      </c>
      <c r="M6" s="348">
        <f ca="1">INDIRECT("'数据-取费表'!z"&amp;$G$1)</f>
        <v>0</v>
      </c>
    </row>
    <row r="7" spans="1:37" ht="18" customHeight="1">
      <c r="A7" s="1298"/>
      <c r="B7" s="3205"/>
      <c r="C7" s="1300"/>
      <c r="D7" s="352"/>
      <c r="E7" s="2948" t="s">
        <v>1406</v>
      </c>
      <c r="F7" s="348">
        <f ca="1">IF(INDIRECT("'数据-取费表'!ah"&amp;$G$1)="",INDIRECT("'数据-取费表'!k"&amp;$G$1),INDIRECT("'数据-取费表'!ah"&amp;$G$1))</f>
        <v>6744.41</v>
      </c>
      <c r="G7" s="1854"/>
      <c r="H7" s="349"/>
      <c r="I7" s="3205"/>
      <c r="J7" s="351"/>
      <c r="K7" s="352"/>
      <c r="L7" s="347" t="s">
        <v>1406</v>
      </c>
      <c r="M7" s="348">
        <f ca="1">F7</f>
        <v>6744.41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4185</v>
      </c>
      <c r="D10" s="1827" t="s">
        <v>3032</v>
      </c>
      <c r="E10" s="358" t="s">
        <v>1410</v>
      </c>
      <c r="F10" s="1369" t="s">
        <v>3071</v>
      </c>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16618710</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13488820</v>
      </c>
      <c r="D14" s="2942" t="s">
        <v>1418</v>
      </c>
      <c r="E14" s="2940"/>
      <c r="F14" s="364"/>
      <c r="G14" s="1854"/>
      <c r="H14" s="1204" t="s">
        <v>1035</v>
      </c>
      <c r="I14" s="347" t="s">
        <v>1419</v>
      </c>
      <c r="J14" s="24">
        <f ca="1">C29</f>
        <v>19551424</v>
      </c>
      <c r="K14" s="2947"/>
      <c r="L14" s="982"/>
      <c r="M14" s="983"/>
    </row>
    <row r="15" spans="1:37" s="1861" customFormat="1" ht="18" customHeight="1" thickBot="1">
      <c r="A15" s="1204" t="s">
        <v>1036</v>
      </c>
      <c r="B15" s="347" t="s">
        <v>1420</v>
      </c>
      <c r="C15" s="24">
        <f ca="1">ROUND(C14*F15,0)</f>
        <v>404665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466957</v>
      </c>
      <c r="K16" s="1340" t="s">
        <v>1425</v>
      </c>
      <c r="L16" s="2943"/>
      <c r="M16" s="1297"/>
    </row>
    <row r="17" spans="1:37" s="1861" customFormat="1" ht="18" customHeight="1">
      <c r="A17" s="1204" t="s">
        <v>1390</v>
      </c>
      <c r="B17" s="347" t="s">
        <v>1426</v>
      </c>
      <c r="C17" s="24">
        <f ca="1">ROUND(F17*(F43+INDIRECT("'数据-取费表'!S"&amp;$G$1)),0)</f>
        <v>1348882</v>
      </c>
      <c r="D17" s="347" t="s">
        <v>1427</v>
      </c>
      <c r="E17" s="347" t="s">
        <v>1428</v>
      </c>
      <c r="F17" s="26">
        <f>'数据-取费表'!B35</f>
        <v>200</v>
      </c>
      <c r="G17" s="1857"/>
      <c r="H17" s="1204" t="s">
        <v>1035</v>
      </c>
      <c r="I17" s="347" t="s">
        <v>1429</v>
      </c>
      <c r="J17" s="24">
        <f ca="1">ROUND(IF(项目基本情况!B11="自然人",J5*M17,J18+J19+J20),0)</f>
        <v>173686</v>
      </c>
      <c r="K17" s="2942" t="s">
        <v>1430</v>
      </c>
      <c r="L17" s="294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202332</v>
      </c>
      <c r="D18" s="347" t="s">
        <v>1421</v>
      </c>
      <c r="E18" s="347" t="s">
        <v>1422</v>
      </c>
      <c r="F18" s="367">
        <f>'数据-取费表'!B36</f>
        <v>1.4999999999999999E-2</v>
      </c>
      <c r="G18" s="1857"/>
      <c r="H18" s="1204" t="s">
        <v>1034</v>
      </c>
      <c r="I18" s="347" t="s">
        <v>1433</v>
      </c>
      <c r="J18" s="24">
        <f ca="1">ROUND(J5*M18/(1+'数据-取费表'!C42),0)</f>
        <v>0</v>
      </c>
      <c r="K18" s="294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15444699</v>
      </c>
      <c r="D19" s="140" t="s">
        <v>1436</v>
      </c>
      <c r="E19" s="2946"/>
      <c r="F19" s="26"/>
      <c r="G19" s="1854"/>
      <c r="H19" s="1204" t="s">
        <v>1036</v>
      </c>
      <c r="I19" s="347" t="s">
        <v>1437</v>
      </c>
      <c r="J19" s="24">
        <f ca="1">IF(K19="按租金收入计税",ROUND(J5*M19,0),ROUND(C29*M19*0.7,0))</f>
        <v>164232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308894</v>
      </c>
      <c r="D20" s="369" t="s">
        <v>1440</v>
      </c>
      <c r="E20" s="347" t="s">
        <v>1422</v>
      </c>
      <c r="F20" s="367">
        <f>'数据-取费表'!B37</f>
        <v>0.02</v>
      </c>
      <c r="G20" s="1857"/>
      <c r="H20" s="1204" t="s">
        <v>1389</v>
      </c>
      <c r="I20" s="164" t="s">
        <v>1441</v>
      </c>
      <c r="J20" s="25">
        <f ca="1">ROUND(M20*M21,0)</f>
        <v>9454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6302.35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ROUND(J14*M22,0)</f>
        <v>293271</v>
      </c>
      <c r="K22" s="294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748295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2941"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6"/>
      <c r="F25" s="26"/>
      <c r="G25" s="1854"/>
      <c r="H25" s="1332" t="s">
        <v>1031</v>
      </c>
      <c r="I25" s="1347" t="s">
        <v>1463</v>
      </c>
      <c r="J25" s="355">
        <f ca="1">J5-J16</f>
        <v>-466957</v>
      </c>
      <c r="K25" s="1348" t="s">
        <v>1464</v>
      </c>
      <c r="L25" s="1349"/>
      <c r="M25" s="1350"/>
    </row>
    <row r="26" spans="1:37" ht="18" customHeight="1">
      <c r="A26" s="1204" t="s">
        <v>1034</v>
      </c>
      <c r="B26" s="347" t="s">
        <v>1465</v>
      </c>
      <c r="C26" s="24">
        <f ca="1">ROUND((C19+C20)*F26,0)</f>
        <v>1575359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19551424</v>
      </c>
      <c r="D29" s="1345"/>
      <c r="E29" s="1343"/>
      <c r="F29" s="1346"/>
      <c r="G29" s="1857"/>
      <c r="H29" s="380" t="s">
        <v>1033</v>
      </c>
      <c r="I29" s="381" t="s">
        <v>1479</v>
      </c>
      <c r="J29" s="382">
        <f ca="1">ROUND(J26/(1+F40)^F41,0)</f>
        <v>0</v>
      </c>
      <c r="K29" s="383" t="s">
        <v>1480</v>
      </c>
      <c r="L29" s="384"/>
      <c r="M29" s="385">
        <f ca="1">INDIRECT("'数据-取费表'!k"&amp;$G$1)</f>
        <v>6744.41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955775</v>
      </c>
      <c r="D30" s="1340" t="s">
        <v>1425</v>
      </c>
      <c r="E30" s="2943"/>
      <c r="F30" s="1297"/>
      <c r="G30" s="1854"/>
      <c r="H30" s="745"/>
      <c r="I30" s="746"/>
      <c r="J30" s="747"/>
      <c r="K30" s="748"/>
      <c r="L30" s="749"/>
      <c r="M30" s="750"/>
    </row>
    <row r="31" spans="1:37" ht="18" customHeight="1">
      <c r="A31" s="1204" t="s">
        <v>1035</v>
      </c>
      <c r="B31" s="347" t="s">
        <v>1429</v>
      </c>
      <c r="C31" s="24">
        <f ca="1">ROUND(IF(项目基本情况!B11="自然人",C5*F31,C32+C33+C34),0)</f>
        <v>587294</v>
      </c>
      <c r="D31" s="2942" t="s">
        <v>1430</v>
      </c>
      <c r="E31" s="294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175587</v>
      </c>
      <c r="D32" s="294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402253</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9454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6302.35</v>
      </c>
      <c r="G35" s="1854"/>
      <c r="H35" s="745"/>
      <c r="I35" s="1863"/>
      <c r="J35" s="1864"/>
      <c r="K35" s="1865"/>
      <c r="L35" s="1862"/>
      <c r="M35" s="1862"/>
    </row>
    <row r="36" spans="1:18" ht="18" customHeight="1">
      <c r="A36" s="1355" t="s">
        <v>1039</v>
      </c>
      <c r="B36" s="347" t="s">
        <v>1449</v>
      </c>
      <c r="C36" s="24">
        <f ca="1">ROUND(C29*F36,0)</f>
        <v>293271</v>
      </c>
      <c r="D36" s="294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24928</v>
      </c>
      <c r="D37" s="2941"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50281.7</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2396335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47409321</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ROUND(C40/F43,0)</f>
        <v>7029</v>
      </c>
      <c r="D43" s="383" t="s">
        <v>1488</v>
      </c>
      <c r="E43" s="384" t="s">
        <v>1489</v>
      </c>
      <c r="F43" s="385">
        <f ca="1">INDIRECT("'数据-取费表'!k"&amp;$G$1)</f>
        <v>6744.41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-86383455</v>
      </c>
      <c r="D45" s="1943" t="s">
        <v>1604</v>
      </c>
      <c r="E45" s="1869"/>
      <c r="F45" s="1869"/>
      <c r="O45" s="1872" t="s">
        <v>1519</v>
      </c>
      <c r="P45" s="1842"/>
      <c r="Q45" s="1842"/>
      <c r="R45" s="1842"/>
    </row>
    <row r="46" spans="1:18" s="1845" customFormat="1" ht="13.5" thickBot="1">
      <c r="A46" s="1873" t="s">
        <v>1520</v>
      </c>
      <c r="C46" s="1874">
        <f ca="1">ROUND(C45/10000,0)</f>
        <v>-8638</v>
      </c>
      <c r="D46" s="1875" t="str">
        <f>C2</f>
        <v>万元</v>
      </c>
      <c r="I46" s="1876" t="s">
        <v>1521</v>
      </c>
      <c r="J46" s="1877"/>
      <c r="K46" s="1878"/>
      <c r="L46" s="1879">
        <f ca="1">IF(M47="住宅",0,IF(L48&gt;J51,L60,J60))</f>
        <v>390431</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47409321</v>
      </c>
      <c r="R47" s="1889" t="s">
        <v>1529</v>
      </c>
    </row>
    <row r="48" spans="1:18" s="1845" customFormat="1" ht="28.5" thickBot="1">
      <c r="A48" s="1363" t="s">
        <v>1135</v>
      </c>
      <c r="B48" s="345" t="s">
        <v>1401</v>
      </c>
      <c r="C48" s="2945">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f ca="1">J60</f>
        <v>390431</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2006</v>
      </c>
      <c r="K49" s="1892" t="s">
        <v>1535</v>
      </c>
      <c r="L49" s="1896"/>
      <c r="O49" s="1897" t="s">
        <v>1042</v>
      </c>
      <c r="P49" s="1888" t="s">
        <v>1536</v>
      </c>
      <c r="Q49" s="1889">
        <f ca="1">C29</f>
        <v>19551424</v>
      </c>
      <c r="R49" s="1889" t="s">
        <v>1529</v>
      </c>
    </row>
    <row r="50" spans="1:18" s="1845" customFormat="1" ht="13.5" thickBot="1">
      <c r="A50" s="1198"/>
      <c r="B50" s="1201"/>
      <c r="C50" s="1202"/>
      <c r="D50" s="1175"/>
      <c r="E50" s="1280" t="s">
        <v>1406</v>
      </c>
      <c r="F50" s="1281">
        <f ca="1">F7</f>
        <v>6744.41</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17131600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47799752</v>
      </c>
      <c r="R53" s="1889" t="s">
        <v>1047</v>
      </c>
    </row>
    <row r="54" spans="1:18" s="1845" customFormat="1" ht="13.5" thickBot="1">
      <c r="A54" s="1197"/>
      <c r="B54" s="1944" t="s">
        <v>1603</v>
      </c>
      <c r="C54" s="1181"/>
      <c r="D54" s="1827"/>
      <c r="E54" s="294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4"/>
      <c r="F55" s="1910"/>
      <c r="I55" s="1913" t="s">
        <v>1551</v>
      </c>
      <c r="J55" s="1914">
        <f ca="1">ROUND(IF(J47="钢混",J57/J50,1-(1-2%)*(J50-J57)/J50),3)</f>
        <v>8.3000000000000004E-2</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16618710</v>
      </c>
      <c r="D56" s="1917"/>
      <c r="E56" s="1918"/>
      <c r="F56" s="1910"/>
      <c r="I56" s="1919" t="s">
        <v>1554</v>
      </c>
      <c r="J56" s="1920" t="s">
        <v>3076</v>
      </c>
      <c r="K56" s="1890" t="s">
        <v>1555</v>
      </c>
      <c r="L56" s="1893" t="str">
        <f ca="1">IF(L48&lt;J51,"——",L48-J51)</f>
        <v>——</v>
      </c>
      <c r="O56" s="1887" t="s">
        <v>1040</v>
      </c>
      <c r="P56" s="1888" t="s">
        <v>1528</v>
      </c>
      <c r="Q56" s="1889">
        <f ca="1">C40+J29</f>
        <v>47409321</v>
      </c>
      <c r="R56" s="1889" t="s">
        <v>1529</v>
      </c>
    </row>
    <row r="57" spans="1:18" s="1845" customFormat="1" ht="24.75" thickBot="1">
      <c r="A57" s="1921"/>
      <c r="B57" s="1172" t="s">
        <v>1478</v>
      </c>
      <c r="C57" s="282">
        <f ca="1">C29</f>
        <v>19551424</v>
      </c>
      <c r="D57" s="1922"/>
      <c r="E57" s="1923"/>
      <c r="F57" s="1924"/>
      <c r="I57" s="1925" t="s">
        <v>1556</v>
      </c>
      <c r="J57" s="1926">
        <f ca="1">IF(OR(M47="住宅",J51&lt;L48,J56="是"),"——",J51-L48)</f>
        <v>3.2199999999999989</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1969973</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1651774</v>
      </c>
      <c r="D59" s="1185" t="s">
        <v>1430</v>
      </c>
      <c r="E59" s="1186" t="s">
        <v>1431</v>
      </c>
      <c r="F59" s="368" t="str">
        <f ca="1">IF(项目基本情况!B11="企业","",IF(INDIRECT("'数据-取费表'!c"&amp;$G$1)="住宅",5%,IF(F49*F50*F51/12/(1+'数据-取费表'!C42)&gt;20000,12%,7%)))</f>
        <v/>
      </c>
      <c r="I59" s="1925" t="s">
        <v>1563</v>
      </c>
      <c r="J59" s="1926">
        <f ca="1">IF(OR(M47="住宅",J51&lt;L48,J56="是"),"——",ROUND(C29*J58,0))</f>
        <v>7820570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390431</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1642320</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9454</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47409321</v>
      </c>
      <c r="R62" s="1889" t="s">
        <v>1047</v>
      </c>
    </row>
    <row r="63" spans="1:18" s="1845" customFormat="1" ht="13.5" thickBot="1">
      <c r="A63" s="372"/>
      <c r="B63" s="1178"/>
      <c r="C63" s="29"/>
      <c r="D63" s="1188"/>
      <c r="E63" s="1172" t="s">
        <v>1447</v>
      </c>
      <c r="F63" s="348">
        <f t="shared" ca="1" si="0"/>
        <v>6302.35</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293271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24928</v>
      </c>
      <c r="D65" s="1186" t="s">
        <v>1454</v>
      </c>
      <c r="E65" s="1172" t="s">
        <v>1422</v>
      </c>
      <c r="F65" s="376">
        <f t="shared" ca="1" si="0"/>
        <v>1.5E-3</v>
      </c>
      <c r="I65" s="1932" t="s">
        <v>1579</v>
      </c>
      <c r="J65" s="1933">
        <v>40</v>
      </c>
      <c r="K65" s="1933">
        <v>30</v>
      </c>
      <c r="L65" s="1933">
        <v>50</v>
      </c>
      <c r="M65" s="1935">
        <v>0.02</v>
      </c>
      <c r="O65" s="1887" t="s">
        <v>1040</v>
      </c>
      <c r="P65" s="1888" t="s">
        <v>1528</v>
      </c>
      <c r="Q65" s="1889">
        <f ca="1">C40+J29</f>
        <v>47409321</v>
      </c>
      <c r="R65" s="1889" t="s">
        <v>1529</v>
      </c>
    </row>
    <row r="66" spans="1:18" s="1845" customFormat="1" ht="16.5" thickBot="1">
      <c r="A66" s="1204" t="s">
        <v>1504</v>
      </c>
      <c r="B66" s="1172" t="s">
        <v>1439</v>
      </c>
      <c r="C66" s="24">
        <f ca="1">ROUND(C48*F66,0)</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-1969973</v>
      </c>
      <c r="D67" s="1185" t="s">
        <v>1464</v>
      </c>
      <c r="E67" s="1190"/>
      <c r="F67" s="1191"/>
      <c r="O67" s="1897" t="s">
        <v>1042</v>
      </c>
      <c r="P67" s="1888" t="s">
        <v>1562</v>
      </c>
      <c r="Q67" s="1936">
        <f ca="1">L51</f>
        <v>17131600</v>
      </c>
      <c r="R67" s="1889" t="s">
        <v>1582</v>
      </c>
    </row>
    <row r="68" spans="1:18" s="1845" customFormat="1" ht="16.5" thickBot="1">
      <c r="A68" s="1169" t="s">
        <v>1032</v>
      </c>
      <c r="B68" s="1170" t="s">
        <v>1485</v>
      </c>
      <c r="C68" s="346">
        <f ca="1">ROUND(C67*(1-((1+F70)/(1+F68))^F69)/(F68-F70),0)</f>
        <v>-38974134</v>
      </c>
      <c r="D68" s="1187" t="s">
        <v>1469</v>
      </c>
      <c r="E68" s="1172" t="s">
        <v>1470</v>
      </c>
      <c r="F68" s="357">
        <f ca="1">F40</f>
        <v>0.05</v>
      </c>
      <c r="O68" s="1897" t="s">
        <v>1043</v>
      </c>
      <c r="P68" s="1937" t="s">
        <v>1583</v>
      </c>
      <c r="Q68" s="1889">
        <f ca="1">ROUND(Q69-Q70*Q71,0)</f>
        <v>983745</v>
      </c>
      <c r="R68" s="1889" t="s">
        <v>1051</v>
      </c>
    </row>
    <row r="69" spans="1:18" s="1845" customFormat="1" ht="13.5" thickBot="1">
      <c r="A69" s="1173"/>
      <c r="B69" s="1174"/>
      <c r="C69" s="351"/>
      <c r="D69" s="1192" t="s">
        <v>1473</v>
      </c>
      <c r="E69" s="1172" t="s">
        <v>1474</v>
      </c>
      <c r="F69" s="379">
        <f ca="1">F41</f>
        <v>34.78</v>
      </c>
      <c r="O69" s="1897" t="s">
        <v>1048</v>
      </c>
      <c r="P69" s="1937" t="s">
        <v>1584</v>
      </c>
      <c r="Q69" s="1889">
        <f ca="1">C39</f>
        <v>2396335</v>
      </c>
      <c r="R69" s="1889" t="s">
        <v>1529</v>
      </c>
    </row>
    <row r="70" spans="1:18" s="1845" customFormat="1" ht="13.5" thickBot="1">
      <c r="A70" s="1176"/>
      <c r="B70" s="1177"/>
      <c r="C70" s="355"/>
      <c r="D70" s="1188"/>
      <c r="E70" s="1172" t="s">
        <v>1477</v>
      </c>
      <c r="F70" s="1278">
        <f ca="1">F42</f>
        <v>1.4999999999999999E-2</v>
      </c>
      <c r="O70" s="1897" t="s">
        <v>1049</v>
      </c>
      <c r="P70" s="1937" t="s">
        <v>1585</v>
      </c>
      <c r="Q70" s="1889">
        <f ca="1">C13</f>
        <v>16618710</v>
      </c>
      <c r="R70" s="1889" t="s">
        <v>1529</v>
      </c>
    </row>
    <row r="71" spans="1:18" s="1845" customFormat="1" ht="13.5" thickBot="1">
      <c r="A71" s="1193" t="s">
        <v>1033</v>
      </c>
      <c r="B71" s="1194" t="s">
        <v>1487</v>
      </c>
      <c r="C71" s="382">
        <f ca="1">ROUND(C68/F71,0)</f>
        <v>-5779</v>
      </c>
      <c r="D71" s="1195" t="s">
        <v>1488</v>
      </c>
      <c r="E71" s="1196" t="s">
        <v>1489</v>
      </c>
      <c r="F71" s="385">
        <f ca="1">F43</f>
        <v>6744.41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1412590</v>
      </c>
      <c r="D75" s="1845"/>
      <c r="E75" s="1845"/>
      <c r="F75" s="1845"/>
      <c r="K75" s="1871"/>
      <c r="L75" s="1845"/>
      <c r="O75" s="1887" t="s">
        <v>1046</v>
      </c>
      <c r="P75" s="1888" t="s">
        <v>1549</v>
      </c>
      <c r="Q75" s="1889">
        <f ca="1">Q65+Q66</f>
        <v>47409321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0.41100000000000003</v>
      </c>
    </row>
    <row r="80" spans="1:18">
      <c r="B80" s="386" t="s">
        <v>1511</v>
      </c>
      <c r="C80" s="318">
        <f ca="1">ROUND(C75/C39,3)</f>
        <v>0.58899999999999997</v>
      </c>
    </row>
    <row r="81" spans="2:3">
      <c r="B81" s="314" t="s">
        <v>1512</v>
      </c>
      <c r="C81" s="282"/>
    </row>
    <row r="82" spans="2:3">
      <c r="B82" s="317" t="s">
        <v>1513</v>
      </c>
      <c r="C82" s="319">
        <f ca="1">1-C83</f>
        <v>0.64900000000000002</v>
      </c>
    </row>
    <row r="83" spans="2:3">
      <c r="B83" s="317" t="s">
        <v>1514</v>
      </c>
      <c r="C83" s="318">
        <f ca="1">ROUND(C13/C40,3)</f>
        <v>0.35099999999999998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3065</v>
      </c>
      <c r="D1" s="1823" t="s">
        <v>70</v>
      </c>
      <c r="E1" s="1824" t="s">
        <v>1387</v>
      </c>
      <c r="F1" s="1286">
        <f ca="1">J53</f>
        <v>34.78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48393</v>
      </c>
      <c r="C2" s="1848" t="s">
        <v>1516</v>
      </c>
      <c r="D2" s="1941">
        <f ca="1">C40+J29+L46</f>
        <v>483929339</v>
      </c>
      <c r="E2" s="1849" t="s">
        <v>1592</v>
      </c>
      <c r="F2" s="1850"/>
      <c r="G2" s="1851"/>
      <c r="H2" s="1843"/>
      <c r="I2" s="1843"/>
      <c r="J2" s="1843"/>
      <c r="K2" s="1844"/>
      <c r="L2" s="1843"/>
      <c r="M2" s="1843"/>
    </row>
    <row r="3" spans="1:37" ht="18" customHeight="1" thickBot="1">
      <c r="A3" s="1852" t="s">
        <v>1517</v>
      </c>
      <c r="B3" s="1853">
        <f ca="1">IF(ISERROR(D2/F43),0,ROUND(D2/F43,0))</f>
        <v>45752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39428251</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ROUND(F6*F8*F7*(1-F9),0)</f>
        <v>39379027</v>
      </c>
      <c r="D6" s="164" t="s">
        <v>3021</v>
      </c>
      <c r="E6" s="347" t="s">
        <v>1405</v>
      </c>
      <c r="F6" s="348">
        <f ca="1">INDIRECT("'数据-取费表'!u"&amp;$G$1)</f>
        <v>12</v>
      </c>
      <c r="G6" s="1854"/>
      <c r="H6" s="1294" t="s">
        <v>1035</v>
      </c>
      <c r="I6" s="3204" t="s">
        <v>1403</v>
      </c>
      <c r="J6" s="346">
        <f ca="1">ROUND(M6*M8*M7*(1-M9),0)</f>
        <v>0</v>
      </c>
      <c r="K6" s="1837" t="s">
        <v>3022</v>
      </c>
      <c r="L6" s="347" t="s">
        <v>1405</v>
      </c>
      <c r="M6" s="348">
        <f ca="1">INDIRECT("'数据-取费表'!z"&amp;$G$1)</f>
        <v>0</v>
      </c>
    </row>
    <row r="7" spans="1:37" ht="18" customHeight="1">
      <c r="A7" s="1298"/>
      <c r="B7" s="3205"/>
      <c r="C7" s="1300"/>
      <c r="D7" s="352"/>
      <c r="E7" s="2948" t="s">
        <v>1406</v>
      </c>
      <c r="F7" s="348">
        <f ca="1">IF(INDIRECT("'数据-取费表'!ah"&amp;$G$1)="",INDIRECT("'数据-取费表'!k"&amp;$G$1),INDIRECT("'数据-取费表'!ah"&amp;$G$1))</f>
        <v>10577.23</v>
      </c>
      <c r="G7" s="1854"/>
      <c r="H7" s="349"/>
      <c r="I7" s="3205"/>
      <c r="J7" s="351"/>
      <c r="K7" s="352"/>
      <c r="L7" s="347" t="s">
        <v>1406</v>
      </c>
      <c r="M7" s="348">
        <f ca="1">F7</f>
        <v>10577.23</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49224</v>
      </c>
      <c r="D10" s="1827" t="s">
        <v>3032</v>
      </c>
      <c r="E10" s="358" t="s">
        <v>1410</v>
      </c>
      <c r="F10" s="1369" t="s">
        <v>3071</v>
      </c>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124009032</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95195070</v>
      </c>
      <c r="D14" s="2942" t="s">
        <v>1418</v>
      </c>
      <c r="E14" s="2940"/>
      <c r="F14" s="364"/>
      <c r="G14" s="1854"/>
      <c r="H14" s="1204" t="s">
        <v>1035</v>
      </c>
      <c r="I14" s="347" t="s">
        <v>1419</v>
      </c>
      <c r="J14" s="24">
        <f ca="1">C29</f>
        <v>145892979</v>
      </c>
      <c r="K14" s="2947"/>
      <c r="L14" s="982"/>
      <c r="M14" s="983"/>
    </row>
    <row r="15" spans="1:37" s="1861" customFormat="1" ht="18" customHeight="1" thickBot="1">
      <c r="A15" s="1204" t="s">
        <v>1036</v>
      </c>
      <c r="B15" s="347" t="s">
        <v>1420</v>
      </c>
      <c r="C15" s="24">
        <f ca="1">ROUND(C14*F15,0)</f>
        <v>2855852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4887651</v>
      </c>
      <c r="K16" s="1340" t="s">
        <v>1425</v>
      </c>
      <c r="L16" s="2943"/>
      <c r="M16" s="1297"/>
    </row>
    <row r="17" spans="1:37" s="1861" customFormat="1" ht="18" customHeight="1">
      <c r="A17" s="1204" t="s">
        <v>1390</v>
      </c>
      <c r="B17" s="347" t="s">
        <v>1426</v>
      </c>
      <c r="C17" s="24">
        <f ca="1">ROUND(F17*(F43+INDIRECT("'数据-取费表'!S"&amp;$G$1)),0)</f>
        <v>2115446</v>
      </c>
      <c r="D17" s="347" t="s">
        <v>1427</v>
      </c>
      <c r="E17" s="347" t="s">
        <v>1428</v>
      </c>
      <c r="F17" s="26">
        <f>'数据-取费表'!B35</f>
        <v>200</v>
      </c>
      <c r="G17" s="1857"/>
      <c r="H17" s="1204" t="s">
        <v>1035</v>
      </c>
      <c r="I17" s="347" t="s">
        <v>1429</v>
      </c>
      <c r="J17" s="24">
        <f ca="1">ROUND(IF(项目基本情况!B11="自然人",J5*M17,J18+J19+J20),0)</f>
        <v>1240327</v>
      </c>
      <c r="K17" s="2942" t="s">
        <v>1430</v>
      </c>
      <c r="L17" s="294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1427926</v>
      </c>
      <c r="D18" s="347" t="s">
        <v>1421</v>
      </c>
      <c r="E18" s="347" t="s">
        <v>1422</v>
      </c>
      <c r="F18" s="367">
        <f>'数据-取费表'!B36</f>
        <v>1.4999999999999999E-2</v>
      </c>
      <c r="G18" s="1857"/>
      <c r="H18" s="1204" t="s">
        <v>1034</v>
      </c>
      <c r="I18" s="347" t="s">
        <v>1433</v>
      </c>
      <c r="J18" s="24">
        <f ca="1">ROUND(J5*M18/(1+'数据-取费表'!C42),0)</f>
        <v>0</v>
      </c>
      <c r="K18" s="294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101594294</v>
      </c>
      <c r="D19" s="140" t="s">
        <v>1436</v>
      </c>
      <c r="E19" s="2946"/>
      <c r="F19" s="26"/>
      <c r="G19" s="1854"/>
      <c r="H19" s="1204" t="s">
        <v>1036</v>
      </c>
      <c r="I19" s="347" t="s">
        <v>1437</v>
      </c>
      <c r="J19" s="24">
        <f ca="1">IF(K19="按租金收入计税",ROUND(J5*M19,0),ROUND(C29*M19*0.7,0))</f>
        <v>1225501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2031886</v>
      </c>
      <c r="D20" s="369" t="s">
        <v>1440</v>
      </c>
      <c r="E20" s="347" t="s">
        <v>1422</v>
      </c>
      <c r="F20" s="367">
        <f>'数据-取费表'!B37</f>
        <v>0.02</v>
      </c>
      <c r="G20" s="1857"/>
      <c r="H20" s="1204" t="s">
        <v>1389</v>
      </c>
      <c r="I20" s="164" t="s">
        <v>1441</v>
      </c>
      <c r="J20" s="25">
        <f ca="1">ROUND(M20*M21,0)</f>
        <v>14826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9883.9500000000007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ROUND(J14*M22,0)</f>
        <v>3647324</v>
      </c>
      <c r="K22" s="294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4922244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2941"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6"/>
      <c r="F25" s="26"/>
      <c r="G25" s="1854"/>
      <c r="H25" s="1332" t="s">
        <v>1031</v>
      </c>
      <c r="I25" s="1347" t="s">
        <v>1463</v>
      </c>
      <c r="J25" s="355">
        <f ca="1">J5-J16</f>
        <v>-4887651</v>
      </c>
      <c r="K25" s="1348" t="s">
        <v>1464</v>
      </c>
      <c r="L25" s="1349"/>
      <c r="M25" s="1350"/>
    </row>
    <row r="26" spans="1:37" ht="18" customHeight="1">
      <c r="A26" s="1204" t="s">
        <v>1034</v>
      </c>
      <c r="B26" s="347" t="s">
        <v>1465</v>
      </c>
      <c r="C26" s="24">
        <f ca="1">ROUND((C19+C20)*F26,0)</f>
        <v>25906545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145892979</v>
      </c>
      <c r="D29" s="1345"/>
      <c r="E29" s="1343"/>
      <c r="F29" s="1346"/>
      <c r="G29" s="1857"/>
      <c r="H29" s="380" t="s">
        <v>1033</v>
      </c>
      <c r="I29" s="381" t="s">
        <v>1479</v>
      </c>
      <c r="J29" s="382">
        <f ca="1">ROUND(J26/(1+F40)^F41,0)</f>
        <v>0</v>
      </c>
      <c r="K29" s="383" t="s">
        <v>1480</v>
      </c>
      <c r="L29" s="384"/>
      <c r="M29" s="385">
        <f ca="1">INDIRECT("'数据-取费表'!k"&amp;$G$1)</f>
        <v>10577.23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11692553</v>
      </c>
      <c r="D30" s="1340" t="s">
        <v>1425</v>
      </c>
      <c r="E30" s="2943"/>
      <c r="F30" s="1297"/>
      <c r="G30" s="1854"/>
      <c r="H30" s="745"/>
      <c r="I30" s="746"/>
      <c r="J30" s="747"/>
      <c r="K30" s="748"/>
      <c r="L30" s="749"/>
      <c r="M30" s="750"/>
    </row>
    <row r="31" spans="1:37" ht="18" customHeight="1">
      <c r="A31" s="1204" t="s">
        <v>1035</v>
      </c>
      <c r="B31" s="347" t="s">
        <v>1429</v>
      </c>
      <c r="C31" s="24">
        <f ca="1">ROUND(IF(项目基本情况!B11="自然人",C5*F31,C32+C33+C34),0)</f>
        <v>6811505</v>
      </c>
      <c r="D31" s="2942" t="s">
        <v>1430</v>
      </c>
      <c r="E31" s="294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2065289</v>
      </c>
      <c r="D32" s="294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4731390</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14826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9883.9500000000007</v>
      </c>
      <c r="G35" s="1854"/>
      <c r="H35" s="745"/>
      <c r="I35" s="1863"/>
      <c r="J35" s="1864"/>
      <c r="K35" s="1865"/>
      <c r="L35" s="1862"/>
      <c r="M35" s="1862"/>
    </row>
    <row r="36" spans="1:18" ht="18" customHeight="1">
      <c r="A36" s="1355" t="s">
        <v>1039</v>
      </c>
      <c r="B36" s="347" t="s">
        <v>1449</v>
      </c>
      <c r="C36" s="24">
        <f ca="1">ROUND(C29*F36,0)</f>
        <v>3647324</v>
      </c>
      <c r="D36" s="294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ROUND(C13*F37,0)</f>
        <v>248018</v>
      </c>
      <c r="D37" s="2941"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985706.3</v>
      </c>
      <c r="D38" s="1345" t="s">
        <v>1459</v>
      </c>
      <c r="E38" s="1343" t="s">
        <v>1422</v>
      </c>
      <c r="F38" s="1339">
        <f ca="1">INDIRECT("'数据-取费表'!Am"&amp;$G$1)</f>
        <v>2.5000000000000001E-2</v>
      </c>
      <c r="G38" s="1854"/>
      <c r="H38" s="1862"/>
      <c r="I38" s="1863"/>
      <c r="J38" s="1864"/>
      <c r="K38" s="1868"/>
      <c r="L38" s="1862"/>
      <c r="M38" s="1862"/>
    </row>
    <row r="39" spans="1:18" ht="24.6" customHeight="1" thickTop="1">
      <c r="A39" s="1332" t="s">
        <v>1031</v>
      </c>
      <c r="B39" s="1347" t="s">
        <v>1463</v>
      </c>
      <c r="C39" s="355">
        <f ca="1">C5-C30</f>
        <v>27735698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481015934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34.78</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ROUND(C40/F43,0)</f>
        <v>45477</v>
      </c>
      <c r="D43" s="383" t="s">
        <v>1488</v>
      </c>
      <c r="E43" s="384" t="s">
        <v>1489</v>
      </c>
      <c r="F43" s="385">
        <f ca="1">INDIRECT("'数据-取费表'!k"&amp;$G$1)</f>
        <v>10577.23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-761366124</v>
      </c>
      <c r="D45" s="1943" t="s">
        <v>1604</v>
      </c>
      <c r="E45" s="1869"/>
      <c r="F45" s="1869"/>
      <c r="O45" s="1872" t="s">
        <v>1519</v>
      </c>
      <c r="P45" s="1842"/>
      <c r="Q45" s="1842"/>
      <c r="R45" s="1842"/>
    </row>
    <row r="46" spans="1:18" s="1845" customFormat="1" ht="13.5" thickBot="1">
      <c r="A46" s="1873" t="s">
        <v>1520</v>
      </c>
      <c r="C46" s="1874">
        <f ca="1">ROUND(C45/10000,0)</f>
        <v>-76137</v>
      </c>
      <c r="D46" s="1875" t="str">
        <f>C2</f>
        <v>万元</v>
      </c>
      <c r="I46" s="1876" t="s">
        <v>1521</v>
      </c>
      <c r="J46" s="1877"/>
      <c r="K46" s="1878"/>
      <c r="L46" s="1879">
        <f ca="1">IF(M47="住宅",0,IF(L48&gt;J51,L60,J60))</f>
        <v>2913405</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481015934</v>
      </c>
      <c r="R47" s="1889" t="s">
        <v>1529</v>
      </c>
    </row>
    <row r="48" spans="1:18" s="1845" customFormat="1" ht="28.5" thickBot="1">
      <c r="A48" s="1363" t="s">
        <v>1135</v>
      </c>
      <c r="B48" s="345" t="s">
        <v>1401</v>
      </c>
      <c r="C48" s="2945">
        <f ca="1">C49+C53+C55</f>
        <v>0</v>
      </c>
      <c r="D48" s="1365"/>
      <c r="E48" s="1366"/>
      <c r="F48" s="1184"/>
      <c r="G48" s="792"/>
      <c r="H48" s="793"/>
      <c r="I48" s="1890" t="s">
        <v>1530</v>
      </c>
      <c r="J48" s="1891" t="s">
        <v>3075</v>
      </c>
      <c r="K48" s="1892" t="s">
        <v>1531</v>
      </c>
      <c r="L48" s="1893">
        <f ca="1">INDIRECT("'数据-取费表'!f"&amp;$G$1)</f>
        <v>34.78</v>
      </c>
      <c r="O48" s="1887" t="s">
        <v>1041</v>
      </c>
      <c r="P48" s="1888" t="s">
        <v>1532</v>
      </c>
      <c r="Q48" s="1889">
        <f ca="1">J60</f>
        <v>2913405</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2006</v>
      </c>
      <c r="K49" s="1892" t="s">
        <v>1535</v>
      </c>
      <c r="L49" s="1896"/>
      <c r="O49" s="1897" t="s">
        <v>1042</v>
      </c>
      <c r="P49" s="1888" t="s">
        <v>1536</v>
      </c>
      <c r="Q49" s="1889">
        <f ca="1">C29</f>
        <v>145892979</v>
      </c>
      <c r="R49" s="1889" t="s">
        <v>1529</v>
      </c>
    </row>
    <row r="50" spans="1:18" s="1845" customFormat="1" ht="13.5" thickBot="1">
      <c r="A50" s="1198"/>
      <c r="B50" s="1201"/>
      <c r="C50" s="1202"/>
      <c r="D50" s="1175"/>
      <c r="E50" s="1280" t="s">
        <v>1406</v>
      </c>
      <c r="F50" s="1281">
        <f ca="1">F7</f>
        <v>10577.23</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280880319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34.78</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34.78</v>
      </c>
      <c r="K53" s="3202" t="s">
        <v>1548</v>
      </c>
      <c r="L53" s="3203"/>
      <c r="O53" s="1887" t="s">
        <v>1046</v>
      </c>
      <c r="P53" s="1888" t="s">
        <v>1549</v>
      </c>
      <c r="Q53" s="1889">
        <f ca="1">Q47+Q48</f>
        <v>483929339</v>
      </c>
      <c r="R53" s="1889" t="s">
        <v>1047</v>
      </c>
    </row>
    <row r="54" spans="1:18" s="1845" customFormat="1" ht="13.5" thickBot="1">
      <c r="A54" s="1197"/>
      <c r="B54" s="1944" t="s">
        <v>1603</v>
      </c>
      <c r="C54" s="1181"/>
      <c r="D54" s="1827"/>
      <c r="E54" s="294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4"/>
      <c r="F55" s="1910"/>
      <c r="I55" s="1913" t="s">
        <v>1551</v>
      </c>
      <c r="J55" s="1914">
        <f ca="1">ROUND(IF(J47="钢混",J57/J50,1-(1-2%)*(J50-J57)/J50),3)</f>
        <v>8.3000000000000004E-2</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124009032</v>
      </c>
      <c r="D56" s="1917"/>
      <c r="E56" s="1918"/>
      <c r="F56" s="1910"/>
      <c r="I56" s="1919" t="s">
        <v>1554</v>
      </c>
      <c r="J56" s="1920" t="s">
        <v>3076</v>
      </c>
      <c r="K56" s="1890" t="s">
        <v>1555</v>
      </c>
      <c r="L56" s="1893" t="str">
        <f ca="1">IF(L48&lt;J51,"——",L48-J51)</f>
        <v>——</v>
      </c>
      <c r="O56" s="1887" t="s">
        <v>1040</v>
      </c>
      <c r="P56" s="1888" t="s">
        <v>1528</v>
      </c>
      <c r="Q56" s="1889">
        <f ca="1">C40+J29</f>
        <v>481015934</v>
      </c>
      <c r="R56" s="1889" t="s">
        <v>1529</v>
      </c>
    </row>
    <row r="57" spans="1:18" s="1845" customFormat="1" ht="24.75" thickBot="1">
      <c r="A57" s="1921"/>
      <c r="B57" s="1172" t="s">
        <v>1478</v>
      </c>
      <c r="C57" s="282">
        <f ca="1">C29</f>
        <v>145892979</v>
      </c>
      <c r="D57" s="1922"/>
      <c r="E57" s="1923"/>
      <c r="F57" s="1924"/>
      <c r="I57" s="1925" t="s">
        <v>1556</v>
      </c>
      <c r="J57" s="1926">
        <f ca="1">IF(OR(M47="住宅",J51&lt;L48,J56="是"),"——",J51-L48)</f>
        <v>3.2199999999999989</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16165178</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12269836</v>
      </c>
      <c r="D59" s="1185" t="s">
        <v>1430</v>
      </c>
      <c r="E59" s="1186" t="s">
        <v>1431</v>
      </c>
      <c r="F59" s="368" t="str">
        <f ca="1">IF(项目基本情况!B11="企业","",IF(INDIRECT("'数据-取费表'!c"&amp;$G$1)="住宅",5%,IF(F49*F50*F51/12/(1+'数据-取费表'!C42)&gt;20000,12%,7%)))</f>
        <v/>
      </c>
      <c r="I59" s="1925" t="s">
        <v>1563</v>
      </c>
      <c r="J59" s="1926">
        <f ca="1">IF(OR(M47="住宅",J51&lt;L48,J56="是"),"——",ROUND(C29*J58,0))</f>
        <v>58357192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2913405</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12255010</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14826</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481015934</v>
      </c>
      <c r="R62" s="1889" t="s">
        <v>1047</v>
      </c>
    </row>
    <row r="63" spans="1:18" s="1845" customFormat="1" ht="13.5" thickBot="1">
      <c r="A63" s="372"/>
      <c r="B63" s="1178"/>
      <c r="C63" s="29"/>
      <c r="D63" s="1188"/>
      <c r="E63" s="1172" t="s">
        <v>1447</v>
      </c>
      <c r="F63" s="348">
        <f t="shared" ca="1" si="0"/>
        <v>9883.9500000000007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3647324</v>
      </c>
      <c r="D64" s="1186" t="s">
        <v>1482</v>
      </c>
      <c r="E64" s="1172" t="s">
        <v>1422</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248018</v>
      </c>
      <c r="D65" s="1186" t="s">
        <v>1454</v>
      </c>
      <c r="E65" s="1172" t="s">
        <v>1422</v>
      </c>
      <c r="F65" s="376">
        <f t="shared" ca="1" si="0"/>
        <v>2E-3</v>
      </c>
      <c r="I65" s="1932" t="s">
        <v>1579</v>
      </c>
      <c r="J65" s="1933">
        <v>40</v>
      </c>
      <c r="K65" s="1933">
        <v>30</v>
      </c>
      <c r="L65" s="1933">
        <v>50</v>
      </c>
      <c r="M65" s="1935">
        <v>0.02</v>
      </c>
      <c r="O65" s="1887" t="s">
        <v>1040</v>
      </c>
      <c r="P65" s="1888" t="s">
        <v>1528</v>
      </c>
      <c r="Q65" s="1889">
        <f ca="1">C40+J29</f>
        <v>481015934</v>
      </c>
      <c r="R65" s="1889" t="s">
        <v>1529</v>
      </c>
    </row>
    <row r="66" spans="1:18" s="1845" customFormat="1" ht="16.5" thickBot="1">
      <c r="A66" s="1204" t="s">
        <v>1504</v>
      </c>
      <c r="B66" s="1172" t="s">
        <v>1439</v>
      </c>
      <c r="C66" s="24">
        <f ca="1">ROUND(C48*F66,0)</f>
        <v>0</v>
      </c>
      <c r="D66" s="1186" t="s">
        <v>1459</v>
      </c>
      <c r="E66" s="1172" t="s">
        <v>1422</v>
      </c>
      <c r="F66" s="357">
        <f t="shared" ca="1" si="0"/>
        <v>2.5000000000000001E-2</v>
      </c>
      <c r="O66" s="1887" t="s">
        <v>1041</v>
      </c>
      <c r="P66" s="1888" t="s">
        <v>1558</v>
      </c>
      <c r="Q66" s="1889">
        <f ca="1">L60</f>
        <v>0</v>
      </c>
      <c r="R66" s="1889" t="s">
        <v>1581</v>
      </c>
    </row>
    <row r="67" spans="1:18" s="1845" customFormat="1" ht="16.5" thickBot="1">
      <c r="A67" s="1179" t="s">
        <v>1031</v>
      </c>
      <c r="B67" s="1189" t="s">
        <v>1463</v>
      </c>
      <c r="C67" s="361">
        <f ca="1">C48-C58</f>
        <v>-16165178</v>
      </c>
      <c r="D67" s="1185" t="s">
        <v>1464</v>
      </c>
      <c r="E67" s="1190"/>
      <c r="F67" s="1191"/>
      <c r="O67" s="1897" t="s">
        <v>1042</v>
      </c>
      <c r="P67" s="1888" t="s">
        <v>1562</v>
      </c>
      <c r="Q67" s="1936">
        <f ca="1">L51</f>
        <v>280880319</v>
      </c>
      <c r="R67" s="1889" t="s">
        <v>1582</v>
      </c>
    </row>
    <row r="68" spans="1:18" s="1845" customFormat="1" ht="16.5" thickBot="1">
      <c r="A68" s="1169" t="s">
        <v>1032</v>
      </c>
      <c r="B68" s="1170" t="s">
        <v>1485</v>
      </c>
      <c r="C68" s="346">
        <f ca="1">ROUND(C67*(1-((1+F70)/(1+F68))^F69)/(F68-F70),0)</f>
        <v>-280350190</v>
      </c>
      <c r="D68" s="1187" t="s">
        <v>1469</v>
      </c>
      <c r="E68" s="1172" t="s">
        <v>1470</v>
      </c>
      <c r="F68" s="357">
        <f ca="1">F40</f>
        <v>5.5E-2</v>
      </c>
      <c r="O68" s="1897" t="s">
        <v>1043</v>
      </c>
      <c r="P68" s="1937" t="s">
        <v>1583</v>
      </c>
      <c r="Q68" s="1889">
        <f ca="1">ROUND(Q69-Q70*Q71,0)</f>
        <v>17194930</v>
      </c>
      <c r="R68" s="1889" t="s">
        <v>1051</v>
      </c>
    </row>
    <row r="69" spans="1:18" s="1845" customFormat="1" ht="13.5" thickBot="1">
      <c r="A69" s="1173"/>
      <c r="B69" s="1174"/>
      <c r="C69" s="351"/>
      <c r="D69" s="1192" t="s">
        <v>1473</v>
      </c>
      <c r="E69" s="1172" t="s">
        <v>1474</v>
      </c>
      <c r="F69" s="379">
        <f ca="1">F41</f>
        <v>34.78</v>
      </c>
      <c r="O69" s="1897" t="s">
        <v>1048</v>
      </c>
      <c r="P69" s="1937" t="s">
        <v>1584</v>
      </c>
      <c r="Q69" s="1889">
        <f ca="1">C39</f>
        <v>27735698</v>
      </c>
      <c r="R69" s="1889" t="s">
        <v>1529</v>
      </c>
    </row>
    <row r="70" spans="1:18" s="1845" customFormat="1" ht="13.5" thickBot="1">
      <c r="A70" s="1176"/>
      <c r="B70" s="1177"/>
      <c r="C70" s="355"/>
      <c r="D70" s="1188"/>
      <c r="E70" s="1172" t="s">
        <v>1477</v>
      </c>
      <c r="F70" s="1278">
        <f ca="1">F42</f>
        <v>0.01</v>
      </c>
      <c r="O70" s="1897" t="s">
        <v>1049</v>
      </c>
      <c r="P70" s="1937" t="s">
        <v>1585</v>
      </c>
      <c r="Q70" s="1889">
        <f ca="1">C13</f>
        <v>124009032</v>
      </c>
      <c r="R70" s="1889" t="s">
        <v>1529</v>
      </c>
    </row>
    <row r="71" spans="1:18" s="1845" customFormat="1" ht="13.5" thickBot="1">
      <c r="A71" s="1193" t="s">
        <v>1033</v>
      </c>
      <c r="B71" s="1194" t="s">
        <v>1487</v>
      </c>
      <c r="C71" s="382">
        <f ca="1">ROUND(C68/F71,0)</f>
        <v>-26505</v>
      </c>
      <c r="D71" s="1195" t="s">
        <v>1488</v>
      </c>
      <c r="E71" s="1196" t="s">
        <v>1489</v>
      </c>
      <c r="F71" s="385">
        <f ca="1">F43</f>
        <v>10577.23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10540768</v>
      </c>
      <c r="D75" s="1845"/>
      <c r="E75" s="1845"/>
      <c r="F75" s="1845"/>
      <c r="K75" s="1871"/>
      <c r="L75" s="1845"/>
      <c r="O75" s="1887" t="s">
        <v>1046</v>
      </c>
      <c r="P75" s="1888" t="s">
        <v>1549</v>
      </c>
      <c r="Q75" s="1889">
        <f ca="1">Q65+Q66</f>
        <v>481015934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v>
      </c>
    </row>
    <row r="80" spans="1:18">
      <c r="B80" s="386" t="s">
        <v>1511</v>
      </c>
      <c r="C80" s="318">
        <f ca="1">ROUND(C75/C39,3)</f>
        <v>0.38</v>
      </c>
    </row>
    <row r="81" spans="2:3">
      <c r="B81" s="314" t="s">
        <v>1512</v>
      </c>
      <c r="C81" s="282"/>
    </row>
    <row r="82" spans="2:3">
      <c r="B82" s="317" t="s">
        <v>1513</v>
      </c>
      <c r="C82" s="319">
        <f ca="1">1-C83</f>
        <v>0.74199999999999999</v>
      </c>
    </row>
    <row r="83" spans="2:3">
      <c r="B83" s="317" t="s">
        <v>1514</v>
      </c>
      <c r="C83" s="318">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59" t="s">
        <v>2519</v>
      </c>
      <c r="B1" s="2560"/>
      <c r="C1" s="2560"/>
      <c r="D1" s="2560"/>
      <c r="E1" s="2561"/>
    </row>
    <row r="2" spans="1:6" ht="15.75">
      <c r="A2" s="2562" t="s">
        <v>2320</v>
      </c>
      <c r="B2" s="2563">
        <f ca="1">SUMIF(B6:B13,"&lt;&gt;#ref!",B6:B13)</f>
        <v>59698</v>
      </c>
      <c r="C2" s="2564" t="s">
        <v>2512</v>
      </c>
      <c r="D2" s="2565" t="s">
        <v>2513</v>
      </c>
      <c r="E2" s="2566">
        <f>SUM(E6:E13)</f>
        <v>21402.85</v>
      </c>
    </row>
    <row r="3" spans="1:6" ht="15.75">
      <c r="A3" s="2562" t="s">
        <v>1395</v>
      </c>
      <c r="B3" s="2563">
        <f ca="1">ROUND(B2*10000/E2,0)</f>
        <v>27893</v>
      </c>
      <c r="C3" s="2564" t="s">
        <v>2520</v>
      </c>
      <c r="D3" s="2567"/>
      <c r="E3" s="2568"/>
    </row>
    <row r="4" spans="1:6" ht="15.75">
      <c r="A4" s="2569"/>
      <c r="B4" s="2567"/>
      <c r="C4" s="2567"/>
      <c r="D4" s="2567"/>
      <c r="E4" s="2568"/>
    </row>
    <row r="5" spans="1:6" ht="15">
      <c r="A5" s="2570" t="s">
        <v>2514</v>
      </c>
      <c r="B5" s="3207" t="s">
        <v>2515</v>
      </c>
      <c r="C5" s="3207"/>
      <c r="D5" s="2571"/>
      <c r="E5" s="2572" t="s">
        <v>2516</v>
      </c>
      <c r="F5" s="2573" t="s">
        <v>2517</v>
      </c>
    </row>
    <row r="6" spans="1:6">
      <c r="A6" s="2574" t="str">
        <f>'数据-取费表'!AN6</f>
        <v>收益法（办公）</v>
      </c>
      <c r="B6" s="2573">
        <f ca="1">IF(F6="是",'数据-取费表'!AO6,0)</f>
        <v>6861</v>
      </c>
      <c r="C6" s="2564" t="s">
        <v>2512</v>
      </c>
      <c r="D6" s="2567"/>
      <c r="E6" s="2575">
        <f>IF(OR(A6=0,F6="否"),0,'数据-取费表'!K6+'数据-取费表'!S6)</f>
        <v>4081.21</v>
      </c>
      <c r="F6" s="2576" t="s">
        <v>2518</v>
      </c>
    </row>
    <row r="7" spans="1:6">
      <c r="A7" s="2574" t="str">
        <f>'数据-取费表'!AN7</f>
        <v>收益法（厂房）</v>
      </c>
      <c r="B7" s="2573">
        <f ca="1">IF(F7="是",'数据-取费表'!AO7,0)</f>
        <v>4728</v>
      </c>
      <c r="C7" s="2564" t="s">
        <v>2512</v>
      </c>
      <c r="D7" s="2567"/>
      <c r="E7" s="2575">
        <f>IF(OR(A7=0,F7="否"),0,'数据-取费表'!K7+'数据-取费表'!S7)</f>
        <v>6744.41</v>
      </c>
      <c r="F7" s="2576" t="s">
        <v>2518</v>
      </c>
    </row>
    <row r="8" spans="1:6">
      <c r="A8" s="2574" t="str">
        <f>'数据-取费表'!AN8</f>
        <v>收益法（数据）</v>
      </c>
      <c r="B8" s="2573">
        <f ca="1">IF(F8="是",'数据-取费表'!AO8,0)</f>
        <v>48109</v>
      </c>
      <c r="C8" s="2564" t="s">
        <v>2512</v>
      </c>
      <c r="D8" s="2567"/>
      <c r="E8" s="2575">
        <f>IF(OR(A8=0,F8="否"),0,'数据-取费表'!K8+'数据-取费表'!S8)</f>
        <v>10577.23</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7"/>
      <c r="C21" s="3217"/>
      <c r="D21" s="3217"/>
      <c r="E21" s="3217"/>
      <c r="F21" s="3217"/>
      <c r="G21" s="3217"/>
      <c r="H21" s="1768">
        <v>0.1</v>
      </c>
      <c r="I21" s="1313">
        <f>ROUND(I10*H21,0)</f>
        <v>0</v>
      </c>
    </row>
    <row r="22" spans="1:9" ht="14.25">
      <c r="A22" s="3218" t="s">
        <v>1110</v>
      </c>
      <c r="B22" s="3219"/>
      <c r="C22" s="3220"/>
      <c r="D22" s="1320" t="s">
        <v>1111</v>
      </c>
      <c r="E22" s="1320" t="s">
        <v>1112</v>
      </c>
      <c r="F22" s="1321" t="s">
        <v>1113</v>
      </c>
      <c r="G22" s="1321" t="s">
        <v>1114</v>
      </c>
      <c r="H22" s="1314" t="s">
        <v>1115</v>
      </c>
      <c r="I22" s="1305" t="s">
        <v>1116</v>
      </c>
    </row>
    <row r="23" spans="1:9" ht="14.25" thickBot="1">
      <c r="A23" s="3221"/>
      <c r="B23" s="3222"/>
      <c r="C23" s="3223"/>
      <c r="D23" s="1322"/>
      <c r="E23" s="1322"/>
      <c r="F23" s="1322"/>
      <c r="G23" s="1323"/>
      <c r="H23" s="1324"/>
      <c r="I23" s="1325">
        <f>ROUND(E23*D23*F23*(1-G23)/10000,0)</f>
        <v>0</v>
      </c>
    </row>
    <row r="26" spans="1:9">
      <c r="A26" s="1326" t="s">
        <v>1117</v>
      </c>
      <c r="B26" s="1326"/>
      <c r="C26" s="1326"/>
      <c r="D26" s="1326"/>
      <c r="E26" s="3211">
        <f>C27-C30-C31-C32</f>
        <v>0</v>
      </c>
      <c r="F26" s="3211"/>
      <c r="G26" s="3211"/>
      <c r="H26" s="1740" t="s">
        <v>1340</v>
      </c>
    </row>
    <row r="27" spans="1:9">
      <c r="A27" s="1327">
        <v>1</v>
      </c>
      <c r="B27" s="1328" t="s">
        <v>1118</v>
      </c>
      <c r="C27" s="1328">
        <f>C28+C29</f>
        <v>0</v>
      </c>
      <c r="D27" s="1328"/>
      <c r="E27" s="3212"/>
      <c r="F27" s="3212"/>
      <c r="G27" s="3212"/>
    </row>
    <row r="28" spans="1:9">
      <c r="A28" s="1329" t="s">
        <v>1119</v>
      </c>
      <c r="B28" s="1328" t="s">
        <v>1120</v>
      </c>
      <c r="C28" s="1328"/>
      <c r="D28" s="1328"/>
      <c r="E28" s="3212"/>
      <c r="F28" s="3212"/>
      <c r="G28" s="32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3"/>
      <c r="F32" s="3213"/>
      <c r="G32" s="3213"/>
    </row>
    <row r="33" spans="1:7" hidden="1">
      <c r="A33" s="3208" t="s">
        <v>1129</v>
      </c>
      <c r="B33" s="3209"/>
      <c r="C33" s="3209"/>
      <c r="D33" s="3210"/>
      <c r="E33" s="3211"/>
      <c r="F33" s="3211"/>
      <c r="G33" s="3211"/>
    </row>
    <row r="34" spans="1:7" hidden="1">
      <c r="A34" s="1331">
        <v>1</v>
      </c>
      <c r="B34" s="1328" t="s">
        <v>1130</v>
      </c>
      <c r="C34" s="1328"/>
      <c r="D34" s="1328"/>
      <c r="E34" s="3212"/>
      <c r="F34" s="3212"/>
      <c r="G34" s="3212"/>
    </row>
    <row r="35" spans="1:7" hidden="1">
      <c r="A35" s="1331">
        <v>2</v>
      </c>
      <c r="B35" s="1328" t="s">
        <v>1131</v>
      </c>
      <c r="C35" s="1328"/>
      <c r="D35" s="1328"/>
      <c r="E35" s="3212"/>
      <c r="F35" s="3212"/>
      <c r="G35" s="3212"/>
    </row>
    <row r="36" spans="1:7" hidden="1">
      <c r="A36" s="1331">
        <v>3</v>
      </c>
      <c r="B36" s="1328" t="s">
        <v>1132</v>
      </c>
      <c r="C36" s="1328"/>
      <c r="D36" s="1328"/>
      <c r="E36" s="3212"/>
      <c r="F36" s="3212"/>
      <c r="G36" s="3212"/>
    </row>
    <row r="37" spans="1:7" hidden="1">
      <c r="A37" s="1331">
        <v>4</v>
      </c>
      <c r="B37" s="1328" t="s">
        <v>1133</v>
      </c>
      <c r="C37" s="1328"/>
      <c r="D37" s="1328"/>
      <c r="E37" s="3212"/>
      <c r="F37" s="3212"/>
      <c r="G37" s="3212"/>
    </row>
    <row r="38" spans="1:7" hidden="1">
      <c r="A38" s="3208" t="s">
        <v>1134</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0" t="s">
        <v>2522</v>
      </c>
      <c r="C1" s="1637" t="s">
        <v>2523</v>
      </c>
      <c r="D1" s="1624"/>
      <c r="E1" s="2581"/>
      <c r="F1" s="2582" t="s">
        <v>2524</v>
      </c>
      <c r="G1" s="1634" t="s">
        <v>2525</v>
      </c>
      <c r="H1" s="1633"/>
      <c r="I1" s="1633"/>
      <c r="J1" s="1633"/>
      <c r="K1" s="1635"/>
      <c r="L1" s="1636"/>
      <c r="M1" s="1637"/>
      <c r="N1" s="1637"/>
      <c r="O1" s="1637"/>
      <c r="P1" s="2583"/>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4"/>
      <c r="D2" s="1368" t="e">
        <f ca="1">SUMIF(INDIRECT("'"&amp;F2&amp;"'"&amp;"!A:A"),"承租人权益价值",INDIRECT("'"&amp;F2&amp;"'"&amp;"!c:c"))</f>
        <v>#REF!</v>
      </c>
      <c r="E2" s="2585" t="s">
        <v>2526</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2527</v>
      </c>
      <c r="D3" s="399">
        <f>IF(D1="",'数据-汇总表'!E3,SUMIF('数据-汇总表'!$C19:$C33,D1,'数据-汇总表'!$E19:$E33))</f>
        <v>21402.85</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2528</v>
      </c>
      <c r="B4" s="402"/>
      <c r="C4" s="3247" t="s">
        <v>2529</v>
      </c>
      <c r="D4" s="3248"/>
      <c r="E4" s="3249" t="s">
        <v>2530</v>
      </c>
      <c r="F4" s="3250"/>
      <c r="G4" s="3247" t="s">
        <v>2531</v>
      </c>
      <c r="H4" s="3248"/>
      <c r="I4" s="3247" t="s">
        <v>2532</v>
      </c>
      <c r="J4" s="3248"/>
      <c r="K4" s="2594" t="s">
        <v>2533</v>
      </c>
      <c r="L4" s="1133"/>
      <c r="M4" s="1134"/>
      <c r="N4" s="1134"/>
      <c r="O4" s="1134"/>
      <c r="P4" s="3251" t="s">
        <v>2534</v>
      </c>
      <c r="Q4" s="3252"/>
      <c r="R4" s="3257" t="s">
        <v>2530</v>
      </c>
      <c r="S4" s="3258"/>
      <c r="T4" s="3257" t="s">
        <v>2531</v>
      </c>
      <c r="U4" s="3258"/>
      <c r="V4" s="3263" t="s">
        <v>2532</v>
      </c>
      <c r="W4" s="3263"/>
      <c r="X4" s="1816"/>
      <c r="Y4" s="3257" t="s">
        <v>2534</v>
      </c>
      <c r="Z4" s="3258"/>
      <c r="AA4" s="3244" t="s">
        <v>2530</v>
      </c>
      <c r="AB4" s="3244" t="s">
        <v>2531</v>
      </c>
      <c r="AC4" s="3244" t="s">
        <v>2532</v>
      </c>
    </row>
    <row r="5" spans="1:29" ht="15">
      <c r="A5" s="404"/>
      <c r="B5" s="405"/>
      <c r="C5" s="3266" t="s">
        <v>2535</v>
      </c>
      <c r="D5" s="3267"/>
      <c r="E5" s="3273" t="s">
        <v>2536</v>
      </c>
      <c r="F5" s="3274"/>
      <c r="G5" s="3266" t="s">
        <v>2537</v>
      </c>
      <c r="H5" s="3267"/>
      <c r="I5" s="3266" t="s">
        <v>2538</v>
      </c>
      <c r="J5" s="3267"/>
      <c r="K5" s="2595"/>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2539</v>
      </c>
      <c r="D6" s="3265"/>
      <c r="E6" s="3271" t="s">
        <v>2539</v>
      </c>
      <c r="F6" s="3272"/>
      <c r="G6" s="3264" t="s">
        <v>2539</v>
      </c>
      <c r="H6" s="3265"/>
      <c r="I6" s="3264" t="s">
        <v>2539</v>
      </c>
      <c r="J6" s="3265"/>
      <c r="K6" s="2595" t="s">
        <v>2540</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2541</v>
      </c>
      <c r="B7" s="409"/>
      <c r="C7" s="410">
        <f>'数据-取费表'!B2</f>
        <v>43294</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268" t="s">
        <v>2542</v>
      </c>
      <c r="Q7" s="3270"/>
      <c r="R7" s="770" t="s">
        <v>23</v>
      </c>
      <c r="S7" s="771">
        <f t="shared" ref="S7:S15" si="0">F7</f>
        <v>0</v>
      </c>
      <c r="T7" s="770" t="s">
        <v>23</v>
      </c>
      <c r="U7" s="771">
        <f t="shared" ref="U7:U15" si="1">H7</f>
        <v>0</v>
      </c>
      <c r="V7" s="770" t="s">
        <v>23</v>
      </c>
      <c r="W7" s="771">
        <f t="shared" ref="W7:W15" si="2">J7</f>
        <v>0</v>
      </c>
      <c r="X7" s="772"/>
      <c r="Y7" s="3268" t="s">
        <v>2542</v>
      </c>
      <c r="Z7" s="3269"/>
      <c r="AA7" s="773" t="e">
        <f>D7/F7</f>
        <v>#DIV/0!</v>
      </c>
      <c r="AB7" s="773" t="e">
        <f>D7/H7</f>
        <v>#DIV/0!</v>
      </c>
      <c r="AC7" s="773" t="e">
        <f>D7/J7</f>
        <v>#DIV/0!</v>
      </c>
    </row>
    <row r="8" spans="1:29" s="117" customFormat="1" ht="15.75" thickBot="1">
      <c r="A8" s="408" t="s">
        <v>2543</v>
      </c>
      <c r="B8" s="409"/>
      <c r="C8" s="414" t="s">
        <v>2544</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268" t="s">
        <v>2545</v>
      </c>
      <c r="Q8" s="3269"/>
      <c r="R8" s="770" t="s">
        <v>23</v>
      </c>
      <c r="S8" s="771">
        <f t="shared" si="0"/>
        <v>0</v>
      </c>
      <c r="T8" s="770" t="s">
        <v>23</v>
      </c>
      <c r="U8" s="771">
        <f t="shared" si="1"/>
        <v>0</v>
      </c>
      <c r="V8" s="770" t="s">
        <v>23</v>
      </c>
      <c r="W8" s="771">
        <f t="shared" si="2"/>
        <v>0</v>
      </c>
      <c r="X8" s="772"/>
      <c r="Y8" s="3268" t="s">
        <v>2545</v>
      </c>
      <c r="Z8" s="326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243"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3"/>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43"/>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43"/>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43"/>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2552</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2553</v>
      </c>
      <c r="Q15" s="1813" t="str">
        <f t="shared" si="6"/>
        <v>居住社区成熟度</v>
      </c>
      <c r="R15" s="774" t="s">
        <v>21</v>
      </c>
      <c r="S15" s="775">
        <f t="shared" si="0"/>
        <v>100</v>
      </c>
      <c r="T15" s="774" t="s">
        <v>21</v>
      </c>
      <c r="U15" s="775">
        <f t="shared" si="1"/>
        <v>100</v>
      </c>
      <c r="V15" s="774" t="s">
        <v>21</v>
      </c>
      <c r="W15" s="775">
        <f t="shared" si="2"/>
        <v>100</v>
      </c>
      <c r="X15" s="1816"/>
      <c r="Y15" s="3234" t="s">
        <v>2553</v>
      </c>
      <c r="Z15" s="1817" t="str">
        <f t="shared" si="7"/>
        <v>居住社区成熟度</v>
      </c>
      <c r="AA15" s="1814">
        <f t="shared" si="3"/>
        <v>1</v>
      </c>
      <c r="AB15" s="1814">
        <f t="shared" si="4"/>
        <v>1</v>
      </c>
      <c r="AC15" s="1814">
        <f t="shared" si="5"/>
        <v>1</v>
      </c>
    </row>
    <row r="16" spans="1:29" ht="15">
      <c r="A16" s="428"/>
      <c r="B16" s="446"/>
      <c r="C16" s="447"/>
      <c r="D16" s="448"/>
      <c r="E16" s="2602"/>
      <c r="F16" s="448"/>
      <c r="G16" s="2603"/>
      <c r="H16" s="450"/>
      <c r="I16" s="2603"/>
      <c r="J16" s="448"/>
      <c r="K16" s="2604"/>
      <c r="L16" s="1143"/>
      <c r="M16" s="1134"/>
      <c r="N16" s="1134"/>
      <c r="O16" s="1134"/>
      <c r="P16" s="3242"/>
      <c r="Q16" s="1813"/>
      <c r="R16" s="774"/>
      <c r="S16" s="775"/>
      <c r="T16" s="774"/>
      <c r="U16" s="775"/>
      <c r="V16" s="774"/>
      <c r="W16" s="775"/>
      <c r="X16" s="1816"/>
      <c r="Y16" s="3235"/>
      <c r="Z16" s="1817"/>
      <c r="AA16" s="1814">
        <v>1</v>
      </c>
      <c r="AB16" s="1814">
        <v>1</v>
      </c>
      <c r="AC16" s="1814">
        <v>1</v>
      </c>
    </row>
    <row r="17" spans="1:29" ht="85.5">
      <c r="A17" s="428"/>
      <c r="B17" s="451" t="s">
        <v>2093</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3" t="str">
        <f>B17</f>
        <v>交通便捷度</v>
      </c>
      <c r="R17" s="774" t="s">
        <v>21</v>
      </c>
      <c r="S17" s="775">
        <f>F17</f>
        <v>100</v>
      </c>
      <c r="T17" s="774" t="s">
        <v>21</v>
      </c>
      <c r="U17" s="775">
        <f>H17</f>
        <v>100</v>
      </c>
      <c r="V17" s="774" t="s">
        <v>21</v>
      </c>
      <c r="W17" s="775">
        <f>J17</f>
        <v>100</v>
      </c>
      <c r="X17" s="1816"/>
      <c r="Y17" s="3235"/>
      <c r="Z17" s="1817" t="str">
        <f>Q17</f>
        <v>交通便捷度</v>
      </c>
      <c r="AA17" s="1814">
        <f t="shared" si="3"/>
        <v>1</v>
      </c>
      <c r="AB17" s="1814">
        <f t="shared" si="4"/>
        <v>1</v>
      </c>
      <c r="AC17" s="1814">
        <f t="shared" si="5"/>
        <v>1</v>
      </c>
    </row>
    <row r="18" spans="1:29" ht="15">
      <c r="A18" s="428"/>
      <c r="B18" s="456"/>
      <c r="C18" s="2606"/>
      <c r="D18" s="450"/>
      <c r="E18" s="2607"/>
      <c r="F18" s="450"/>
      <c r="G18" s="2608"/>
      <c r="H18" s="448"/>
      <c r="I18" s="2608"/>
      <c r="J18" s="448"/>
      <c r="K18" s="2604"/>
      <c r="L18" s="1143"/>
      <c r="M18" s="1134"/>
      <c r="N18" s="1134"/>
      <c r="O18" s="1134"/>
      <c r="P18" s="3242"/>
      <c r="Q18" s="1813"/>
      <c r="R18" s="774"/>
      <c r="S18" s="775"/>
      <c r="T18" s="774"/>
      <c r="U18" s="775"/>
      <c r="V18" s="774"/>
      <c r="W18" s="775"/>
      <c r="X18" s="1816"/>
      <c r="Y18" s="3235"/>
      <c r="Z18" s="1817"/>
      <c r="AA18" s="1814">
        <v>1</v>
      </c>
      <c r="AB18" s="1814">
        <v>1</v>
      </c>
      <c r="AC18" s="1814">
        <v>1</v>
      </c>
    </row>
    <row r="19" spans="1:29" ht="42.75">
      <c r="A19" s="428"/>
      <c r="B19" s="451" t="s">
        <v>2091</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3" t="str">
        <f>B19</f>
        <v>公共配套设施</v>
      </c>
      <c r="R19" s="774" t="s">
        <v>21</v>
      </c>
      <c r="S19" s="775">
        <f>F19</f>
        <v>100</v>
      </c>
      <c r="T19" s="774" t="s">
        <v>21</v>
      </c>
      <c r="U19" s="775">
        <f>H19</f>
        <v>100</v>
      </c>
      <c r="V19" s="774" t="s">
        <v>21</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2"/>
      <c r="F20" s="448"/>
      <c r="G20" s="2603"/>
      <c r="H20" s="448"/>
      <c r="I20" s="2603"/>
      <c r="J20" s="448"/>
      <c r="K20" s="2604"/>
      <c r="L20" s="1143"/>
      <c r="M20" s="1134"/>
      <c r="N20" s="1134"/>
      <c r="O20" s="1134"/>
      <c r="P20" s="3242"/>
      <c r="Q20" s="1813"/>
      <c r="R20" s="774"/>
      <c r="S20" s="775"/>
      <c r="T20" s="774"/>
      <c r="U20" s="775"/>
      <c r="V20" s="774"/>
      <c r="W20" s="775"/>
      <c r="X20" s="1816"/>
      <c r="Y20" s="3235"/>
      <c r="Z20" s="1817"/>
      <c r="AA20" s="1814">
        <v>1</v>
      </c>
      <c r="AB20" s="1814">
        <v>1</v>
      </c>
      <c r="AC20" s="1814">
        <v>1</v>
      </c>
    </row>
    <row r="21" spans="1:29" ht="28.5">
      <c r="A21" s="428"/>
      <c r="B21" s="1387" t="s">
        <v>2094</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6"/>
      <c r="D22" s="448"/>
      <c r="E22" s="447"/>
      <c r="F22" s="448"/>
      <c r="G22" s="2609"/>
      <c r="H22" s="448"/>
      <c r="I22" s="447"/>
      <c r="J22" s="448"/>
      <c r="K22" s="2610"/>
      <c r="L22" s="1143"/>
      <c r="M22" s="1134"/>
      <c r="N22" s="1134"/>
      <c r="O22" s="1134"/>
      <c r="P22" s="3242"/>
      <c r="Q22" s="1813"/>
      <c r="R22" s="774"/>
      <c r="S22" s="775"/>
      <c r="T22" s="774"/>
      <c r="U22" s="775"/>
      <c r="V22" s="774"/>
      <c r="W22" s="775"/>
      <c r="X22" s="1816"/>
      <c r="Y22" s="3235"/>
      <c r="Z22" s="1817"/>
      <c r="AA22" s="1814">
        <v>1</v>
      </c>
      <c r="AB22" s="1814">
        <v>1</v>
      </c>
      <c r="AC22" s="1814">
        <v>1</v>
      </c>
    </row>
    <row r="23" spans="1:29" ht="57">
      <c r="A23" s="428"/>
      <c r="B23" s="451" t="s">
        <v>2097</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3" t="str">
        <f>B23</f>
        <v>自然及人文环境</v>
      </c>
      <c r="R23" s="774" t="s">
        <v>21</v>
      </c>
      <c r="S23" s="775">
        <f>F23</f>
        <v>100</v>
      </c>
      <c r="T23" s="774" t="s">
        <v>21</v>
      </c>
      <c r="U23" s="775">
        <f>H23</f>
        <v>100</v>
      </c>
      <c r="V23" s="774" t="s">
        <v>21</v>
      </c>
      <c r="W23" s="775">
        <f>J23</f>
        <v>100</v>
      </c>
      <c r="X23" s="1816"/>
      <c r="Y23" s="3235"/>
      <c r="Z23" s="1817" t="str">
        <f>Q23</f>
        <v>自然及人文环境</v>
      </c>
      <c r="AA23" s="1814">
        <f>D23/F23</f>
        <v>1</v>
      </c>
      <c r="AB23" s="1814">
        <f>D23/H23</f>
        <v>1</v>
      </c>
      <c r="AC23" s="1814">
        <f>D23/J23</f>
        <v>1</v>
      </c>
    </row>
    <row r="24" spans="1:29" ht="15">
      <c r="A24" s="428"/>
      <c r="B24" s="456"/>
      <c r="C24" s="447"/>
      <c r="D24" s="448"/>
      <c r="E24" s="2602"/>
      <c r="F24" s="448"/>
      <c r="G24" s="2603"/>
      <c r="H24" s="448"/>
      <c r="I24" s="2603"/>
      <c r="J24" s="448"/>
      <c r="K24" s="2604"/>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2554</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4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5"/>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42"/>
      <c r="Q26" s="1813" t="str">
        <f t="shared" si="11"/>
        <v>朝向</v>
      </c>
      <c r="R26" s="774" t="s">
        <v>21</v>
      </c>
      <c r="S26" s="775">
        <f t="shared" si="12"/>
        <v>100</v>
      </c>
      <c r="T26" s="774" t="s">
        <v>21</v>
      </c>
      <c r="U26" s="775">
        <f t="shared" si="13"/>
        <v>100</v>
      </c>
      <c r="V26" s="774" t="s">
        <v>21</v>
      </c>
      <c r="W26" s="775">
        <f t="shared" si="14"/>
        <v>100</v>
      </c>
      <c r="X26" s="1816"/>
      <c r="Y26" s="323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42"/>
      <c r="Q27" s="1798">
        <f t="shared" si="11"/>
        <v>111</v>
      </c>
      <c r="R27" s="770" t="s">
        <v>21</v>
      </c>
      <c r="S27" s="771">
        <f t="shared" si="12"/>
        <v>100</v>
      </c>
      <c r="T27" s="770" t="s">
        <v>21</v>
      </c>
      <c r="U27" s="771">
        <f t="shared" si="13"/>
        <v>100</v>
      </c>
      <c r="V27" s="770" t="s">
        <v>21</v>
      </c>
      <c r="W27" s="771">
        <f t="shared" si="14"/>
        <v>100</v>
      </c>
      <c r="X27" s="772"/>
      <c r="Y27" s="323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42"/>
      <c r="Q28" s="1813">
        <f t="shared" si="11"/>
        <v>111</v>
      </c>
      <c r="R28" s="774" t="s">
        <v>21</v>
      </c>
      <c r="S28" s="775">
        <f t="shared" si="12"/>
        <v>100</v>
      </c>
      <c r="T28" s="774" t="s">
        <v>21</v>
      </c>
      <c r="U28" s="775">
        <f t="shared" si="13"/>
        <v>100</v>
      </c>
      <c r="V28" s="774" t="s">
        <v>21</v>
      </c>
      <c r="W28" s="775">
        <f t="shared" si="14"/>
        <v>100</v>
      </c>
      <c r="X28" s="1816"/>
      <c r="Y28" s="323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42"/>
      <c r="Q29" s="1813">
        <f t="shared" si="11"/>
        <v>111</v>
      </c>
      <c r="R29" s="774" t="s">
        <v>21</v>
      </c>
      <c r="S29" s="775">
        <f t="shared" si="12"/>
        <v>100</v>
      </c>
      <c r="T29" s="774" t="s">
        <v>21</v>
      </c>
      <c r="U29" s="775">
        <f t="shared" si="13"/>
        <v>100</v>
      </c>
      <c r="V29" s="774" t="s">
        <v>21</v>
      </c>
      <c r="W29" s="775">
        <f t="shared" si="14"/>
        <v>100</v>
      </c>
      <c r="X29" s="1816"/>
      <c r="Y29" s="323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42"/>
      <c r="Q30" s="1813">
        <f t="shared" si="11"/>
        <v>111</v>
      </c>
      <c r="R30" s="774" t="s">
        <v>21</v>
      </c>
      <c r="S30" s="775">
        <f t="shared" si="12"/>
        <v>100</v>
      </c>
      <c r="T30" s="774" t="s">
        <v>21</v>
      </c>
      <c r="U30" s="775">
        <f t="shared" si="13"/>
        <v>100</v>
      </c>
      <c r="V30" s="774" t="s">
        <v>21</v>
      </c>
      <c r="W30" s="775">
        <f t="shared" si="14"/>
        <v>100</v>
      </c>
      <c r="X30" s="1816"/>
      <c r="Y30" s="323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42"/>
      <c r="Q31" s="1813">
        <f t="shared" si="11"/>
        <v>111</v>
      </c>
      <c r="R31" s="774" t="s">
        <v>21</v>
      </c>
      <c r="S31" s="775">
        <f t="shared" si="12"/>
        <v>100</v>
      </c>
      <c r="T31" s="774" t="s">
        <v>21</v>
      </c>
      <c r="U31" s="775">
        <f t="shared" si="13"/>
        <v>100</v>
      </c>
      <c r="V31" s="774" t="s">
        <v>21</v>
      </c>
      <c r="W31" s="775">
        <f t="shared" si="14"/>
        <v>100</v>
      </c>
      <c r="X31" s="1816"/>
      <c r="Y31" s="3235"/>
      <c r="Z31" s="1817">
        <f t="shared" si="18"/>
        <v>111</v>
      </c>
      <c r="AA31" s="1814">
        <f t="shared" si="15"/>
        <v>1</v>
      </c>
      <c r="AB31" s="1814">
        <f t="shared" si="16"/>
        <v>1</v>
      </c>
      <c r="AC31" s="1814">
        <f t="shared" si="17"/>
        <v>1</v>
      </c>
    </row>
    <row r="32" spans="1:29" ht="15">
      <c r="A32" s="440" t="s">
        <v>2556</v>
      </c>
      <c r="B32" s="71" t="s">
        <v>2557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36" t="s">
        <v>2558</v>
      </c>
      <c r="Q32" s="1813" t="str">
        <f t="shared" si="11"/>
        <v>建筑类型</v>
      </c>
      <c r="R32" s="774" t="s">
        <v>21</v>
      </c>
      <c r="S32" s="775">
        <f t="shared" si="12"/>
        <v>100</v>
      </c>
      <c r="T32" s="774" t="s">
        <v>21</v>
      </c>
      <c r="U32" s="775">
        <f t="shared" si="13"/>
        <v>100</v>
      </c>
      <c r="V32" s="774" t="s">
        <v>21</v>
      </c>
      <c r="W32" s="775">
        <f t="shared" si="14"/>
        <v>100</v>
      </c>
      <c r="X32" s="1816"/>
      <c r="Y32" s="3239"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4" t="e">
        <f t="shared" si="15"/>
        <v>#N/A</v>
      </c>
      <c r="AB33" s="1814" t="e">
        <f t="shared" si="16"/>
        <v>#N/A</v>
      </c>
      <c r="AC33" s="1814" t="e">
        <f t="shared" si="17"/>
        <v>#N/A</v>
      </c>
    </row>
    <row r="34" spans="1:29" ht="15">
      <c r="A34" s="472"/>
      <c r="B34" s="422" t="s">
        <v>2560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37"/>
      <c r="Q34" s="1813" t="str">
        <f t="shared" si="11"/>
        <v>建筑结构</v>
      </c>
      <c r="R34" s="774" t="s">
        <v>21</v>
      </c>
      <c r="S34" s="775">
        <f t="shared" si="12"/>
        <v>100</v>
      </c>
      <c r="T34" s="774" t="s">
        <v>21</v>
      </c>
      <c r="U34" s="775">
        <f t="shared" si="13"/>
        <v>100</v>
      </c>
      <c r="V34" s="774" t="s">
        <v>21</v>
      </c>
      <c r="W34" s="775">
        <f t="shared" si="14"/>
        <v>100</v>
      </c>
      <c r="X34" s="1816"/>
      <c r="Y34" s="3239"/>
      <c r="Z34" s="1817" t="str">
        <f t="shared" si="18"/>
        <v>建筑结构</v>
      </c>
      <c r="AA34" s="1814">
        <f t="shared" si="15"/>
        <v>1</v>
      </c>
      <c r="AB34" s="1814">
        <f t="shared" si="16"/>
        <v>1</v>
      </c>
      <c r="AC34" s="1814">
        <f t="shared" si="17"/>
        <v>1</v>
      </c>
    </row>
    <row r="35" spans="1:29" ht="15">
      <c r="A35" s="472"/>
      <c r="B35" s="422" t="s">
        <v>2561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37"/>
      <c r="Q35" s="1813" t="str">
        <f t="shared" si="11"/>
        <v>建筑品质</v>
      </c>
      <c r="R35" s="774" t="s">
        <v>21</v>
      </c>
      <c r="S35" s="775">
        <f t="shared" si="12"/>
        <v>100</v>
      </c>
      <c r="T35" s="774" t="s">
        <v>21</v>
      </c>
      <c r="U35" s="775">
        <f t="shared" si="13"/>
        <v>100</v>
      </c>
      <c r="V35" s="774" t="s">
        <v>21</v>
      </c>
      <c r="W35" s="775">
        <f t="shared" si="14"/>
        <v>100</v>
      </c>
      <c r="X35" s="1816"/>
      <c r="Y35" s="3239"/>
      <c r="Z35" s="1817" t="str">
        <f t="shared" si="18"/>
        <v>建筑品质</v>
      </c>
      <c r="AA35" s="1814">
        <f t="shared" si="15"/>
        <v>1</v>
      </c>
      <c r="AB35" s="1814">
        <f t="shared" si="16"/>
        <v>1</v>
      </c>
      <c r="AC35" s="1814">
        <f t="shared" si="17"/>
        <v>1</v>
      </c>
    </row>
    <row r="36" spans="1:29" ht="15">
      <c r="A36" s="472"/>
      <c r="B36" s="422" t="s">
        <v>2562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37"/>
      <c r="Q36" s="1813" t="str">
        <f t="shared" si="11"/>
        <v>公共部分装修</v>
      </c>
      <c r="R36" s="774" t="s">
        <v>21</v>
      </c>
      <c r="S36" s="775">
        <f t="shared" si="12"/>
        <v>100</v>
      </c>
      <c r="T36" s="774" t="s">
        <v>21</v>
      </c>
      <c r="U36" s="775">
        <f t="shared" si="13"/>
        <v>100</v>
      </c>
      <c r="V36" s="774" t="s">
        <v>21</v>
      </c>
      <c r="W36" s="775">
        <f t="shared" si="14"/>
        <v>100</v>
      </c>
      <c r="X36" s="1816"/>
      <c r="Y36" s="3239"/>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8"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2564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37" t="s">
        <v>2558</v>
      </c>
      <c r="Q38" s="1813" t="str">
        <f t="shared" si="11"/>
        <v>物业管理</v>
      </c>
      <c r="R38" s="774" t="s">
        <v>21</v>
      </c>
      <c r="S38" s="775">
        <f t="shared" si="12"/>
        <v>100</v>
      </c>
      <c r="T38" s="774" t="s">
        <v>21</v>
      </c>
      <c r="U38" s="775">
        <f t="shared" si="13"/>
        <v>100</v>
      </c>
      <c r="V38" s="774" t="s">
        <v>21</v>
      </c>
      <c r="W38" s="775">
        <f t="shared" si="14"/>
        <v>100</v>
      </c>
      <c r="X38" s="1816"/>
      <c r="Y38" s="3239" t="s">
        <v>2558</v>
      </c>
      <c r="Z38" s="1817" t="str">
        <f t="shared" si="18"/>
        <v>物业管理</v>
      </c>
      <c r="AA38" s="1814">
        <f t="shared" si="15"/>
        <v>1</v>
      </c>
      <c r="AB38" s="1814">
        <f t="shared" si="16"/>
        <v>1</v>
      </c>
      <c r="AC38" s="1814">
        <f t="shared" si="17"/>
        <v>1</v>
      </c>
    </row>
    <row r="39" spans="1:29" ht="15">
      <c r="A39" s="472"/>
      <c r="B39" s="422" t="s">
        <v>2565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37"/>
      <c r="Q39" s="1813" t="str">
        <f t="shared" si="11"/>
        <v>市政基础设施</v>
      </c>
      <c r="R39" s="774" t="s">
        <v>21</v>
      </c>
      <c r="S39" s="775">
        <f t="shared" si="12"/>
        <v>100</v>
      </c>
      <c r="T39" s="774" t="s">
        <v>21</v>
      </c>
      <c r="U39" s="775">
        <f t="shared" si="13"/>
        <v>100</v>
      </c>
      <c r="V39" s="774" t="s">
        <v>21</v>
      </c>
      <c r="W39" s="775">
        <f t="shared" si="14"/>
        <v>100</v>
      </c>
      <c r="X39" s="1816"/>
      <c r="Y39" s="3239"/>
      <c r="Z39" s="1817" t="str">
        <f t="shared" si="18"/>
        <v>市政基础设施</v>
      </c>
      <c r="AA39" s="1814">
        <f t="shared" si="15"/>
        <v>1</v>
      </c>
      <c r="AB39" s="1814">
        <f t="shared" si="16"/>
        <v>1</v>
      </c>
      <c r="AC39" s="1814">
        <f t="shared" si="17"/>
        <v>1</v>
      </c>
    </row>
    <row r="40" spans="1:29" ht="15">
      <c r="A40" s="472"/>
      <c r="B40" s="422" t="s">
        <v>2566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37"/>
      <c r="Q40" s="1813" t="str">
        <f t="shared" si="11"/>
        <v>房型</v>
      </c>
      <c r="R40" s="774" t="s">
        <v>21</v>
      </c>
      <c r="S40" s="775">
        <f t="shared" si="12"/>
        <v>100</v>
      </c>
      <c r="T40" s="774" t="s">
        <v>21</v>
      </c>
      <c r="U40" s="775">
        <f t="shared" si="13"/>
        <v>100</v>
      </c>
      <c r="V40" s="774" t="s">
        <v>21</v>
      </c>
      <c r="W40" s="775">
        <f t="shared" si="14"/>
        <v>100</v>
      </c>
      <c r="X40" s="1816"/>
      <c r="Y40" s="3239"/>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4">
        <f t="shared" si="15"/>
        <v>1</v>
      </c>
      <c r="AB41" s="1814">
        <f t="shared" si="16"/>
        <v>1</v>
      </c>
      <c r="AC41" s="1814">
        <f t="shared" si="17"/>
        <v>1</v>
      </c>
    </row>
    <row r="42" spans="1:29" ht="15">
      <c r="A42" s="472"/>
      <c r="B42" s="422" t="s">
        <v>2568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37"/>
      <c r="Q42" s="1813" t="str">
        <f t="shared" si="11"/>
        <v>内部装修</v>
      </c>
      <c r="R42" s="774" t="s">
        <v>21</v>
      </c>
      <c r="S42" s="775">
        <f t="shared" si="12"/>
        <v>100</v>
      </c>
      <c r="T42" s="774" t="s">
        <v>21</v>
      </c>
      <c r="U42" s="775">
        <f t="shared" si="13"/>
        <v>100</v>
      </c>
      <c r="V42" s="774" t="s">
        <v>21</v>
      </c>
      <c r="W42" s="775">
        <f t="shared" si="14"/>
        <v>100</v>
      </c>
      <c r="X42" s="1816"/>
      <c r="Y42" s="3239"/>
      <c r="Z42" s="1817" t="str">
        <f t="shared" si="18"/>
        <v>内部装修</v>
      </c>
      <c r="AA42" s="1814">
        <f t="shared" si="15"/>
        <v>1</v>
      </c>
      <c r="AB42" s="1814">
        <f t="shared" si="16"/>
        <v>1</v>
      </c>
      <c r="AC42" s="1814">
        <f t="shared" si="17"/>
        <v>1</v>
      </c>
    </row>
    <row r="43" spans="1:29" ht="15">
      <c r="A43" s="472"/>
      <c r="B43" s="422" t="s">
        <v>2569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37"/>
      <c r="Q43" s="1813" t="str">
        <f t="shared" si="11"/>
        <v>内部装修维护情况</v>
      </c>
      <c r="R43" s="774" t="s">
        <v>21</v>
      </c>
      <c r="S43" s="775">
        <f t="shared" si="12"/>
        <v>100</v>
      </c>
      <c r="T43" s="774" t="s">
        <v>21</v>
      </c>
      <c r="U43" s="775">
        <f t="shared" si="13"/>
        <v>100</v>
      </c>
      <c r="V43" s="774" t="s">
        <v>21</v>
      </c>
      <c r="W43" s="775">
        <f t="shared" si="14"/>
        <v>100</v>
      </c>
      <c r="X43" s="1816"/>
      <c r="Y43" s="323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37"/>
      <c r="Q44" s="1798">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37"/>
      <c r="Q45" s="1813">
        <f t="shared" si="11"/>
        <v>111</v>
      </c>
      <c r="R45" s="774" t="s">
        <v>21</v>
      </c>
      <c r="S45" s="775">
        <f t="shared" si="12"/>
        <v>100</v>
      </c>
      <c r="T45" s="774" t="s">
        <v>21</v>
      </c>
      <c r="U45" s="775">
        <f t="shared" si="13"/>
        <v>100</v>
      </c>
      <c r="V45" s="774" t="s">
        <v>21</v>
      </c>
      <c r="W45" s="775">
        <f t="shared" si="14"/>
        <v>100</v>
      </c>
      <c r="X45" s="1816"/>
      <c r="Y45" s="3239"/>
      <c r="Z45" s="1817">
        <f t="shared" si="18"/>
        <v>111</v>
      </c>
      <c r="AA45" s="1814">
        <f t="shared" si="15"/>
        <v>1</v>
      </c>
      <c r="AB45" s="1814">
        <f t="shared" si="16"/>
        <v>1</v>
      </c>
      <c r="AC45" s="1814">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38"/>
      <c r="Q46" s="1813">
        <f t="shared" si="11"/>
        <v>111</v>
      </c>
      <c r="R46" s="774" t="s">
        <v>20</v>
      </c>
      <c r="S46" s="775">
        <f t="shared" si="12"/>
        <v>100</v>
      </c>
      <c r="T46" s="774" t="s">
        <v>20</v>
      </c>
      <c r="U46" s="775">
        <f t="shared" si="13"/>
        <v>100</v>
      </c>
      <c r="V46" s="774" t="s">
        <v>20</v>
      </c>
      <c r="W46" s="775">
        <f t="shared" si="14"/>
        <v>100</v>
      </c>
      <c r="X46" s="1816"/>
      <c r="Y46" s="3240"/>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19"/>
      <c r="L47" s="1146"/>
      <c r="M47" s="1147"/>
      <c r="N47" s="1134"/>
      <c r="O47" s="1147"/>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0"/>
      <c r="L48" s="1146"/>
      <c r="M48" s="1147"/>
      <c r="N48" s="1147"/>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1"/>
      <c r="L49" s="1146"/>
      <c r="M49" s="1147"/>
      <c r="N49" s="1147"/>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4"/>
      <c r="Q57" s="504"/>
    </row>
    <row r="58" spans="1:29" s="508" customFormat="1" ht="15">
      <c r="A58" s="505" t="s">
        <v>2577</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5"/>
      <c r="C59" s="1576">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2581</v>
      </c>
      <c r="B63" s="528" t="s">
        <v>2547</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2094</v>
      </c>
      <c r="C82" s="539" t="s">
        <v>2597</v>
      </c>
      <c r="D82" s="539" t="s">
        <v>2598</v>
      </c>
      <c r="E82" s="539" t="s">
        <v>2599</v>
      </c>
      <c r="F82" s="539" t="s">
        <v>2600</v>
      </c>
      <c r="G82" s="539" t="s">
        <v>2601</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2603</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2604</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2556</v>
      </c>
      <c r="B100" s="528" t="s">
        <v>2605</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2607</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2608</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2609</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2612</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2613</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7">
        <v>6</v>
      </c>
      <c r="C139" s="1088">
        <v>96</v>
      </c>
      <c r="D139" s="2646" t="s">
        <v>2624</v>
      </c>
      <c r="E139" s="1089">
        <v>100</v>
      </c>
      <c r="F139" s="1090">
        <v>102.5</v>
      </c>
      <c r="G139" s="2646" t="s">
        <v>2624</v>
      </c>
      <c r="H139" s="1091">
        <v>105</v>
      </c>
      <c r="I139" s="2647" t="s">
        <v>2625</v>
      </c>
      <c r="J139" s="1088">
        <v>20</v>
      </c>
      <c r="K139" s="1092">
        <f>C145/(J139-2)</f>
        <v>4.0555555555555553E-3</v>
      </c>
    </row>
    <row r="140" spans="1:17" ht="15">
      <c r="B140" s="1093">
        <v>5</v>
      </c>
      <c r="C140" s="1094">
        <v>100</v>
      </c>
      <c r="D140" s="1094"/>
      <c r="E140" s="1095"/>
      <c r="F140" s="1096">
        <v>102</v>
      </c>
      <c r="G140" s="1094"/>
      <c r="H140" s="1097"/>
      <c r="I140" s="2648" t="s">
        <v>2626</v>
      </c>
      <c r="J140" s="315">
        <f>ROUNDUP((J139-1)/2,0)</f>
        <v>10</v>
      </c>
      <c r="K140" s="1098">
        <v>100</v>
      </c>
    </row>
    <row r="141" spans="1:17" ht="15">
      <c r="B141" s="1093">
        <v>4</v>
      </c>
      <c r="C141" s="1094">
        <v>102</v>
      </c>
      <c r="D141" s="1094"/>
      <c r="E141" s="1095"/>
      <c r="F141" s="1096">
        <v>101.5</v>
      </c>
      <c r="G141" s="1094"/>
      <c r="H141" s="1097"/>
      <c r="I141" s="2648" t="s">
        <v>2627</v>
      </c>
      <c r="J141" s="315">
        <v>1</v>
      </c>
      <c r="K141" s="1099">
        <f>ROUND(100+(J141-J140)*K139*100,1)</f>
        <v>96.4</v>
      </c>
    </row>
    <row r="142" spans="1:17" ht="15">
      <c r="B142" s="1093">
        <v>3</v>
      </c>
      <c r="C142" s="1094">
        <v>103</v>
      </c>
      <c r="D142" s="1094"/>
      <c r="E142" s="1095"/>
      <c r="F142" s="1096">
        <v>101</v>
      </c>
      <c r="G142" s="1094"/>
      <c r="H142" s="1097"/>
      <c r="I142" s="2648" t="s">
        <v>2628</v>
      </c>
      <c r="J142" s="315">
        <f>J139</f>
        <v>20</v>
      </c>
      <c r="K142" s="1100">
        <v>95</v>
      </c>
    </row>
    <row r="143" spans="1:17" ht="15">
      <c r="B143" s="1093">
        <v>2</v>
      </c>
      <c r="C143" s="1094">
        <v>100</v>
      </c>
      <c r="D143" s="1094"/>
      <c r="E143" s="1095"/>
      <c r="F143" s="1096">
        <v>100.5</v>
      </c>
      <c r="G143" s="1094"/>
      <c r="H143" s="1097"/>
      <c r="I143" s="2648" t="s">
        <v>2629</v>
      </c>
      <c r="J143" s="1094">
        <v>15</v>
      </c>
      <c r="K143" s="1099">
        <f>ROUND(100+(J143-J140)*K139*100,1)</f>
        <v>102</v>
      </c>
    </row>
    <row r="144" spans="1:17" ht="15">
      <c r="B144" s="1093">
        <v>1</v>
      </c>
      <c r="C144" s="1094">
        <v>98</v>
      </c>
      <c r="D144" s="2649" t="s">
        <v>2630</v>
      </c>
      <c r="E144" s="1095">
        <v>102</v>
      </c>
      <c r="F144" s="1101">
        <v>100</v>
      </c>
      <c r="G144" s="2649" t="s">
        <v>2630</v>
      </c>
      <c r="H144" s="1097">
        <v>105</v>
      </c>
      <c r="I144" s="2648" t="s">
        <v>2629</v>
      </c>
      <c r="J144" s="1094">
        <v>18</v>
      </c>
      <c r="K144" s="1099">
        <f>ROUND(100+(J144-J140)*K139*100,1)</f>
        <v>103.2</v>
      </c>
    </row>
    <row r="145" spans="2:11" ht="15.75" thickBot="1">
      <c r="B145" s="2650" t="s">
        <v>2631</v>
      </c>
      <c r="C145" s="1102">
        <f>ROUND(MAX(C139:C144)/MIN(C139:C144)-1,3)</f>
        <v>7.2999999999999995E-2</v>
      </c>
      <c r="D145" s="1103"/>
      <c r="E145" s="1103"/>
      <c r="F145" s="2651" t="s">
        <v>2632</v>
      </c>
      <c r="G145" s="2652"/>
      <c r="H145" s="2653"/>
      <c r="I145" s="2654" t="s">
        <v>2629</v>
      </c>
      <c r="J145" s="1104">
        <v>8</v>
      </c>
      <c r="K145" s="1105">
        <f>ROUND(100+(J145-J140)*K139*100,1)</f>
        <v>99.2</v>
      </c>
    </row>
    <row r="147" spans="2:11">
      <c r="B147" s="2635" t="s">
        <v>2633</v>
      </c>
    </row>
    <row r="148" spans="2:11">
      <c r="B148" s="2635"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0" t="s">
        <v>2635</v>
      </c>
      <c r="C1" s="1637" t="s">
        <v>2523</v>
      </c>
      <c r="D1" s="1624"/>
      <c r="E1" s="2655"/>
      <c r="F1" s="2582"/>
      <c r="G1" s="1634" t="s">
        <v>2636</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2320</v>
      </c>
      <c r="B2" s="1421" t="e">
        <f ca="1">IF(C2="——",ROUND(C49*D3/10000,0),ROUND(C49*D3/10000,0)-D2)</f>
        <v>#DIV/0!</v>
      </c>
      <c r="C2" s="2584"/>
      <c r="D2" s="1368" t="e">
        <f ca="1">SUMIF(INDIRECT("'"&amp;F2&amp;"'"&amp;"!A:A"),"承租人权益价值",INDIRECT("'"&amp;F2&amp;"'"&amp;"!c:c"))</f>
        <v>#REF!</v>
      </c>
      <c r="E2" s="2585" t="s">
        <v>2321</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2322</v>
      </c>
      <c r="B3" s="609" t="e">
        <f ca="1">IF(C2="——",C49,ROUND(B2*10000/D3,0))</f>
        <v>#DIV/0!</v>
      </c>
      <c r="C3" s="400" t="s">
        <v>2637</v>
      </c>
      <c r="D3" s="399">
        <f>IF(D1="",'数据-汇总表'!E3,SUMIF('数据-汇总表'!$C19:$C33,D1,'数据-汇总表'!$E19:$E33))</f>
        <v>21402.85</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63" t="s">
        <v>2641</v>
      </c>
      <c r="AC4" s="3244" t="s">
        <v>2642</v>
      </c>
    </row>
    <row r="5" spans="1:29"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63"/>
      <c r="AC5" s="3245"/>
    </row>
    <row r="6" spans="1:29" ht="15.75" thickBot="1">
      <c r="A6" s="406"/>
      <c r="B6" s="407"/>
      <c r="C6" s="3264" t="s">
        <v>2539</v>
      </c>
      <c r="D6" s="3265"/>
      <c r="E6" s="3271" t="s">
        <v>2539</v>
      </c>
      <c r="F6" s="3272"/>
      <c r="G6" s="3264" t="s">
        <v>2539</v>
      </c>
      <c r="H6" s="3265"/>
      <c r="I6" s="3264" t="s">
        <v>2539</v>
      </c>
      <c r="J6" s="3265"/>
      <c r="K6" s="610" t="s">
        <v>2540</v>
      </c>
      <c r="L6" s="1133"/>
      <c r="M6" s="1134"/>
      <c r="N6" s="1134"/>
      <c r="O6" s="1134"/>
      <c r="P6" s="3255"/>
      <c r="Q6" s="3256"/>
      <c r="R6" s="3259"/>
      <c r="S6" s="3260"/>
      <c r="T6" s="3261"/>
      <c r="U6" s="3262"/>
      <c r="V6" s="3263"/>
      <c r="W6" s="3263"/>
      <c r="X6" s="1816"/>
      <c r="Y6" s="3261"/>
      <c r="Z6" s="3262"/>
      <c r="AA6" s="3246"/>
      <c r="AB6" s="3263"/>
      <c r="AC6" s="3246"/>
    </row>
    <row r="7" spans="1:29" s="117" customFormat="1" ht="15.75" thickBot="1">
      <c r="A7" s="408" t="s">
        <v>2541</v>
      </c>
      <c r="B7" s="409"/>
      <c r="C7" s="410">
        <f>'数据-取费表'!B2</f>
        <v>43294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8" t="s">
        <v>2542</v>
      </c>
      <c r="Q7" s="3270"/>
      <c r="R7" s="770" t="s">
        <v>17</v>
      </c>
      <c r="S7" s="771">
        <f t="shared" ref="S7:S15" si="0">F7</f>
        <v>0</v>
      </c>
      <c r="T7" s="770" t="s">
        <v>17</v>
      </c>
      <c r="U7" s="771">
        <f t="shared" ref="U7:U15" si="1">H7</f>
        <v>0</v>
      </c>
      <c r="V7" s="770" t="s">
        <v>17</v>
      </c>
      <c r="W7" s="771">
        <f t="shared" ref="W7:W15" si="2">J7</f>
        <v>0</v>
      </c>
      <c r="X7" s="772"/>
      <c r="Y7" s="3268" t="s">
        <v>2542</v>
      </c>
      <c r="Z7" s="326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3"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2552</v>
      </c>
      <c r="B15" s="69" t="s">
        <v>2646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2553</v>
      </c>
      <c r="Q15" s="1813" t="str">
        <f t="shared" si="6"/>
        <v>商业繁华度</v>
      </c>
      <c r="R15" s="774" t="s">
        <v>17</v>
      </c>
      <c r="S15" s="775">
        <f t="shared" si="0"/>
        <v>100</v>
      </c>
      <c r="T15" s="774" t="s">
        <v>17</v>
      </c>
      <c r="U15" s="775">
        <f t="shared" si="1"/>
        <v>100</v>
      </c>
      <c r="V15" s="774" t="s">
        <v>17</v>
      </c>
      <c r="W15" s="775">
        <f t="shared" si="2"/>
        <v>100</v>
      </c>
      <c r="X15" s="1816"/>
      <c r="Y15" s="3234"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1814">
        <v>1</v>
      </c>
    </row>
    <row r="17" spans="1:29" ht="85.5">
      <c r="A17" s="428"/>
      <c r="B17" s="451" t="s">
        <v>2093</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06"/>
      <c r="D18" s="450"/>
      <c r="E18" s="2608"/>
      <c r="F18" s="453"/>
      <c r="G18" s="2607"/>
      <c r="H18" s="448"/>
      <c r="I18" s="2608"/>
      <c r="J18" s="448"/>
      <c r="K18" s="615"/>
      <c r="L18" s="1143"/>
      <c r="M18" s="1134"/>
      <c r="N18" s="1134"/>
      <c r="O18" s="1134"/>
      <c r="P18" s="3242"/>
      <c r="Q18" s="1813"/>
      <c r="R18" s="774"/>
      <c r="S18" s="775"/>
      <c r="T18" s="774"/>
      <c r="U18" s="775"/>
      <c r="V18" s="774"/>
      <c r="W18" s="775"/>
      <c r="X18" s="1816"/>
      <c r="Y18" s="3235"/>
      <c r="Z18" s="1817"/>
      <c r="AA18" s="1814">
        <v>1</v>
      </c>
      <c r="AB18" s="1814">
        <v>1</v>
      </c>
      <c r="AC18" s="1814">
        <v>1</v>
      </c>
    </row>
    <row r="19" spans="1:29" ht="42.75">
      <c r="A19" s="428"/>
      <c r="B19" s="451" t="s">
        <v>2647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3"/>
      <c r="F20" s="449"/>
      <c r="G20" s="2602"/>
      <c r="H20" s="448"/>
      <c r="I20" s="2603"/>
      <c r="J20" s="448"/>
      <c r="K20" s="615"/>
      <c r="L20" s="1143"/>
      <c r="M20" s="1134"/>
      <c r="N20" s="1134"/>
      <c r="O20" s="1134"/>
      <c r="P20" s="3242"/>
      <c r="Q20" s="1813"/>
      <c r="R20" s="774"/>
      <c r="S20" s="775"/>
      <c r="T20" s="774"/>
      <c r="U20" s="775"/>
      <c r="V20" s="774"/>
      <c r="W20" s="775"/>
      <c r="X20" s="1816"/>
      <c r="Y20" s="3235"/>
      <c r="Z20" s="1817"/>
      <c r="AA20" s="1814">
        <v>1</v>
      </c>
      <c r="AB20" s="1814">
        <v>1</v>
      </c>
      <c r="AC20" s="1814">
        <v>1</v>
      </c>
    </row>
    <row r="21" spans="1:29" ht="28.5">
      <c r="A21" s="428"/>
      <c r="B21" s="1387" t="s">
        <v>2648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6"/>
      <c r="D22" s="448"/>
      <c r="E22" s="447"/>
      <c r="F22" s="449"/>
      <c r="G22" s="447"/>
      <c r="H22" s="448"/>
      <c r="I22" s="447"/>
      <c r="J22" s="448"/>
      <c r="K22" s="1386"/>
      <c r="L22" s="1143"/>
      <c r="M22" s="1134"/>
      <c r="N22" s="1134"/>
      <c r="O22" s="1134"/>
      <c r="P22" s="3242"/>
      <c r="Q22" s="1813"/>
      <c r="R22" s="774"/>
      <c r="S22" s="775"/>
      <c r="T22" s="774"/>
      <c r="U22" s="775"/>
      <c r="V22" s="774"/>
      <c r="W22" s="775"/>
      <c r="X22" s="1816"/>
      <c r="Y22" s="3235"/>
      <c r="Z22" s="1817"/>
      <c r="AA22" s="1814">
        <v>1</v>
      </c>
      <c r="AB22" s="1814">
        <v>1</v>
      </c>
      <c r="AC22" s="1814">
        <v>1</v>
      </c>
    </row>
    <row r="23" spans="1:29" ht="57">
      <c r="A23" s="428"/>
      <c r="B23" s="451" t="s">
        <v>2097</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3" t="str">
        <f>B23</f>
        <v>自然及人文环境</v>
      </c>
      <c r="R23" s="774" t="s">
        <v>17</v>
      </c>
      <c r="S23" s="775">
        <f>F23</f>
        <v>100</v>
      </c>
      <c r="T23" s="774" t="s">
        <v>17</v>
      </c>
      <c r="U23" s="775">
        <f>H23</f>
        <v>100</v>
      </c>
      <c r="V23" s="774" t="s">
        <v>17</v>
      </c>
      <c r="W23" s="775">
        <f>J23</f>
        <v>100</v>
      </c>
      <c r="X23" s="1816"/>
      <c r="Y23" s="3235"/>
      <c r="Z23" s="1817" t="str">
        <f>Q23</f>
        <v>自然及人文环境</v>
      </c>
      <c r="AA23" s="1814">
        <f t="shared" si="3"/>
        <v>1</v>
      </c>
      <c r="AB23" s="1814">
        <f t="shared" si="4"/>
        <v>1</v>
      </c>
      <c r="AC23" s="1814">
        <f t="shared" si="5"/>
        <v>1</v>
      </c>
    </row>
    <row r="24" spans="1:29" ht="15">
      <c r="A24" s="428"/>
      <c r="B24" s="456"/>
      <c r="C24" s="447"/>
      <c r="D24" s="448"/>
      <c r="E24" s="2603"/>
      <c r="F24" s="449"/>
      <c r="G24" s="2602"/>
      <c r="H24" s="448"/>
      <c r="I24" s="2603"/>
      <c r="J24" s="448"/>
      <c r="K24" s="615"/>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3" t="str">
        <f t="shared" ref="Q25:Q46" si="11">B25</f>
        <v>临街状况</v>
      </c>
      <c r="R25" s="774" t="s">
        <v>17</v>
      </c>
      <c r="S25" s="775">
        <f>F25</f>
        <v>100</v>
      </c>
      <c r="T25" s="774" t="s">
        <v>17</v>
      </c>
      <c r="U25" s="775">
        <f>H25</f>
        <v>100</v>
      </c>
      <c r="V25" s="774" t="s">
        <v>17</v>
      </c>
      <c r="W25" s="775">
        <f>J25</f>
        <v>100</v>
      </c>
      <c r="X25" s="1816"/>
      <c r="Y25" s="3235"/>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3" t="str">
        <f t="shared" si="11"/>
        <v>平面位置/可视性</v>
      </c>
      <c r="R26" s="774" t="s">
        <v>17</v>
      </c>
      <c r="S26" s="775">
        <f>F26</f>
        <v>100</v>
      </c>
      <c r="T26" s="774" t="s">
        <v>17</v>
      </c>
      <c r="U26" s="775">
        <f>H26</f>
        <v>100</v>
      </c>
      <c r="V26" s="774" t="s">
        <v>17</v>
      </c>
      <c r="W26" s="775">
        <f>J26</f>
        <v>100</v>
      </c>
      <c r="X26" s="1816"/>
      <c r="Y26" s="3235"/>
      <c r="Z26" s="1817" t="str">
        <f>Q26</f>
        <v>平面位置/可视性</v>
      </c>
      <c r="AA26" s="1814">
        <f t="shared" si="3"/>
        <v>1</v>
      </c>
      <c r="AB26" s="1814">
        <f t="shared" si="4"/>
        <v>1</v>
      </c>
      <c r="AC26" s="1814">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42"/>
      <c r="Q27" s="1798" t="str">
        <f t="shared" si="11"/>
        <v>人流量</v>
      </c>
      <c r="R27" s="770" t="s">
        <v>17</v>
      </c>
      <c r="S27" s="771">
        <f>F27</f>
        <v>100</v>
      </c>
      <c r="T27" s="770" t="s">
        <v>17</v>
      </c>
      <c r="U27" s="771">
        <f>H27</f>
        <v>100</v>
      </c>
      <c r="V27" s="770" t="s">
        <v>17</v>
      </c>
      <c r="W27" s="771">
        <f>J27</f>
        <v>100</v>
      </c>
      <c r="X27" s="772"/>
      <c r="Y27" s="3235"/>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3">
        <f t="shared" si="11"/>
        <v>111</v>
      </c>
      <c r="R29" s="774" t="s">
        <v>17</v>
      </c>
      <c r="S29" s="775">
        <f t="shared" si="12"/>
        <v>100</v>
      </c>
      <c r="T29" s="774" t="s">
        <v>17</v>
      </c>
      <c r="U29" s="775">
        <f t="shared" si="13"/>
        <v>100</v>
      </c>
      <c r="V29" s="774" t="s">
        <v>17</v>
      </c>
      <c r="W29" s="775">
        <f t="shared" si="14"/>
        <v>100</v>
      </c>
      <c r="X29" s="1816"/>
      <c r="Y29" s="323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1814">
        <f t="shared" si="5"/>
        <v>1</v>
      </c>
    </row>
    <row r="32" spans="1:29" ht="15">
      <c r="A32" s="440" t="s">
        <v>2556</v>
      </c>
      <c r="B32" s="71" t="s">
        <v>2653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36" t="s">
        <v>2558</v>
      </c>
      <c r="Q32" s="1813" t="str">
        <f t="shared" si="11"/>
        <v>商业类型</v>
      </c>
      <c r="R32" s="774" t="s">
        <v>17</v>
      </c>
      <c r="S32" s="775">
        <f t="shared" si="12"/>
        <v>100</v>
      </c>
      <c r="T32" s="774" t="s">
        <v>17</v>
      </c>
      <c r="U32" s="775">
        <f t="shared" si="13"/>
        <v>100</v>
      </c>
      <c r="V32" s="774" t="s">
        <v>17</v>
      </c>
      <c r="W32" s="775">
        <f t="shared" si="14"/>
        <v>100</v>
      </c>
      <c r="X32" s="1816"/>
      <c r="Y32" s="3239"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4" t="e">
        <f t="shared" si="3"/>
        <v>#N/A</v>
      </c>
      <c r="AB33" s="1814" t="e">
        <f t="shared" si="4"/>
        <v>#N/A</v>
      </c>
      <c r="AC33" s="1814" t="e">
        <f t="shared" si="5"/>
        <v>#N/A</v>
      </c>
    </row>
    <row r="34" spans="1:29" ht="15">
      <c r="A34" s="472"/>
      <c r="B34" s="422" t="s">
        <v>2560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37"/>
      <c r="Q34" s="1813" t="str">
        <f t="shared" si="11"/>
        <v>建筑结构</v>
      </c>
      <c r="R34" s="774" t="s">
        <v>17</v>
      </c>
      <c r="S34" s="775">
        <f t="shared" si="12"/>
        <v>100</v>
      </c>
      <c r="T34" s="774" t="s">
        <v>17</v>
      </c>
      <c r="U34" s="775">
        <f t="shared" si="13"/>
        <v>100</v>
      </c>
      <c r="V34" s="774" t="s">
        <v>17</v>
      </c>
      <c r="W34" s="775">
        <f t="shared" si="14"/>
        <v>100</v>
      </c>
      <c r="X34" s="1816"/>
      <c r="Y34" s="3239"/>
      <c r="Z34" s="1817" t="str">
        <f t="shared" si="15"/>
        <v>建筑结构</v>
      </c>
      <c r="AA34" s="1814">
        <f t="shared" si="3"/>
        <v>1</v>
      </c>
      <c r="AB34" s="1814">
        <f t="shared" si="4"/>
        <v>1</v>
      </c>
      <c r="AC34" s="1814">
        <f t="shared" si="5"/>
        <v>1</v>
      </c>
    </row>
    <row r="35" spans="1:29" ht="15">
      <c r="A35" s="472"/>
      <c r="B35" s="422" t="s">
        <v>2654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37"/>
      <c r="Q35" s="1813" t="str">
        <f t="shared" si="11"/>
        <v>公共部分装修</v>
      </c>
      <c r="R35" s="774" t="s">
        <v>17</v>
      </c>
      <c r="S35" s="775">
        <f t="shared" si="12"/>
        <v>100</v>
      </c>
      <c r="T35" s="774" t="s">
        <v>17</v>
      </c>
      <c r="U35" s="775">
        <f t="shared" si="13"/>
        <v>100</v>
      </c>
      <c r="V35" s="774" t="s">
        <v>17</v>
      </c>
      <c r="W35" s="775">
        <f t="shared" si="14"/>
        <v>100</v>
      </c>
      <c r="X35" s="1816"/>
      <c r="Y35" s="3239"/>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3" t="str">
        <f t="shared" si="11"/>
        <v>成新度</v>
      </c>
      <c r="R36" s="774" t="s">
        <v>17</v>
      </c>
      <c r="S36" s="775" t="e">
        <f t="shared" si="12"/>
        <v>#N/A</v>
      </c>
      <c r="T36" s="774" t="s">
        <v>17</v>
      </c>
      <c r="U36" s="775" t="e">
        <f t="shared" si="13"/>
        <v>#N/A</v>
      </c>
      <c r="V36" s="774" t="s">
        <v>17</v>
      </c>
      <c r="W36" s="775" t="e">
        <f t="shared" si="14"/>
        <v>#N/A</v>
      </c>
      <c r="X36" s="1816"/>
      <c r="Y36" s="3239"/>
      <c r="Z36" s="1817" t="str">
        <f t="shared" si="15"/>
        <v>成新度</v>
      </c>
      <c r="AA36" s="1814" t="e">
        <f t="shared" si="3"/>
        <v>#N/A</v>
      </c>
      <c r="AB36" s="1814" t="e">
        <f t="shared" si="4"/>
        <v>#N/A</v>
      </c>
      <c r="AC36" s="1814" t="e">
        <f t="shared" si="5"/>
        <v>#N/A</v>
      </c>
    </row>
    <row r="37" spans="1:29" s="117" customFormat="1" ht="15">
      <c r="A37" s="473"/>
      <c r="B37" s="422" t="s">
        <v>2656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37"/>
      <c r="Q37" s="1798"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2657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37" t="s">
        <v>2558</v>
      </c>
      <c r="Q38" s="1813" t="str">
        <f t="shared" si="11"/>
        <v>业态</v>
      </c>
      <c r="R38" s="774" t="s">
        <v>17</v>
      </c>
      <c r="S38" s="775">
        <f t="shared" si="12"/>
        <v>100</v>
      </c>
      <c r="T38" s="774" t="s">
        <v>17</v>
      </c>
      <c r="U38" s="775">
        <f t="shared" si="13"/>
        <v>100</v>
      </c>
      <c r="V38" s="774" t="s">
        <v>17</v>
      </c>
      <c r="W38" s="775">
        <f t="shared" si="14"/>
        <v>100</v>
      </c>
      <c r="X38" s="1816"/>
      <c r="Y38" s="3239" t="s">
        <v>2558</v>
      </c>
      <c r="Z38" s="1817" t="str">
        <f t="shared" si="15"/>
        <v>业态</v>
      </c>
      <c r="AA38" s="1814">
        <f t="shared" si="3"/>
        <v>1</v>
      </c>
      <c r="AB38" s="1814">
        <f t="shared" si="4"/>
        <v>1</v>
      </c>
      <c r="AC38" s="1814">
        <f t="shared" si="5"/>
        <v>1</v>
      </c>
    </row>
    <row r="39" spans="1:29" ht="15">
      <c r="A39" s="472"/>
      <c r="B39" s="422" t="s">
        <v>2658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37"/>
      <c r="Q39" s="1813" t="str">
        <f t="shared" si="11"/>
        <v>层高</v>
      </c>
      <c r="R39" s="774" t="s">
        <v>17</v>
      </c>
      <c r="S39" s="775">
        <f t="shared" si="12"/>
        <v>100</v>
      </c>
      <c r="T39" s="774" t="s">
        <v>17</v>
      </c>
      <c r="U39" s="775">
        <f t="shared" si="13"/>
        <v>100</v>
      </c>
      <c r="V39" s="774" t="s">
        <v>17</v>
      </c>
      <c r="W39" s="775">
        <f t="shared" si="14"/>
        <v>100</v>
      </c>
      <c r="X39" s="1816"/>
      <c r="Y39" s="3239"/>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3" t="str">
        <f t="shared" si="11"/>
        <v>单套建筑面积</v>
      </c>
      <c r="R40" s="774" t="s">
        <v>17</v>
      </c>
      <c r="S40" s="775">
        <f t="shared" si="12"/>
        <v>100</v>
      </c>
      <c r="T40" s="774" t="s">
        <v>17</v>
      </c>
      <c r="U40" s="775">
        <f t="shared" si="13"/>
        <v>100</v>
      </c>
      <c r="V40" s="774" t="s">
        <v>17</v>
      </c>
      <c r="W40" s="775">
        <f t="shared" si="14"/>
        <v>100</v>
      </c>
      <c r="X40" s="1816"/>
      <c r="Y40" s="3239"/>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4">
        <f t="shared" si="3"/>
        <v>1</v>
      </c>
      <c r="AB41" s="1814">
        <f t="shared" si="4"/>
        <v>1</v>
      </c>
      <c r="AC41" s="1814">
        <f t="shared" si="5"/>
        <v>1</v>
      </c>
    </row>
    <row r="42" spans="1:29" ht="15">
      <c r="A42" s="472"/>
      <c r="B42" s="422" t="s">
        <v>2661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37"/>
      <c r="Q42" s="1813" t="str">
        <f t="shared" si="11"/>
        <v>内部装修</v>
      </c>
      <c r="R42" s="774" t="s">
        <v>17</v>
      </c>
      <c r="S42" s="775">
        <f t="shared" si="12"/>
        <v>100</v>
      </c>
      <c r="T42" s="774" t="s">
        <v>17</v>
      </c>
      <c r="U42" s="775">
        <f t="shared" si="13"/>
        <v>100</v>
      </c>
      <c r="V42" s="774" t="s">
        <v>17</v>
      </c>
      <c r="W42" s="775">
        <f t="shared" si="14"/>
        <v>100</v>
      </c>
      <c r="X42" s="1816"/>
      <c r="Y42" s="3239"/>
      <c r="Z42" s="1817" t="str">
        <f t="shared" si="15"/>
        <v>内部装修</v>
      </c>
      <c r="AA42" s="1814">
        <f t="shared" si="3"/>
        <v>1</v>
      </c>
      <c r="AB42" s="1814">
        <f t="shared" si="4"/>
        <v>1</v>
      </c>
      <c r="AC42" s="1814">
        <f t="shared" si="5"/>
        <v>1</v>
      </c>
    </row>
    <row r="43" spans="1:29" ht="15">
      <c r="A43" s="472"/>
      <c r="B43" s="422" t="s">
        <v>2569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37"/>
      <c r="Q43" s="1813" t="str">
        <f t="shared" si="11"/>
        <v>内部装修维护情况</v>
      </c>
      <c r="R43" s="774" t="s">
        <v>17</v>
      </c>
      <c r="S43" s="775">
        <f t="shared" si="12"/>
        <v>100</v>
      </c>
      <c r="T43" s="774" t="s">
        <v>17</v>
      </c>
      <c r="U43" s="775">
        <f t="shared" si="13"/>
        <v>100</v>
      </c>
      <c r="V43" s="774" t="s">
        <v>17</v>
      </c>
      <c r="W43" s="775">
        <f t="shared" si="14"/>
        <v>100</v>
      </c>
      <c r="X43" s="1816"/>
      <c r="Y43" s="323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8">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3">
        <f t="shared" si="11"/>
        <v>111</v>
      </c>
      <c r="R45" s="774" t="s">
        <v>17</v>
      </c>
      <c r="S45" s="775">
        <f t="shared" si="12"/>
        <v>100</v>
      </c>
      <c r="T45" s="774" t="s">
        <v>17</v>
      </c>
      <c r="U45" s="775">
        <f t="shared" si="13"/>
        <v>100</v>
      </c>
      <c r="V45" s="774" t="s">
        <v>17</v>
      </c>
      <c r="W45" s="775">
        <f t="shared" si="14"/>
        <v>100</v>
      </c>
      <c r="X45" s="1816"/>
      <c r="Y45" s="3239"/>
      <c r="Z45" s="1817">
        <f t="shared" si="15"/>
        <v>111</v>
      </c>
      <c r="AA45" s="1814">
        <f t="shared" si="3"/>
        <v>1</v>
      </c>
      <c r="AB45" s="1814">
        <f t="shared" si="4"/>
        <v>1</v>
      </c>
      <c r="AC45" s="1814">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3">
        <f t="shared" si="11"/>
        <v>111</v>
      </c>
      <c r="R46" s="774" t="s">
        <v>17</v>
      </c>
      <c r="S46" s="775">
        <f t="shared" si="12"/>
        <v>100</v>
      </c>
      <c r="T46" s="774" t="s">
        <v>17</v>
      </c>
      <c r="U46" s="775">
        <f t="shared" si="13"/>
        <v>100</v>
      </c>
      <c r="V46" s="774" t="s">
        <v>17</v>
      </c>
      <c r="W46" s="775">
        <f t="shared" si="14"/>
        <v>100</v>
      </c>
      <c r="X46" s="1816"/>
      <c r="Y46" s="3240"/>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32" t="str">
        <f>A47</f>
        <v>成交单价（元/平方米）</v>
      </c>
      <c r="Q47" s="3232"/>
      <c r="R47" s="3263">
        <f>E47</f>
        <v>0</v>
      </c>
      <c r="S47" s="3263"/>
      <c r="T47" s="3263">
        <f>G47</f>
        <v>0</v>
      </c>
      <c r="U47" s="3263"/>
      <c r="V47" s="3263">
        <f>I47</f>
        <v>0</v>
      </c>
      <c r="W47" s="3263"/>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2541</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2581</v>
      </c>
      <c r="B63" s="528" t="s">
        <v>2547</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2673</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2556</v>
      </c>
      <c r="B100" s="528" t="s">
        <v>2674</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2607</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2609</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2675</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2676</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2677</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2613</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1630</v>
      </c>
      <c r="C4" s="2997"/>
      <c r="D4" s="2997"/>
      <c r="E4" s="1964"/>
    </row>
    <row r="5" spans="1:5" ht="16.5" thickTop="1">
      <c r="A5" s="1962"/>
      <c r="B5" s="2995" t="s">
        <v>1622</v>
      </c>
      <c r="C5" s="1965" t="s">
        <v>1623</v>
      </c>
      <c r="D5" s="1043">
        <f ca="1">'结果表（办公）'!H101</f>
        <v>5489</v>
      </c>
      <c r="E5" s="1962"/>
    </row>
    <row r="6" spans="1:5" ht="15.75">
      <c r="A6" s="1962"/>
      <c r="B6" s="2995"/>
      <c r="C6" s="1965" t="s">
        <v>1624</v>
      </c>
      <c r="D6" s="1043" t="str">
        <f ca="1">NUMBERSTRING(INT(D5*10000),2)&amp;"元整"</f>
        <v>伍仟肆佰捌拾玖万元整</v>
      </c>
      <c r="E6" s="1962"/>
    </row>
    <row r="7" spans="1:5" ht="15.75">
      <c r="A7" s="1962"/>
      <c r="B7" s="3000"/>
      <c r="C7" s="1966" t="s">
        <v>1625</v>
      </c>
      <c r="D7" s="1044">
        <f ca="1">'结果表（办公）'!H102</f>
        <v>13449</v>
      </c>
      <c r="E7" s="1962"/>
    </row>
    <row r="8" spans="1:5" ht="15.75">
      <c r="A8" s="1962"/>
      <c r="B8" s="3001" t="str">
        <f>'结果表（办公）'!E103</f>
        <v>2.估价师知悉的法定优先受偿款</v>
      </c>
      <c r="C8" s="1967" t="s">
        <v>1626</v>
      </c>
      <c r="D8" s="1044">
        <f>'结果表（办公）'!H103</f>
        <v>0</v>
      </c>
      <c r="E8" s="1962"/>
    </row>
    <row r="9" spans="1:5" ht="15.75">
      <c r="A9" s="1962"/>
      <c r="B9" s="3003"/>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2994" t="str">
        <f>'结果表（办公）'!E107</f>
        <v>——</v>
      </c>
      <c r="C13" s="1970" t="s">
        <v>1623</v>
      </c>
      <c r="D13" s="1046" t="str">
        <f>'结果表（办公）'!H107</f>
        <v>——</v>
      </c>
      <c r="E13" s="1962"/>
    </row>
    <row r="14" spans="1:5" ht="15.75">
      <c r="A14" s="1962"/>
      <c r="B14" s="2995"/>
      <c r="C14" s="1965" t="s">
        <v>1624</v>
      </c>
      <c r="D14" s="1043" t="e">
        <f>NUMBERSTRING(INT(D13*10000),2)&amp;"元整"</f>
        <v>#VALUE!</v>
      </c>
      <c r="E14" s="1962"/>
    </row>
    <row r="15" spans="1:5" ht="15">
      <c r="A15" s="1962"/>
      <c r="B15" s="3000"/>
      <c r="C15" s="1966" t="s">
        <v>1634</v>
      </c>
      <c r="D15" s="1055" t="e">
        <f>'结果表（办公）'!H108</f>
        <v>#VALUE!</v>
      </c>
      <c r="E15" s="1962"/>
    </row>
    <row r="16" spans="1:5" ht="15">
      <c r="A16" s="1962"/>
      <c r="B16" s="3001" t="str">
        <f>'结果表（办公）'!E109</f>
        <v>3.抵押担保权已注销时的房地产抵押价值</v>
      </c>
      <c r="C16" s="1970" t="s">
        <v>1635</v>
      </c>
      <c r="D16" s="1971">
        <f ca="1">'结果表（办公）'!H109</f>
        <v>5489</v>
      </c>
      <c r="E16" s="1962"/>
    </row>
    <row r="17" spans="1:5" ht="15.75">
      <c r="A17" s="1962"/>
      <c r="B17" s="3002"/>
      <c r="C17" s="1965" t="s">
        <v>1636</v>
      </c>
      <c r="D17" s="1043" t="str">
        <f ca="1">NUMBERSTRING(INT(D16*10000),2)&amp;"元整"</f>
        <v>伍仟肆佰捌拾玖万元整</v>
      </c>
      <c r="E17" s="1962"/>
    </row>
    <row r="18" spans="1:5" ht="15">
      <c r="A18" s="1962"/>
      <c r="B18" s="3003"/>
      <c r="C18" s="1966" t="s">
        <v>1625</v>
      </c>
      <c r="D18" s="1055">
        <f ca="1">'结果表（办公）'!H110</f>
        <v>2565</v>
      </c>
      <c r="E18" s="1962"/>
    </row>
    <row r="19" spans="1:5" ht="15.75">
      <c r="A19" s="1962"/>
      <c r="B19" s="2994" t="str">
        <f>'结果表（办公）'!E111</f>
        <v>——</v>
      </c>
      <c r="C19" s="1970" t="s">
        <v>1623</v>
      </c>
      <c r="D19" s="1044" t="str">
        <f>'结果表（办公）'!H111</f>
        <v>——</v>
      </c>
      <c r="E19" s="1962"/>
    </row>
    <row r="20" spans="1:5" ht="15.75">
      <c r="A20" s="1962"/>
      <c r="B20" s="2995"/>
      <c r="C20" s="1965" t="s">
        <v>1636</v>
      </c>
      <c r="D20" s="1043" t="e">
        <f>NUMBERSTRING(INT(D19*10000),2)&amp;"元整"</f>
        <v>#VALUE!</v>
      </c>
      <c r="E20" s="1962"/>
    </row>
    <row r="21" spans="1:5" ht="15.75" thickBot="1">
      <c r="A21" s="1962"/>
      <c r="B21" s="2996"/>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67" t="s">
        <v>2679</v>
      </c>
      <c r="C1" s="1623" t="s">
        <v>2523</v>
      </c>
      <c r="D1" s="1624"/>
      <c r="E1" s="1633"/>
      <c r="F1" s="2582"/>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4"/>
      <c r="D2" s="1368" t="e">
        <f ca="1">SUMIF(INDIRECT("'"&amp;F2&amp;"'"&amp;"!A:A"),"承租人权益价值",INDIRECT("'"&amp;F2&amp;"'"&amp;"!c:c"))</f>
        <v>#REF!</v>
      </c>
      <c r="E2" s="2585" t="s">
        <v>2321</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21402.85</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81" t="s">
        <v>2644</v>
      </c>
      <c r="Q4" s="3282"/>
      <c r="R4" s="3285" t="s">
        <v>2640</v>
      </c>
      <c r="S4" s="3286"/>
      <c r="T4" s="3285" t="s">
        <v>2641</v>
      </c>
      <c r="U4" s="3286"/>
      <c r="V4" s="3287" t="s">
        <v>2642</v>
      </c>
      <c r="W4" s="3287"/>
      <c r="X4" s="2668"/>
      <c r="Y4" s="3285" t="s">
        <v>2644</v>
      </c>
      <c r="Z4" s="3286"/>
      <c r="AA4" s="3289" t="s">
        <v>2640</v>
      </c>
      <c r="AB4" s="3289" t="s">
        <v>2641</v>
      </c>
      <c r="AC4" s="3278" t="s">
        <v>2642</v>
      </c>
    </row>
    <row r="5" spans="1:29" ht="15">
      <c r="A5" s="404"/>
      <c r="B5" s="405"/>
      <c r="C5" s="3266" t="s">
        <v>2535</v>
      </c>
      <c r="D5" s="3267"/>
      <c r="E5" s="3273" t="s">
        <v>2536</v>
      </c>
      <c r="F5" s="3274"/>
      <c r="G5" s="3266" t="s">
        <v>2537</v>
      </c>
      <c r="H5" s="3267"/>
      <c r="I5" s="3266" t="s">
        <v>2538</v>
      </c>
      <c r="J5" s="3267"/>
      <c r="K5" s="610"/>
      <c r="L5" s="1133"/>
      <c r="M5" s="1134"/>
      <c r="N5" s="1134"/>
      <c r="O5" s="1134"/>
      <c r="P5" s="3283"/>
      <c r="Q5" s="3254"/>
      <c r="R5" s="3259"/>
      <c r="S5" s="3260"/>
      <c r="T5" s="3259"/>
      <c r="U5" s="3260"/>
      <c r="V5" s="3263"/>
      <c r="W5" s="3263"/>
      <c r="X5" s="1816"/>
      <c r="Y5" s="3259"/>
      <c r="Z5" s="3260"/>
      <c r="AA5" s="3245"/>
      <c r="AB5" s="3245"/>
      <c r="AC5" s="3279"/>
    </row>
    <row r="6" spans="1:29" ht="15.75" thickBot="1">
      <c r="A6" s="406"/>
      <c r="B6" s="407"/>
      <c r="C6" s="3264" t="s">
        <v>2539</v>
      </c>
      <c r="D6" s="3265"/>
      <c r="E6" s="3271" t="s">
        <v>2539</v>
      </c>
      <c r="F6" s="3272"/>
      <c r="G6" s="3264" t="s">
        <v>2539</v>
      </c>
      <c r="H6" s="3265"/>
      <c r="I6" s="3264" t="s">
        <v>2539</v>
      </c>
      <c r="J6" s="3265"/>
      <c r="K6" s="610" t="s">
        <v>2540</v>
      </c>
      <c r="L6" s="1133"/>
      <c r="M6" s="1134"/>
      <c r="N6" s="1134"/>
      <c r="O6" s="1134"/>
      <c r="P6" s="3284"/>
      <c r="Q6" s="3256"/>
      <c r="R6" s="3259"/>
      <c r="S6" s="3260"/>
      <c r="T6" s="3261"/>
      <c r="U6" s="3262"/>
      <c r="V6" s="3263"/>
      <c r="W6" s="3263"/>
      <c r="X6" s="1816"/>
      <c r="Y6" s="3261"/>
      <c r="Z6" s="3262"/>
      <c r="AA6" s="3246"/>
      <c r="AB6" s="3246"/>
      <c r="AC6" s="3280"/>
    </row>
    <row r="7" spans="1:29" s="117" customFormat="1" ht="15.75" thickBot="1">
      <c r="A7" s="408" t="s">
        <v>2541</v>
      </c>
      <c r="B7" s="409"/>
      <c r="C7" s="410">
        <f>'数据-取费表'!B2</f>
        <v>43294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8" t="s">
        <v>2542</v>
      </c>
      <c r="Q7" s="3270"/>
      <c r="R7" s="770" t="s">
        <v>17</v>
      </c>
      <c r="S7" s="771">
        <f t="shared" ref="S7:S15" si="0">F7</f>
        <v>0</v>
      </c>
      <c r="T7" s="770" t="s">
        <v>17</v>
      </c>
      <c r="U7" s="771">
        <f t="shared" ref="U7:U15" si="1">H7</f>
        <v>0</v>
      </c>
      <c r="V7" s="770" t="s">
        <v>17</v>
      </c>
      <c r="W7" s="771">
        <f t="shared" ref="W7:W15" si="2">J7</f>
        <v>0</v>
      </c>
      <c r="X7" s="772"/>
      <c r="Y7" s="3268" t="s">
        <v>2542</v>
      </c>
      <c r="Z7" s="3269"/>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8" t="s">
        <v>2545</v>
      </c>
      <c r="Q8" s="3269"/>
      <c r="R8" s="770" t="s">
        <v>17</v>
      </c>
      <c r="S8" s="771">
        <f t="shared" si="0"/>
        <v>0</v>
      </c>
      <c r="T8" s="770" t="s">
        <v>17</v>
      </c>
      <c r="U8" s="771">
        <f t="shared" si="1"/>
        <v>0</v>
      </c>
      <c r="V8" s="770" t="s">
        <v>17</v>
      </c>
      <c r="W8" s="771">
        <f t="shared" si="2"/>
        <v>0</v>
      </c>
      <c r="X8" s="772"/>
      <c r="Y8" s="3268" t="s">
        <v>2545</v>
      </c>
      <c r="Z8" s="3269"/>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3"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2553</v>
      </c>
      <c r="Q15" s="1813" t="str">
        <f t="shared" si="6"/>
        <v>办公集聚程度</v>
      </c>
      <c r="R15" s="774" t="s">
        <v>17</v>
      </c>
      <c r="S15" s="775">
        <f t="shared" si="0"/>
        <v>100</v>
      </c>
      <c r="T15" s="774" t="s">
        <v>17</v>
      </c>
      <c r="U15" s="775">
        <f t="shared" si="1"/>
        <v>100</v>
      </c>
      <c r="V15" s="774" t="s">
        <v>17</v>
      </c>
      <c r="W15" s="775">
        <f t="shared" si="2"/>
        <v>100</v>
      </c>
      <c r="X15" s="1816"/>
      <c r="Y15" s="3234" t="s">
        <v>2553</v>
      </c>
      <c r="Z15" s="1817" t="str">
        <f t="shared" si="7"/>
        <v>办公集聚程度</v>
      </c>
      <c r="AA15" s="1814">
        <f t="shared" si="3"/>
        <v>1</v>
      </c>
      <c r="AB15" s="1814">
        <f t="shared" si="4"/>
        <v>1</v>
      </c>
      <c r="AC15" s="2672">
        <f t="shared" si="5"/>
        <v>1</v>
      </c>
    </row>
    <row r="16" spans="1:29" ht="15">
      <c r="A16" s="428"/>
      <c r="B16" s="630"/>
      <c r="C16" s="2609"/>
      <c r="D16" s="448"/>
      <c r="E16" s="447"/>
      <c r="F16" s="448"/>
      <c r="G16" s="2609"/>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2672">
        <v>1</v>
      </c>
    </row>
    <row r="17" spans="1:29" ht="71.25">
      <c r="A17" s="428"/>
      <c r="B17" s="631" t="s">
        <v>2093</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2672">
        <f t="shared" si="5"/>
        <v>1</v>
      </c>
    </row>
    <row r="18" spans="1:29" ht="15">
      <c r="A18" s="428"/>
      <c r="B18" s="632"/>
      <c r="C18" s="2674"/>
      <c r="D18" s="450"/>
      <c r="E18" s="2607"/>
      <c r="F18" s="450"/>
      <c r="G18" s="2608"/>
      <c r="H18" s="448"/>
      <c r="I18" s="2608"/>
      <c r="J18" s="448"/>
      <c r="K18" s="615"/>
      <c r="L18" s="1143"/>
      <c r="M18" s="1134"/>
      <c r="N18" s="1134"/>
      <c r="O18" s="1134"/>
      <c r="P18" s="3242"/>
      <c r="Q18" s="1813"/>
      <c r="R18" s="774"/>
      <c r="S18" s="775"/>
      <c r="T18" s="774"/>
      <c r="U18" s="775"/>
      <c r="V18" s="774"/>
      <c r="W18" s="775"/>
      <c r="X18" s="1816"/>
      <c r="Y18" s="3235"/>
      <c r="Z18" s="1817"/>
      <c r="AA18" s="1814">
        <v>1</v>
      </c>
      <c r="AB18" s="1814">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2672">
        <f t="shared" si="5"/>
        <v>1</v>
      </c>
    </row>
    <row r="20" spans="1:29" ht="15">
      <c r="A20" s="428"/>
      <c r="B20" s="632"/>
      <c r="C20" s="2609"/>
      <c r="D20" s="448"/>
      <c r="E20" s="2602"/>
      <c r="F20" s="448"/>
      <c r="G20" s="2603"/>
      <c r="H20" s="448"/>
      <c r="I20" s="2603"/>
      <c r="J20" s="448"/>
      <c r="K20" s="615"/>
      <c r="L20" s="1143"/>
      <c r="M20" s="1134"/>
      <c r="N20" s="1134"/>
      <c r="O20" s="1134"/>
      <c r="P20" s="3242"/>
      <c r="Q20" s="1813"/>
      <c r="R20" s="774"/>
      <c r="S20" s="775"/>
      <c r="T20" s="774"/>
      <c r="U20" s="775"/>
      <c r="V20" s="774"/>
      <c r="W20" s="775"/>
      <c r="X20" s="1816"/>
      <c r="Y20" s="3235"/>
      <c r="Z20" s="1817"/>
      <c r="AA20" s="1814">
        <v>1</v>
      </c>
      <c r="AB20" s="1814">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42"/>
      <c r="Q22" s="1813"/>
      <c r="R22" s="774"/>
      <c r="S22" s="775"/>
      <c r="T22" s="774"/>
      <c r="U22" s="775"/>
      <c r="V22" s="774"/>
      <c r="W22" s="775"/>
      <c r="X22" s="1816"/>
      <c r="Y22" s="3235"/>
      <c r="Z22" s="1817"/>
      <c r="AA22" s="1814">
        <v>1</v>
      </c>
      <c r="AB22" s="1814">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2672">
        <f t="shared" si="5"/>
        <v>1</v>
      </c>
    </row>
    <row r="24" spans="1:29" ht="15">
      <c r="A24" s="428"/>
      <c r="B24" s="633"/>
      <c r="C24" s="2609"/>
      <c r="D24" s="448"/>
      <c r="E24" s="2602"/>
      <c r="F24" s="448"/>
      <c r="G24" s="2603"/>
      <c r="H24" s="448"/>
      <c r="I24" s="2603"/>
      <c r="J24" s="448"/>
      <c r="K24" s="615"/>
      <c r="L24" s="1143"/>
      <c r="M24" s="1134"/>
      <c r="N24" s="1134"/>
      <c r="O24" s="1134"/>
      <c r="P24" s="3242"/>
      <c r="Q24" s="1813"/>
      <c r="R24" s="774"/>
      <c r="S24" s="775"/>
      <c r="T24" s="774"/>
      <c r="U24" s="775"/>
      <c r="V24" s="774"/>
      <c r="W24" s="775"/>
      <c r="X24" s="1816"/>
      <c r="Y24" s="3235"/>
      <c r="Z24" s="1817"/>
      <c r="AA24" s="1814">
        <v>1</v>
      </c>
      <c r="AB24" s="1814">
        <v>1</v>
      </c>
      <c r="AC24" s="2672">
        <v>1</v>
      </c>
    </row>
    <row r="25" spans="1:29" ht="27">
      <c r="A25" s="404"/>
      <c r="B25" s="631" t="s">
        <v>2684</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42"/>
      <c r="Q25" s="1813" t="str">
        <f>B25</f>
        <v>毗邻道路的类型与等级</v>
      </c>
      <c r="R25" s="774" t="s">
        <v>17</v>
      </c>
      <c r="S25" s="775">
        <f>F25</f>
        <v>100</v>
      </c>
      <c r="T25" s="774" t="s">
        <v>17</v>
      </c>
      <c r="U25" s="775">
        <f>H25</f>
        <v>100</v>
      </c>
      <c r="V25" s="774" t="s">
        <v>17</v>
      </c>
      <c r="W25" s="775">
        <f>J25</f>
        <v>100</v>
      </c>
      <c r="X25" s="1816"/>
      <c r="Y25" s="3235"/>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42"/>
      <c r="Q26" s="1813"/>
      <c r="R26" s="774"/>
      <c r="S26" s="775"/>
      <c r="T26" s="774"/>
      <c r="U26" s="775"/>
      <c r="V26" s="774"/>
      <c r="W26" s="775"/>
      <c r="X26" s="1816"/>
      <c r="Y26" s="3235"/>
      <c r="Z26" s="1817"/>
      <c r="AA26" s="1814">
        <v>1</v>
      </c>
      <c r="AB26" s="1814">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3" t="str">
        <f t="shared" ref="Q27:Q47" si="11">B27</f>
        <v>楼层</v>
      </c>
      <c r="R27" s="774" t="s">
        <v>17</v>
      </c>
      <c r="S27" s="775">
        <f>F27</f>
        <v>100</v>
      </c>
      <c r="T27" s="774" t="s">
        <v>17</v>
      </c>
      <c r="U27" s="775">
        <f>H27</f>
        <v>100</v>
      </c>
      <c r="V27" s="774" t="s">
        <v>17</v>
      </c>
      <c r="W27" s="775">
        <f>J27</f>
        <v>100</v>
      </c>
      <c r="X27" s="1816"/>
      <c r="Y27" s="3235"/>
      <c r="Z27" s="1817" t="str">
        <f>Q27</f>
        <v>楼层</v>
      </c>
      <c r="AA27" s="1814">
        <f t="shared" si="3"/>
        <v>1</v>
      </c>
      <c r="AB27" s="1814">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42"/>
      <c r="Q28" s="1798" t="str">
        <f t="shared" si="11"/>
        <v>朝向</v>
      </c>
      <c r="R28" s="770" t="s">
        <v>17</v>
      </c>
      <c r="S28" s="771">
        <f>F28</f>
        <v>100</v>
      </c>
      <c r="T28" s="770" t="s">
        <v>17</v>
      </c>
      <c r="U28" s="771">
        <f>H28</f>
        <v>100</v>
      </c>
      <c r="V28" s="770" t="s">
        <v>17</v>
      </c>
      <c r="W28" s="771">
        <f>J28</f>
        <v>100</v>
      </c>
      <c r="X28" s="772"/>
      <c r="Y28" s="3235"/>
      <c r="Z28" s="55" t="str">
        <f>Q28</f>
        <v>朝向</v>
      </c>
      <c r="AA28" s="1814">
        <f>D28/F28</f>
        <v>1</v>
      </c>
      <c r="AB28" s="1814">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42"/>
      <c r="Q29" s="1813">
        <f t="shared" si="11"/>
        <v>111</v>
      </c>
      <c r="R29" s="774" t="s">
        <v>17</v>
      </c>
      <c r="S29" s="775">
        <f t="shared" ref="S29:S47" si="12">F29</f>
        <v>100</v>
      </c>
      <c r="T29" s="774" t="s">
        <v>17</v>
      </c>
      <c r="U29" s="775">
        <f t="shared" ref="U29:U47" si="13">H29</f>
        <v>100</v>
      </c>
      <c r="V29" s="774" t="s">
        <v>17</v>
      </c>
      <c r="W29" s="775">
        <f t="shared" ref="W29:W47" si="14">J29</f>
        <v>100</v>
      </c>
      <c r="X29" s="1816"/>
      <c r="Y29" s="3235"/>
      <c r="Z29" s="1817">
        <f t="shared" ref="Z29:Z47" si="15">Q29</f>
        <v>111</v>
      </c>
      <c r="AA29" s="1814">
        <f t="shared" si="3"/>
        <v>1</v>
      </c>
      <c r="AB29" s="1814">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42"/>
      <c r="Q32" s="1813">
        <f t="shared" si="11"/>
        <v>111</v>
      </c>
      <c r="R32" s="774" t="s">
        <v>17</v>
      </c>
      <c r="S32" s="775">
        <f t="shared" si="12"/>
        <v>100</v>
      </c>
      <c r="T32" s="774" t="s">
        <v>17</v>
      </c>
      <c r="U32" s="775">
        <f t="shared" si="13"/>
        <v>100</v>
      </c>
      <c r="V32" s="774" t="s">
        <v>17</v>
      </c>
      <c r="W32" s="775">
        <f t="shared" si="14"/>
        <v>100</v>
      </c>
      <c r="X32" s="1816"/>
      <c r="Y32" s="3235"/>
      <c r="Z32" s="1817">
        <f t="shared" si="15"/>
        <v>111</v>
      </c>
      <c r="AA32" s="1814">
        <f t="shared" si="3"/>
        <v>1</v>
      </c>
      <c r="AB32" s="1814">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36" t="s">
        <v>2558</v>
      </c>
      <c r="Q33" s="1813" t="str">
        <f t="shared" si="11"/>
        <v>建筑类型</v>
      </c>
      <c r="R33" s="774" t="s">
        <v>17</v>
      </c>
      <c r="S33" s="775">
        <f t="shared" si="12"/>
        <v>100</v>
      </c>
      <c r="T33" s="774" t="s">
        <v>17</v>
      </c>
      <c r="U33" s="775">
        <f t="shared" si="13"/>
        <v>100</v>
      </c>
      <c r="V33" s="774" t="s">
        <v>17</v>
      </c>
      <c r="W33" s="775">
        <f t="shared" si="14"/>
        <v>100</v>
      </c>
      <c r="X33" s="1816"/>
      <c r="Y33" s="3239" t="s">
        <v>2558</v>
      </c>
      <c r="Z33" s="1817" t="str">
        <f t="shared" si="15"/>
        <v>建筑类型</v>
      </c>
      <c r="AA33" s="1814">
        <f t="shared" si="3"/>
        <v>1</v>
      </c>
      <c r="AB33" s="1814">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4" t="e">
        <f t="shared" si="3"/>
        <v>#N/A</v>
      </c>
      <c r="AB34" s="1814"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3" t="str">
        <f t="shared" si="11"/>
        <v>建筑结构</v>
      </c>
      <c r="R35" s="774" t="s">
        <v>17</v>
      </c>
      <c r="S35" s="775">
        <f t="shared" si="12"/>
        <v>100</v>
      </c>
      <c r="T35" s="774" t="s">
        <v>17</v>
      </c>
      <c r="U35" s="775">
        <f t="shared" si="13"/>
        <v>100</v>
      </c>
      <c r="V35" s="774" t="s">
        <v>17</v>
      </c>
      <c r="W35" s="775">
        <f t="shared" si="14"/>
        <v>100</v>
      </c>
      <c r="X35" s="1816"/>
      <c r="Y35" s="3239"/>
      <c r="Z35" s="1817" t="str">
        <f t="shared" si="15"/>
        <v>建筑结构</v>
      </c>
      <c r="AA35" s="1814">
        <f t="shared" si="3"/>
        <v>1</v>
      </c>
      <c r="AB35" s="1814">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3" t="str">
        <f t="shared" si="11"/>
        <v>公共部分装修</v>
      </c>
      <c r="R36" s="774" t="s">
        <v>17</v>
      </c>
      <c r="S36" s="775">
        <f t="shared" si="12"/>
        <v>100</v>
      </c>
      <c r="T36" s="774" t="s">
        <v>17</v>
      </c>
      <c r="U36" s="775">
        <f t="shared" si="13"/>
        <v>100</v>
      </c>
      <c r="V36" s="774" t="s">
        <v>17</v>
      </c>
      <c r="W36" s="775">
        <f t="shared" si="14"/>
        <v>100</v>
      </c>
      <c r="X36" s="1816"/>
      <c r="Y36" s="3239"/>
      <c r="Z36" s="1817" t="str">
        <f t="shared" si="15"/>
        <v>公共部分装修</v>
      </c>
      <c r="AA36" s="1814">
        <f t="shared" si="3"/>
        <v>1</v>
      </c>
      <c r="AB36" s="1814">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3" t="str">
        <f t="shared" si="11"/>
        <v>成新度</v>
      </c>
      <c r="R37" s="774" t="s">
        <v>17</v>
      </c>
      <c r="S37" s="775" t="e">
        <f t="shared" si="12"/>
        <v>#N/A</v>
      </c>
      <c r="T37" s="774" t="s">
        <v>17</v>
      </c>
      <c r="U37" s="775" t="e">
        <f t="shared" si="13"/>
        <v>#N/A</v>
      </c>
      <c r="V37" s="774" t="s">
        <v>17</v>
      </c>
      <c r="W37" s="775" t="e">
        <f t="shared" si="14"/>
        <v>#N/A</v>
      </c>
      <c r="X37" s="1816"/>
      <c r="Y37" s="3239"/>
      <c r="Z37" s="1817" t="str">
        <f t="shared" si="15"/>
        <v>成新度</v>
      </c>
      <c r="AA37" s="1814" t="e">
        <f t="shared" si="3"/>
        <v>#N/A</v>
      </c>
      <c r="AB37" s="1814"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8"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2558</v>
      </c>
      <c r="Q39" s="1813" t="str">
        <f t="shared" si="11"/>
        <v>物业管理</v>
      </c>
      <c r="R39" s="774" t="s">
        <v>17</v>
      </c>
      <c r="S39" s="775">
        <f t="shared" si="12"/>
        <v>100</v>
      </c>
      <c r="T39" s="774" t="s">
        <v>17</v>
      </c>
      <c r="U39" s="775">
        <f t="shared" si="13"/>
        <v>100</v>
      </c>
      <c r="V39" s="774" t="s">
        <v>17</v>
      </c>
      <c r="W39" s="775">
        <f t="shared" si="14"/>
        <v>100</v>
      </c>
      <c r="X39" s="1816"/>
      <c r="Y39" s="3239" t="s">
        <v>2558</v>
      </c>
      <c r="Z39" s="1817" t="str">
        <f t="shared" si="15"/>
        <v>物业管理</v>
      </c>
      <c r="AA39" s="1814">
        <f t="shared" si="3"/>
        <v>1</v>
      </c>
      <c r="AB39" s="1814">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3" t="str">
        <f t="shared" si="11"/>
        <v>市政基础设施</v>
      </c>
      <c r="R40" s="774" t="s">
        <v>17</v>
      </c>
      <c r="S40" s="775">
        <f t="shared" si="12"/>
        <v>100</v>
      </c>
      <c r="T40" s="774" t="s">
        <v>17</v>
      </c>
      <c r="U40" s="775">
        <f t="shared" si="13"/>
        <v>100</v>
      </c>
      <c r="V40" s="774" t="s">
        <v>17</v>
      </c>
      <c r="W40" s="775">
        <f t="shared" si="14"/>
        <v>100</v>
      </c>
      <c r="X40" s="1816"/>
      <c r="Y40" s="3239"/>
      <c r="Z40" s="1817" t="str">
        <f t="shared" si="15"/>
        <v>市政基础设施</v>
      </c>
      <c r="AA40" s="1814">
        <f t="shared" si="3"/>
        <v>1</v>
      </c>
      <c r="AB40" s="1814">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3" t="str">
        <f t="shared" si="11"/>
        <v>层高</v>
      </c>
      <c r="R41" s="774" t="s">
        <v>17</v>
      </c>
      <c r="S41" s="775">
        <f t="shared" si="12"/>
        <v>100</v>
      </c>
      <c r="T41" s="774" t="s">
        <v>17</v>
      </c>
      <c r="U41" s="775">
        <f t="shared" si="13"/>
        <v>100</v>
      </c>
      <c r="V41" s="774" t="s">
        <v>17</v>
      </c>
      <c r="W41" s="775">
        <f t="shared" si="14"/>
        <v>100</v>
      </c>
      <c r="X41" s="1816"/>
      <c r="Y41" s="3239"/>
      <c r="Z41" s="1817" t="str">
        <f t="shared" si="15"/>
        <v>层高</v>
      </c>
      <c r="AA41" s="1814">
        <f t="shared" si="3"/>
        <v>1</v>
      </c>
      <c r="AB41" s="1814">
        <f t="shared" si="4"/>
        <v>1</v>
      </c>
      <c r="AC41" s="2672">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4">
        <f t="shared" si="3"/>
        <v>1</v>
      </c>
      <c r="AB42" s="1814">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3" t="str">
        <f t="shared" si="11"/>
        <v>内部装修</v>
      </c>
      <c r="R43" s="774" t="s">
        <v>17</v>
      </c>
      <c r="S43" s="775">
        <f t="shared" si="12"/>
        <v>100</v>
      </c>
      <c r="T43" s="774" t="s">
        <v>17</v>
      </c>
      <c r="U43" s="775">
        <f t="shared" si="13"/>
        <v>100</v>
      </c>
      <c r="V43" s="774" t="s">
        <v>17</v>
      </c>
      <c r="W43" s="775">
        <f t="shared" si="14"/>
        <v>100</v>
      </c>
      <c r="X43" s="1816"/>
      <c r="Y43" s="3239"/>
      <c r="Z43" s="1817" t="str">
        <f t="shared" si="15"/>
        <v>内部装修</v>
      </c>
      <c r="AA43" s="1814">
        <f t="shared" si="3"/>
        <v>1</v>
      </c>
      <c r="AB43" s="1814">
        <f t="shared" si="4"/>
        <v>1</v>
      </c>
      <c r="AC43" s="2672">
        <f t="shared" si="5"/>
        <v>1</v>
      </c>
    </row>
    <row r="44" spans="1:29" ht="15">
      <c r="A44" s="472"/>
      <c r="B44" s="422" t="s">
        <v>2569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37"/>
      <c r="Q44" s="1813" t="str">
        <f t="shared" si="11"/>
        <v>内部装修维护情况</v>
      </c>
      <c r="R44" s="774" t="s">
        <v>17</v>
      </c>
      <c r="S44" s="775">
        <f t="shared" si="12"/>
        <v>100</v>
      </c>
      <c r="T44" s="774" t="s">
        <v>17</v>
      </c>
      <c r="U44" s="775">
        <f t="shared" si="13"/>
        <v>100</v>
      </c>
      <c r="V44" s="774" t="s">
        <v>17</v>
      </c>
      <c r="W44" s="775">
        <f t="shared" si="14"/>
        <v>100</v>
      </c>
      <c r="X44" s="1816"/>
      <c r="Y44" s="3239"/>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8">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9"/>
      <c r="Z46" s="1817">
        <f t="shared" si="15"/>
        <v>111</v>
      </c>
      <c r="AA46" s="1814">
        <f t="shared" si="3"/>
        <v>1</v>
      </c>
      <c r="AB46" s="1814">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3">
        <f t="shared" si="11"/>
        <v>111</v>
      </c>
      <c r="R47" s="774" t="s">
        <v>17</v>
      </c>
      <c r="S47" s="775">
        <f t="shared" si="12"/>
        <v>100</v>
      </c>
      <c r="T47" s="774" t="s">
        <v>17</v>
      </c>
      <c r="U47" s="775">
        <f t="shared" si="13"/>
        <v>100</v>
      </c>
      <c r="V47" s="774" t="s">
        <v>17</v>
      </c>
      <c r="W47" s="775">
        <f t="shared" si="14"/>
        <v>100</v>
      </c>
      <c r="X47" s="1816"/>
      <c r="Y47" s="3240"/>
      <c r="Z47" s="1817">
        <f t="shared" si="15"/>
        <v>111</v>
      </c>
      <c r="AA47" s="1814">
        <f t="shared" si="3"/>
        <v>1</v>
      </c>
      <c r="AB47" s="1814">
        <f t="shared" si="4"/>
        <v>1</v>
      </c>
      <c r="AC47" s="2672">
        <f t="shared" si="5"/>
        <v>1</v>
      </c>
    </row>
    <row r="48" spans="1:29" ht="15">
      <c r="A48" s="479" t="s">
        <v>2570</v>
      </c>
      <c r="B48" s="480"/>
      <c r="C48" s="1410" t="s">
        <v>1</v>
      </c>
      <c r="D48" s="1411"/>
      <c r="E48" s="1412"/>
      <c r="F48" s="1413"/>
      <c r="G48" s="1414"/>
      <c r="H48" s="1415"/>
      <c r="I48" s="1412"/>
      <c r="J48" s="485"/>
      <c r="K48" s="783"/>
      <c r="L48" s="1146"/>
      <c r="M48" s="1134"/>
      <c r="N48" s="1134"/>
      <c r="O48" s="1134"/>
      <c r="P48" s="3243"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43"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75" t="str">
        <f>A50</f>
        <v>估价对象XX用房的比较价值（楼面单价，元/平方米）</v>
      </c>
      <c r="Q50" s="3276"/>
      <c r="R50" s="3277" t="e">
        <f>IF(F1="售价",ROUND(AVERAGE(R49:V49),0),ROUND(AVERAGE(R49:V49),1))</f>
        <v>#DIV/0!</v>
      </c>
      <c r="S50" s="3277"/>
      <c r="T50" s="3277"/>
      <c r="U50" s="3277"/>
      <c r="V50" s="3277"/>
      <c r="W50" s="3277"/>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79"/>
      <c r="Q58" s="504"/>
    </row>
    <row r="59" spans="1:29" s="508" customFormat="1" ht="15">
      <c r="A59" s="505" t="s">
        <v>2541</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2581</v>
      </c>
      <c r="B64" s="528" t="s">
        <v>2547</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2692</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2556</v>
      </c>
      <c r="B101" s="528" t="s">
        <v>2605</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2607</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2609</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2610</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2611</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2694</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2613</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67" t="s">
        <v>2695</v>
      </c>
      <c r="C1" s="1623" t="s">
        <v>2523</v>
      </c>
      <c r="D1" s="1624"/>
      <c r="E1" s="1633"/>
      <c r="F1" s="2582"/>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4"/>
      <c r="D2" s="1127" t="e">
        <f ca="1">SUMIF(INDIRECT("'"&amp;F2&amp;"'"&amp;"!A:A"),"承租人权益价值",INDIRECT("'"&amp;F2&amp;"'"&amp;"!c:c"))</f>
        <v>#REF!</v>
      </c>
      <c r="E2" s="2585" t="s">
        <v>2321</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21402.85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45" t="s">
        <v>2641</v>
      </c>
      <c r="AC4" s="3244" t="s">
        <v>2642</v>
      </c>
    </row>
    <row r="5" spans="1:29"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2539</v>
      </c>
      <c r="D6" s="3265"/>
      <c r="E6" s="3271" t="s">
        <v>2539</v>
      </c>
      <c r="F6" s="3272"/>
      <c r="G6" s="3264" t="s">
        <v>2539</v>
      </c>
      <c r="H6" s="3265"/>
      <c r="I6" s="3264" t="s">
        <v>2539</v>
      </c>
      <c r="J6" s="3265"/>
      <c r="K6" s="610" t="s">
        <v>2540</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2541</v>
      </c>
      <c r="B7" s="409"/>
      <c r="C7" s="410">
        <f>'数据-取费表'!B2</f>
        <v>43294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8" t="s">
        <v>2542</v>
      </c>
      <c r="Q7" s="3270"/>
      <c r="R7" s="770" t="s">
        <v>17</v>
      </c>
      <c r="S7" s="771">
        <f t="shared" ref="S7:S15" si="0">F7</f>
        <v>0</v>
      </c>
      <c r="T7" s="770" t="s">
        <v>17</v>
      </c>
      <c r="U7" s="771">
        <f t="shared" ref="U7:U15" si="1">H7</f>
        <v>0</v>
      </c>
      <c r="V7" s="770" t="s">
        <v>17</v>
      </c>
      <c r="W7" s="771">
        <f t="shared" ref="W7:W15" si="2">J7</f>
        <v>0</v>
      </c>
      <c r="X7" s="772"/>
      <c r="Y7" s="3268" t="s">
        <v>2542</v>
      </c>
      <c r="Z7" s="326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2"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2552</v>
      </c>
      <c r="B15" s="69" t="s">
        <v>2696</v>
      </c>
      <c r="C15" s="2691" t="str">
        <f>估价对象房地状况!G3</f>
        <v>估价对象位于天竺空港工业区，园区建设成熟度较好，产业集聚程度较好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4" t="s">
        <v>2553</v>
      </c>
      <c r="Q15" s="1813" t="str">
        <f t="shared" si="6"/>
        <v>产业集聚程度</v>
      </c>
      <c r="R15" s="774" t="s">
        <v>17</v>
      </c>
      <c r="S15" s="775">
        <f t="shared" si="0"/>
        <v>100</v>
      </c>
      <c r="T15" s="774" t="s">
        <v>17</v>
      </c>
      <c r="U15" s="775">
        <f t="shared" si="1"/>
        <v>100</v>
      </c>
      <c r="V15" s="774" t="s">
        <v>17</v>
      </c>
      <c r="W15" s="775">
        <f t="shared" si="2"/>
        <v>100</v>
      </c>
      <c r="X15" s="1816"/>
      <c r="Y15" s="3234"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5"/>
      <c r="Q16" s="1813"/>
      <c r="R16" s="774"/>
      <c r="S16" s="775"/>
      <c r="T16" s="774"/>
      <c r="U16" s="775"/>
      <c r="V16" s="774"/>
      <c r="W16" s="775"/>
      <c r="X16" s="1816"/>
      <c r="Y16" s="3235"/>
      <c r="Z16" s="1817"/>
      <c r="AA16" s="1814">
        <v>1</v>
      </c>
      <c r="AB16" s="1814">
        <v>1</v>
      </c>
      <c r="AC16" s="1814">
        <v>1</v>
      </c>
    </row>
    <row r="17" spans="1:29" ht="99.75">
      <c r="A17" s="428"/>
      <c r="B17" s="451" t="s">
        <v>2093</v>
      </c>
      <c r="C17" s="2605" t="str">
        <f>估价对象房地状况!G4</f>
        <v>估价对象周边道路状况较好、公共交通通达情况较好、停车便捷程度较好，综合评价交通便捷度较好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06"/>
      <c r="D18" s="450"/>
      <c r="E18" s="2608"/>
      <c r="F18" s="453"/>
      <c r="G18" s="2607"/>
      <c r="H18" s="448"/>
      <c r="I18" s="2608"/>
      <c r="J18" s="448"/>
      <c r="K18" s="615"/>
      <c r="L18" s="1143"/>
      <c r="M18" s="1134"/>
      <c r="N18" s="1134"/>
      <c r="O18" s="1142"/>
      <c r="P18" s="3235"/>
      <c r="Q18" s="1813"/>
      <c r="R18" s="774"/>
      <c r="S18" s="775"/>
      <c r="T18" s="774"/>
      <c r="U18" s="775"/>
      <c r="V18" s="774"/>
      <c r="W18" s="775"/>
      <c r="X18" s="1816"/>
      <c r="Y18" s="3235"/>
      <c r="Z18" s="1817"/>
      <c r="AA18" s="1814">
        <v>1</v>
      </c>
      <c r="AB18" s="1814">
        <v>1</v>
      </c>
      <c r="AC18" s="1814">
        <v>1</v>
      </c>
    </row>
    <row r="19" spans="1:29" ht="42.75">
      <c r="A19" s="428"/>
      <c r="B19" s="451" t="s">
        <v>2681</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5"/>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3"/>
      <c r="F20" s="449"/>
      <c r="G20" s="2602"/>
      <c r="H20" s="448"/>
      <c r="I20" s="2603"/>
      <c r="J20" s="448"/>
      <c r="K20" s="615"/>
      <c r="L20" s="1143"/>
      <c r="M20" s="1134"/>
      <c r="N20" s="1134"/>
      <c r="O20" s="1142"/>
      <c r="P20" s="3235"/>
      <c r="Q20" s="1813"/>
      <c r="R20" s="774"/>
      <c r="S20" s="775"/>
      <c r="T20" s="774"/>
      <c r="U20" s="775"/>
      <c r="V20" s="774"/>
      <c r="W20" s="775"/>
      <c r="X20" s="1816"/>
      <c r="Y20" s="3235"/>
      <c r="Z20" s="1817"/>
      <c r="AA20" s="1814">
        <v>1</v>
      </c>
      <c r="AB20" s="1814">
        <v>1</v>
      </c>
      <c r="AC20" s="1814">
        <v>1</v>
      </c>
    </row>
    <row r="21" spans="1:29" ht="42.75">
      <c r="A21" s="428"/>
      <c r="B21" s="1387" t="s">
        <v>2682</v>
      </c>
      <c r="C21" s="2605" t="str">
        <f>估价对象房地状况!G6</f>
        <v>估价对象所在区域基础设施水平为六通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5"/>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6"/>
      <c r="D22" s="448"/>
      <c r="E22" s="447"/>
      <c r="F22" s="449"/>
      <c r="G22" s="447"/>
      <c r="H22" s="448"/>
      <c r="I22" s="447"/>
      <c r="J22" s="448"/>
      <c r="K22" s="1386"/>
      <c r="L22" s="1143"/>
      <c r="M22" s="1134"/>
      <c r="N22" s="1134"/>
      <c r="O22" s="1142"/>
      <c r="P22" s="3235"/>
      <c r="Q22" s="1813"/>
      <c r="R22" s="774"/>
      <c r="S22" s="775"/>
      <c r="T22" s="774"/>
      <c r="U22" s="775"/>
      <c r="V22" s="774"/>
      <c r="W22" s="775"/>
      <c r="X22" s="1816"/>
      <c r="Y22" s="3235"/>
      <c r="Z22" s="1817"/>
      <c r="AA22" s="1814">
        <v>1</v>
      </c>
      <c r="AB22" s="1814">
        <v>1</v>
      </c>
      <c r="AC22" s="1814">
        <v>1</v>
      </c>
    </row>
    <row r="23" spans="1:29" ht="71.25">
      <c r="A23" s="428"/>
      <c r="B23" s="451" t="s">
        <v>2683</v>
      </c>
      <c r="C23" s="2605"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5"/>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1814">
        <f t="shared" si="5"/>
        <v>1</v>
      </c>
    </row>
    <row r="24" spans="1:29" ht="15">
      <c r="A24" s="428"/>
      <c r="B24" s="1387"/>
      <c r="C24" s="447"/>
      <c r="D24" s="448"/>
      <c r="E24" s="2603"/>
      <c r="F24" s="449"/>
      <c r="G24" s="2602"/>
      <c r="H24" s="448"/>
      <c r="I24" s="2603"/>
      <c r="J24" s="448"/>
      <c r="K24" s="615"/>
      <c r="L24" s="1143"/>
      <c r="M24" s="1134"/>
      <c r="N24" s="1134"/>
      <c r="O24" s="1142"/>
      <c r="P24" s="3235"/>
      <c r="Q24" s="1813"/>
      <c r="R24" s="774"/>
      <c r="S24" s="775"/>
      <c r="T24" s="774"/>
      <c r="U24" s="775"/>
      <c r="V24" s="774"/>
      <c r="W24" s="775"/>
      <c r="X24" s="1816"/>
      <c r="Y24" s="323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5"/>
      <c r="Q25" s="1813">
        <f>B25</f>
        <v>111</v>
      </c>
      <c r="R25" s="774" t="s">
        <v>17</v>
      </c>
      <c r="S25" s="775">
        <f>F25</f>
        <v>100</v>
      </c>
      <c r="T25" s="774" t="s">
        <v>17</v>
      </c>
      <c r="U25" s="775">
        <f>H25</f>
        <v>100</v>
      </c>
      <c r="V25" s="774" t="s">
        <v>17</v>
      </c>
      <c r="W25" s="775">
        <f>J25</f>
        <v>100</v>
      </c>
      <c r="X25" s="1816"/>
      <c r="Y25" s="323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5"/>
      <c r="Q26" s="1813">
        <f t="shared" ref="Q26:Q40" si="11">B26</f>
        <v>111</v>
      </c>
      <c r="R26" s="774" t="s">
        <v>17</v>
      </c>
      <c r="S26" s="775">
        <f>F26</f>
        <v>100</v>
      </c>
      <c r="T26" s="774" t="s">
        <v>17</v>
      </c>
      <c r="U26" s="775">
        <f>H26</f>
        <v>100</v>
      </c>
      <c r="V26" s="774" t="s">
        <v>17</v>
      </c>
      <c r="W26" s="775">
        <f>J26</f>
        <v>100</v>
      </c>
      <c r="X26" s="1816"/>
      <c r="Y26" s="323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5"/>
      <c r="Q27" s="1798">
        <f t="shared" si="11"/>
        <v>111</v>
      </c>
      <c r="R27" s="770" t="s">
        <v>17</v>
      </c>
      <c r="S27" s="771">
        <f>F27</f>
        <v>100</v>
      </c>
      <c r="T27" s="770" t="s">
        <v>17</v>
      </c>
      <c r="U27" s="771">
        <f>H27</f>
        <v>100</v>
      </c>
      <c r="V27" s="770" t="s">
        <v>17</v>
      </c>
      <c r="W27" s="771">
        <f>J27</f>
        <v>100</v>
      </c>
      <c r="X27" s="772"/>
      <c r="Y27" s="323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5"/>
      <c r="Q28" s="1813">
        <f t="shared" si="11"/>
        <v>111</v>
      </c>
      <c r="R28" s="774" t="s">
        <v>17</v>
      </c>
      <c r="S28" s="775">
        <f t="shared" ref="S28:S40" si="12">F28</f>
        <v>100</v>
      </c>
      <c r="T28" s="774" t="s">
        <v>17</v>
      </c>
      <c r="U28" s="775">
        <f t="shared" ref="U28:U40" si="13">H28</f>
        <v>100</v>
      </c>
      <c r="V28" s="774" t="s">
        <v>17</v>
      </c>
      <c r="W28" s="775">
        <f t="shared" ref="W28:W40" si="14">J28</f>
        <v>100</v>
      </c>
      <c r="X28" s="1816"/>
      <c r="Y28" s="3235"/>
      <c r="Z28" s="1817">
        <f t="shared" ref="Z28:Z40" si="15">Q28</f>
        <v>111</v>
      </c>
      <c r="AA28" s="1814">
        <f t="shared" si="3"/>
        <v>1</v>
      </c>
      <c r="AB28" s="1814">
        <f t="shared" si="4"/>
        <v>1</v>
      </c>
      <c r="AC28" s="1814">
        <f t="shared" si="5"/>
        <v>1</v>
      </c>
    </row>
    <row r="29" spans="1:29" ht="1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90" t="s">
        <v>2558</v>
      </c>
      <c r="Q29" s="1813" t="str">
        <f t="shared" si="11"/>
        <v>建筑类型</v>
      </c>
      <c r="R29" s="774" t="s">
        <v>17</v>
      </c>
      <c r="S29" s="775">
        <f t="shared" si="12"/>
        <v>100</v>
      </c>
      <c r="T29" s="774" t="s">
        <v>17</v>
      </c>
      <c r="U29" s="775">
        <f t="shared" si="13"/>
        <v>100</v>
      </c>
      <c r="V29" s="774" t="s">
        <v>17</v>
      </c>
      <c r="W29" s="775">
        <f t="shared" si="14"/>
        <v>100</v>
      </c>
      <c r="X29" s="1816"/>
      <c r="Y29" s="3239"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9"/>
      <c r="Q31" s="1813" t="str">
        <f t="shared" si="11"/>
        <v>建筑结构</v>
      </c>
      <c r="R31" s="774" t="s">
        <v>17</v>
      </c>
      <c r="S31" s="775">
        <f t="shared" si="12"/>
        <v>100</v>
      </c>
      <c r="T31" s="774" t="s">
        <v>17</v>
      </c>
      <c r="U31" s="775">
        <f t="shared" si="13"/>
        <v>100</v>
      </c>
      <c r="V31" s="774" t="s">
        <v>17</v>
      </c>
      <c r="W31" s="775">
        <f t="shared" si="14"/>
        <v>100</v>
      </c>
      <c r="X31" s="1816"/>
      <c r="Y31" s="3239"/>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9"/>
      <c r="Q32" s="1813" t="str">
        <f t="shared" si="11"/>
        <v>公共部分装修</v>
      </c>
      <c r="R32" s="774" t="s">
        <v>17</v>
      </c>
      <c r="S32" s="775">
        <f t="shared" si="12"/>
        <v>100</v>
      </c>
      <c r="T32" s="774" t="s">
        <v>17</v>
      </c>
      <c r="U32" s="775">
        <f t="shared" si="13"/>
        <v>100</v>
      </c>
      <c r="V32" s="774" t="s">
        <v>17</v>
      </c>
      <c r="W32" s="775">
        <f t="shared" si="14"/>
        <v>100</v>
      </c>
      <c r="X32" s="1816"/>
      <c r="Y32" s="3239"/>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9"/>
      <c r="Q33" s="1813" t="str">
        <f t="shared" si="11"/>
        <v>成新度</v>
      </c>
      <c r="R33" s="774" t="s">
        <v>17</v>
      </c>
      <c r="S33" s="775" t="e">
        <f t="shared" si="12"/>
        <v>#N/A</v>
      </c>
      <c r="T33" s="774" t="s">
        <v>17</v>
      </c>
      <c r="U33" s="775" t="e">
        <f t="shared" si="13"/>
        <v>#N/A</v>
      </c>
      <c r="V33" s="774" t="s">
        <v>17</v>
      </c>
      <c r="W33" s="775" t="e">
        <f t="shared" si="14"/>
        <v>#N/A</v>
      </c>
      <c r="X33" s="1816"/>
      <c r="Y33" s="3239"/>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9"/>
      <c r="Q34" s="1798"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9" t="s">
        <v>2558</v>
      </c>
      <c r="Q35" s="1813" t="str">
        <f t="shared" si="11"/>
        <v>市政基础设施</v>
      </c>
      <c r="R35" s="774" t="s">
        <v>17</v>
      </c>
      <c r="S35" s="775">
        <f t="shared" si="12"/>
        <v>100</v>
      </c>
      <c r="T35" s="774" t="s">
        <v>17</v>
      </c>
      <c r="U35" s="775">
        <f t="shared" si="13"/>
        <v>100</v>
      </c>
      <c r="V35" s="774" t="s">
        <v>17</v>
      </c>
      <c r="W35" s="775">
        <f t="shared" si="14"/>
        <v>100</v>
      </c>
      <c r="X35" s="1816"/>
      <c r="Y35" s="3239"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9"/>
      <c r="Q36" s="1813" t="str">
        <f t="shared" si="11"/>
        <v>内部装修</v>
      </c>
      <c r="R36" s="774" t="s">
        <v>17</v>
      </c>
      <c r="S36" s="775">
        <f t="shared" si="12"/>
        <v>100</v>
      </c>
      <c r="T36" s="774" t="s">
        <v>17</v>
      </c>
      <c r="U36" s="775">
        <f t="shared" si="13"/>
        <v>100</v>
      </c>
      <c r="V36" s="774" t="s">
        <v>17</v>
      </c>
      <c r="W36" s="775">
        <f t="shared" si="14"/>
        <v>100</v>
      </c>
      <c r="X36" s="1816"/>
      <c r="Y36" s="3239"/>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9"/>
      <c r="Q37" s="1813" t="str">
        <f t="shared" si="11"/>
        <v>内部装修状况</v>
      </c>
      <c r="R37" s="774" t="s">
        <v>17</v>
      </c>
      <c r="S37" s="775">
        <f t="shared" si="12"/>
        <v>100</v>
      </c>
      <c r="T37" s="774" t="s">
        <v>17</v>
      </c>
      <c r="U37" s="775">
        <f t="shared" si="13"/>
        <v>100</v>
      </c>
      <c r="V37" s="774" t="s">
        <v>17</v>
      </c>
      <c r="W37" s="775">
        <f t="shared" si="14"/>
        <v>100</v>
      </c>
      <c r="X37" s="1816"/>
      <c r="Y37" s="323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9"/>
      <c r="Q39" s="1813">
        <f t="shared" si="11"/>
        <v>111</v>
      </c>
      <c r="R39" s="774" t="s">
        <v>17</v>
      </c>
      <c r="S39" s="775">
        <f t="shared" si="12"/>
        <v>100</v>
      </c>
      <c r="T39" s="774" t="s">
        <v>17</v>
      </c>
      <c r="U39" s="775">
        <f t="shared" si="13"/>
        <v>100</v>
      </c>
      <c r="V39" s="774" t="s">
        <v>17</v>
      </c>
      <c r="W39" s="775">
        <f t="shared" si="14"/>
        <v>100</v>
      </c>
      <c r="X39" s="1816"/>
      <c r="Y39" s="3239"/>
      <c r="Z39" s="1817">
        <f t="shared" si="15"/>
        <v>111</v>
      </c>
      <c r="AA39" s="1814">
        <f t="shared" si="3"/>
        <v>1</v>
      </c>
      <c r="AB39" s="1814">
        <f t="shared" si="4"/>
        <v>1</v>
      </c>
      <c r="AC39" s="1814">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3">
        <f t="shared" si="11"/>
        <v>111</v>
      </c>
      <c r="R40" s="774" t="s">
        <v>17</v>
      </c>
      <c r="S40" s="775">
        <f t="shared" si="12"/>
        <v>100</v>
      </c>
      <c r="T40" s="774" t="s">
        <v>17</v>
      </c>
      <c r="U40" s="775">
        <f t="shared" si="13"/>
        <v>100</v>
      </c>
      <c r="V40" s="774" t="s">
        <v>17</v>
      </c>
      <c r="W40" s="775">
        <f t="shared" si="14"/>
        <v>100</v>
      </c>
      <c r="X40" s="1816"/>
      <c r="Y40" s="3240"/>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2"/>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4"/>
      <c r="D2" s="1127" t="e">
        <f ca="1">SUMIF(INDIRECT("'"&amp;F2&amp;"'"&amp;"!A:A"),"承租人权益价值",INDIRECT("'"&amp;F2&amp;"'"&amp;"!c:c"))</f>
        <v>#REF!</v>
      </c>
      <c r="E2" s="2585" t="s">
        <v>2321</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45" t="s">
        <v>2641</v>
      </c>
      <c r="AC4" s="3244" t="s">
        <v>2642</v>
      </c>
    </row>
    <row r="5" spans="1:29"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2539</v>
      </c>
      <c r="D6" s="3265"/>
      <c r="E6" s="3271" t="s">
        <v>2539</v>
      </c>
      <c r="F6" s="3272"/>
      <c r="G6" s="3264" t="s">
        <v>2539</v>
      </c>
      <c r="H6" s="3265"/>
      <c r="I6" s="3264" t="s">
        <v>2539</v>
      </c>
      <c r="J6" s="3265"/>
      <c r="K6" s="610" t="s">
        <v>2540</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2541</v>
      </c>
      <c r="B7" s="409"/>
      <c r="C7" s="410">
        <f>'数据-取费表'!B2</f>
        <v>43294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8" t="s">
        <v>2542</v>
      </c>
      <c r="Q7" s="3270"/>
      <c r="R7" s="770" t="s">
        <v>17</v>
      </c>
      <c r="S7" s="771">
        <f t="shared" ref="S7:S14" si="0">F7</f>
        <v>0</v>
      </c>
      <c r="T7" s="770" t="s">
        <v>17</v>
      </c>
      <c r="U7" s="771">
        <f t="shared" ref="U7:U14" si="1">H7</f>
        <v>0</v>
      </c>
      <c r="V7" s="770" t="s">
        <v>17</v>
      </c>
      <c r="W7" s="771">
        <f t="shared" ref="W7:W14" si="2">J7</f>
        <v>0</v>
      </c>
      <c r="X7" s="772"/>
      <c r="Y7" s="3268" t="s">
        <v>2542</v>
      </c>
      <c r="Z7" s="326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2" t="s">
        <v>2548</v>
      </c>
      <c r="Q9" s="1798"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4" t="s">
        <v>2553</v>
      </c>
      <c r="Q14" s="1813" t="str">
        <f t="shared" si="6"/>
        <v>交通便捷度</v>
      </c>
      <c r="R14" s="774" t="s">
        <v>17</v>
      </c>
      <c r="S14" s="775">
        <f t="shared" si="0"/>
        <v>100</v>
      </c>
      <c r="T14" s="774" t="s">
        <v>17</v>
      </c>
      <c r="U14" s="775">
        <f t="shared" si="1"/>
        <v>100</v>
      </c>
      <c r="V14" s="774" t="s">
        <v>17</v>
      </c>
      <c r="W14" s="775">
        <f t="shared" si="2"/>
        <v>100</v>
      </c>
      <c r="X14" s="1816"/>
      <c r="Y14" s="3234"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5"/>
      <c r="Q15" s="1813"/>
      <c r="R15" s="774"/>
      <c r="S15" s="775"/>
      <c r="T15" s="774"/>
      <c r="U15" s="775"/>
      <c r="V15" s="774"/>
      <c r="W15" s="775"/>
      <c r="X15" s="1816"/>
      <c r="Y15" s="3235"/>
      <c r="Z15" s="1817"/>
      <c r="AA15" s="1814">
        <v>1</v>
      </c>
      <c r="AB15" s="1814">
        <v>1</v>
      </c>
      <c r="AC15" s="1814">
        <v>1</v>
      </c>
    </row>
    <row r="16" spans="1:29" ht="42.75">
      <c r="A16" s="404"/>
      <c r="B16" s="631" t="s">
        <v>2681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04"/>
      <c r="B17" s="632"/>
      <c r="C17" s="2606"/>
      <c r="D17" s="448"/>
      <c r="E17" s="447"/>
      <c r="F17" s="449"/>
      <c r="G17" s="447"/>
      <c r="H17" s="448"/>
      <c r="I17" s="447"/>
      <c r="J17" s="448"/>
      <c r="K17" s="615"/>
      <c r="L17" s="1143"/>
      <c r="M17" s="1134"/>
      <c r="N17" s="1134"/>
      <c r="O17" s="1134"/>
      <c r="P17" s="3235"/>
      <c r="Q17" s="1813"/>
      <c r="R17" s="774"/>
      <c r="S17" s="775"/>
      <c r="T17" s="774"/>
      <c r="U17" s="775"/>
      <c r="V17" s="774"/>
      <c r="W17" s="775"/>
      <c r="X17" s="1816"/>
      <c r="Y17" s="3235"/>
      <c r="Z17" s="1817"/>
      <c r="AA17" s="1814">
        <v>1</v>
      </c>
      <c r="AB17" s="1814">
        <v>1</v>
      </c>
      <c r="AC17" s="1814">
        <v>1</v>
      </c>
    </row>
    <row r="18" spans="1:29" ht="28.5">
      <c r="A18" s="404"/>
      <c r="B18" s="633" t="s">
        <v>2682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04"/>
      <c r="B19" s="633"/>
      <c r="C19" s="2606"/>
      <c r="D19" s="450"/>
      <c r="E19" s="2606"/>
      <c r="F19" s="453"/>
      <c r="G19" s="2606"/>
      <c r="H19" s="448"/>
      <c r="I19" s="447"/>
      <c r="J19" s="448"/>
      <c r="K19" s="1386"/>
      <c r="L19" s="1143"/>
      <c r="M19" s="1134"/>
      <c r="N19" s="1134"/>
      <c r="O19" s="1134"/>
      <c r="P19" s="3235"/>
      <c r="Q19" s="1813"/>
      <c r="R19" s="774"/>
      <c r="S19" s="775"/>
      <c r="T19" s="774"/>
      <c r="U19" s="775"/>
      <c r="V19" s="774"/>
      <c r="W19" s="775"/>
      <c r="X19" s="1816"/>
      <c r="Y19" s="3235"/>
      <c r="Z19" s="1817"/>
      <c r="AA19" s="1814">
        <v>1</v>
      </c>
      <c r="AB19" s="1814">
        <v>1</v>
      </c>
      <c r="AC19" s="1814">
        <v>1</v>
      </c>
    </row>
    <row r="20" spans="1:29" ht="57">
      <c r="A20" s="404"/>
      <c r="B20" s="631" t="s">
        <v>2703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5"/>
      <c r="Q21" s="1813"/>
      <c r="R21" s="774"/>
      <c r="S21" s="775"/>
      <c r="T21" s="774"/>
      <c r="U21" s="775"/>
      <c r="V21" s="774"/>
      <c r="W21" s="775"/>
      <c r="X21" s="1816"/>
      <c r="Y21" s="3235"/>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5"/>
      <c r="Q24" s="1813">
        <f t="shared" ref="Q24:Q36"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1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0"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9"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9"/>
      <c r="Q28" s="1813" t="str">
        <f t="shared" si="11"/>
        <v>公共部分装修</v>
      </c>
      <c r="R28" s="774" t="s">
        <v>17</v>
      </c>
      <c r="S28" s="775">
        <f t="shared" si="12"/>
        <v>100</v>
      </c>
      <c r="T28" s="774" t="s">
        <v>17</v>
      </c>
      <c r="U28" s="775">
        <f t="shared" si="13"/>
        <v>100</v>
      </c>
      <c r="V28" s="774" t="s">
        <v>17</v>
      </c>
      <c r="W28" s="775">
        <f t="shared" si="14"/>
        <v>100</v>
      </c>
      <c r="X28" s="1816"/>
      <c r="Y28" s="3239"/>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9"/>
      <c r="Q29" s="1813" t="str">
        <f t="shared" si="11"/>
        <v>成新率</v>
      </c>
      <c r="R29" s="774" t="s">
        <v>17</v>
      </c>
      <c r="S29" s="775" t="e">
        <f t="shared" si="12"/>
        <v>#N/A</v>
      </c>
      <c r="T29" s="774" t="s">
        <v>17</v>
      </c>
      <c r="U29" s="775" t="e">
        <f t="shared" si="13"/>
        <v>#N/A</v>
      </c>
      <c r="V29" s="774" t="s">
        <v>17</v>
      </c>
      <c r="W29" s="775" t="e">
        <f t="shared" si="14"/>
        <v>#N/A</v>
      </c>
      <c r="X29" s="1816"/>
      <c r="Y29" s="3239"/>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9"/>
      <c r="Q30" s="1813" t="str">
        <f t="shared" si="11"/>
        <v>物业等级</v>
      </c>
      <c r="R30" s="774" t="s">
        <v>17</v>
      </c>
      <c r="S30" s="775">
        <f t="shared" si="12"/>
        <v>100</v>
      </c>
      <c r="T30" s="774" t="s">
        <v>17</v>
      </c>
      <c r="U30" s="775">
        <f t="shared" si="13"/>
        <v>100</v>
      </c>
      <c r="V30" s="774" t="s">
        <v>17</v>
      </c>
      <c r="W30" s="775">
        <f t="shared" si="14"/>
        <v>100</v>
      </c>
      <c r="X30" s="1816"/>
      <c r="Y30" s="3239"/>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9"/>
      <c r="Q31" s="1798"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9" t="s">
        <v>2558</v>
      </c>
      <c r="Q32" s="1813" t="str">
        <f t="shared" si="11"/>
        <v>车位类型</v>
      </c>
      <c r="R32" s="774" t="s">
        <v>17</v>
      </c>
      <c r="S32" s="775">
        <f t="shared" si="12"/>
        <v>100</v>
      </c>
      <c r="T32" s="774" t="s">
        <v>17</v>
      </c>
      <c r="U32" s="775">
        <f t="shared" si="13"/>
        <v>100</v>
      </c>
      <c r="V32" s="774" t="s">
        <v>17</v>
      </c>
      <c r="W32" s="775">
        <f t="shared" si="14"/>
        <v>100</v>
      </c>
      <c r="X32" s="1816"/>
      <c r="Y32" s="3239"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9"/>
      <c r="Q33" s="1813" t="str">
        <f t="shared" si="11"/>
        <v>是否直接入户</v>
      </c>
      <c r="R33" s="774" t="s">
        <v>17</v>
      </c>
      <c r="S33" s="775">
        <f t="shared" si="12"/>
        <v>100</v>
      </c>
      <c r="T33" s="774" t="s">
        <v>17</v>
      </c>
      <c r="U33" s="775">
        <f t="shared" si="13"/>
        <v>100</v>
      </c>
      <c r="V33" s="774" t="s">
        <v>17</v>
      </c>
      <c r="W33" s="775">
        <f t="shared" si="14"/>
        <v>100</v>
      </c>
      <c r="X33" s="1816"/>
      <c r="Y33" s="323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9"/>
      <c r="Q36" s="1813">
        <f t="shared" si="11"/>
        <v>111</v>
      </c>
      <c r="R36" s="774" t="s">
        <v>17</v>
      </c>
      <c r="S36" s="775">
        <f t="shared" si="12"/>
        <v>100</v>
      </c>
      <c r="T36" s="774" t="s">
        <v>17</v>
      </c>
      <c r="U36" s="775">
        <f t="shared" si="13"/>
        <v>100</v>
      </c>
      <c r="V36" s="774" t="s">
        <v>17</v>
      </c>
      <c r="W36" s="775">
        <f t="shared" si="14"/>
        <v>100</v>
      </c>
      <c r="X36" s="1816"/>
      <c r="Y36" s="3239"/>
      <c r="Z36" s="1817">
        <f t="shared" si="15"/>
        <v>111</v>
      </c>
      <c r="AA36" s="1814">
        <f t="shared" si="3"/>
        <v>1</v>
      </c>
      <c r="AB36" s="1814">
        <f t="shared" si="4"/>
        <v>1</v>
      </c>
      <c r="AC36" s="1814">
        <f t="shared" si="5"/>
        <v>1</v>
      </c>
    </row>
    <row r="37" spans="1:29" ht="15">
      <c r="A37" s="479" t="s">
        <v>2713</v>
      </c>
      <c r="B37" s="2693" t="s">
        <v>2714</v>
      </c>
      <c r="C37" s="1410" t="s">
        <v>1</v>
      </c>
      <c r="D37" s="1411"/>
      <c r="E37" s="1412"/>
      <c r="F37" s="1413"/>
      <c r="G37" s="1414"/>
      <c r="H37" s="1415"/>
      <c r="I37" s="1412"/>
      <c r="J37" s="1415"/>
      <c r="K37" s="619"/>
      <c r="L37" s="1146"/>
      <c r="M37" s="1147"/>
      <c r="N37" s="1134"/>
      <c r="O37" s="1147"/>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2"/>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4"/>
      <c r="D2" s="1127" t="e">
        <f ca="1">SUMIF(INDIRECT("'"&amp;F2&amp;"'"&amp;"!A:A"),"承租人权益价值",INDIRECT("'"&amp;F2&amp;"'"&amp;"!c:c"))</f>
        <v>#REF!</v>
      </c>
      <c r="E2" s="2585" t="s">
        <v>2321</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45" t="s">
        <v>2641</v>
      </c>
      <c r="AC4" s="3244" t="s">
        <v>2642</v>
      </c>
    </row>
    <row r="5" spans="1:29"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2539</v>
      </c>
      <c r="D6" s="3265"/>
      <c r="E6" s="3271" t="s">
        <v>2539</v>
      </c>
      <c r="F6" s="3272"/>
      <c r="G6" s="3264" t="s">
        <v>2539</v>
      </c>
      <c r="H6" s="3265"/>
      <c r="I6" s="3264" t="s">
        <v>2539</v>
      </c>
      <c r="J6" s="3265"/>
      <c r="K6" s="610" t="s">
        <v>2540</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2541</v>
      </c>
      <c r="B7" s="409"/>
      <c r="C7" s="410">
        <f>'数据-取费表'!B2</f>
        <v>43294</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68" t="s">
        <v>2542</v>
      </c>
      <c r="Q7" s="3270"/>
      <c r="R7" s="770" t="s">
        <v>17</v>
      </c>
      <c r="S7" s="771">
        <f t="shared" ref="S7:S14" si="0">F7</f>
        <v>0</v>
      </c>
      <c r="T7" s="770" t="s">
        <v>17</v>
      </c>
      <c r="U7" s="771">
        <f t="shared" ref="U7:U14" si="1">H7</f>
        <v>0</v>
      </c>
      <c r="V7" s="770" t="s">
        <v>17</v>
      </c>
      <c r="W7" s="771">
        <f t="shared" ref="W7:W14" si="2">J7</f>
        <v>0</v>
      </c>
      <c r="X7" s="772"/>
      <c r="Y7" s="3268" t="s">
        <v>2542</v>
      </c>
      <c r="Z7" s="326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2" t="s">
        <v>2548</v>
      </c>
      <c r="Q9" s="1798"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4" t="s">
        <v>2553</v>
      </c>
      <c r="Q14" s="1813" t="str">
        <f t="shared" si="6"/>
        <v>交通便捷度</v>
      </c>
      <c r="R14" s="774" t="s">
        <v>17</v>
      </c>
      <c r="S14" s="775">
        <f t="shared" si="0"/>
        <v>100</v>
      </c>
      <c r="T14" s="774" t="s">
        <v>17</v>
      </c>
      <c r="U14" s="775">
        <f t="shared" si="1"/>
        <v>100</v>
      </c>
      <c r="V14" s="774" t="s">
        <v>17</v>
      </c>
      <c r="W14" s="775">
        <f t="shared" si="2"/>
        <v>100</v>
      </c>
      <c r="X14" s="1816"/>
      <c r="Y14" s="3234"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5"/>
      <c r="Q15" s="1813"/>
      <c r="R15" s="774"/>
      <c r="S15" s="775"/>
      <c r="T15" s="774"/>
      <c r="U15" s="775"/>
      <c r="V15" s="774"/>
      <c r="W15" s="775"/>
      <c r="X15" s="1816"/>
      <c r="Y15" s="3235"/>
      <c r="Z15" s="1817"/>
      <c r="AA15" s="1814">
        <v>1</v>
      </c>
      <c r="AB15" s="1814">
        <v>1</v>
      </c>
      <c r="AC15" s="1814">
        <v>1</v>
      </c>
    </row>
    <row r="16" spans="1:29" ht="42.75">
      <c r="A16" s="428"/>
      <c r="B16" s="451" t="s">
        <v>2681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28"/>
      <c r="B17" s="456"/>
      <c r="C17" s="2606"/>
      <c r="D17" s="448"/>
      <c r="E17" s="447"/>
      <c r="F17" s="449"/>
      <c r="G17" s="447"/>
      <c r="H17" s="448"/>
      <c r="I17" s="447"/>
      <c r="J17" s="448"/>
      <c r="K17" s="615"/>
      <c r="L17" s="1143"/>
      <c r="M17" s="1134"/>
      <c r="N17" s="1134"/>
      <c r="O17" s="1142"/>
      <c r="P17" s="3235"/>
      <c r="Q17" s="1813"/>
      <c r="R17" s="774"/>
      <c r="S17" s="775"/>
      <c r="T17" s="774"/>
      <c r="U17" s="775"/>
      <c r="V17" s="774"/>
      <c r="W17" s="775"/>
      <c r="X17" s="1816"/>
      <c r="Y17" s="3235"/>
      <c r="Z17" s="1817"/>
      <c r="AA17" s="1814">
        <v>1</v>
      </c>
      <c r="AB17" s="1814">
        <v>1</v>
      </c>
      <c r="AC17" s="1814">
        <v>1</v>
      </c>
    </row>
    <row r="18" spans="1:29" ht="28.5">
      <c r="A18" s="428"/>
      <c r="B18" s="1387" t="s">
        <v>2682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28"/>
      <c r="B19" s="1387"/>
      <c r="C19" s="2606"/>
      <c r="D19" s="450"/>
      <c r="E19" s="2606"/>
      <c r="F19" s="453"/>
      <c r="G19" s="2606"/>
      <c r="H19" s="448"/>
      <c r="I19" s="447"/>
      <c r="J19" s="448"/>
      <c r="K19" s="1386"/>
      <c r="L19" s="1143"/>
      <c r="M19" s="1134"/>
      <c r="N19" s="1134"/>
      <c r="O19" s="1142"/>
      <c r="P19" s="3235"/>
      <c r="Q19" s="1813"/>
      <c r="R19" s="774"/>
      <c r="S19" s="775"/>
      <c r="T19" s="774"/>
      <c r="U19" s="775"/>
      <c r="V19" s="774"/>
      <c r="W19" s="775"/>
      <c r="X19" s="1816"/>
      <c r="Y19" s="3235"/>
      <c r="Z19" s="1817"/>
      <c r="AA19" s="1814">
        <v>1</v>
      </c>
      <c r="AB19" s="1814">
        <v>1</v>
      </c>
      <c r="AC19" s="1814">
        <v>1</v>
      </c>
    </row>
    <row r="20" spans="1:29" ht="57">
      <c r="A20" s="428"/>
      <c r="B20" s="451" t="s">
        <v>2703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5"/>
      <c r="Q21" s="1813"/>
      <c r="R21" s="774"/>
      <c r="S21" s="775"/>
      <c r="T21" s="774"/>
      <c r="U21" s="775"/>
      <c r="V21" s="774"/>
      <c r="W21" s="775"/>
      <c r="X21" s="1816"/>
      <c r="Y21" s="3235"/>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5"/>
      <c r="Q24" s="1813">
        <f t="shared" ref="Q24:Q34"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1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90"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9"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9"/>
      <c r="Q28" s="1813" t="str">
        <f t="shared" si="11"/>
        <v>物业等级</v>
      </c>
      <c r="R28" s="774" t="s">
        <v>17</v>
      </c>
      <c r="S28" s="775">
        <f t="shared" si="12"/>
        <v>100</v>
      </c>
      <c r="T28" s="774" t="s">
        <v>17</v>
      </c>
      <c r="U28" s="775">
        <f t="shared" si="13"/>
        <v>100</v>
      </c>
      <c r="V28" s="774" t="s">
        <v>17</v>
      </c>
      <c r="W28" s="775">
        <f t="shared" si="14"/>
        <v>100</v>
      </c>
      <c r="X28" s="1816"/>
      <c r="Y28" s="3239"/>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9"/>
      <c r="Q29" s="1813" t="str">
        <f t="shared" si="11"/>
        <v>有无电梯</v>
      </c>
      <c r="R29" s="774" t="s">
        <v>17</v>
      </c>
      <c r="S29" s="775">
        <f t="shared" si="12"/>
        <v>100</v>
      </c>
      <c r="T29" s="774" t="s">
        <v>17</v>
      </c>
      <c r="U29" s="775">
        <f t="shared" si="13"/>
        <v>100</v>
      </c>
      <c r="V29" s="774" t="s">
        <v>17</v>
      </c>
      <c r="W29" s="775">
        <f t="shared" si="14"/>
        <v>100</v>
      </c>
      <c r="X29" s="1816"/>
      <c r="Y29" s="3239"/>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9"/>
      <c r="Q30" s="1813" t="str">
        <f t="shared" si="11"/>
        <v>建筑面积</v>
      </c>
      <c r="R30" s="774" t="s">
        <v>17</v>
      </c>
      <c r="S30" s="775" t="e">
        <f t="shared" si="12"/>
        <v>#N/A</v>
      </c>
      <c r="T30" s="774" t="s">
        <v>17</v>
      </c>
      <c r="U30" s="775" t="e">
        <f t="shared" si="13"/>
        <v>#N/A</v>
      </c>
      <c r="V30" s="774" t="s">
        <v>17</v>
      </c>
      <c r="W30" s="775" t="e">
        <f t="shared" si="14"/>
        <v>#N/A</v>
      </c>
      <c r="X30" s="1816"/>
      <c r="Y30" s="3239"/>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9"/>
      <c r="Q31" s="1798"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9" t="s">
        <v>2558</v>
      </c>
      <c r="Q32" s="1813">
        <f t="shared" si="11"/>
        <v>111</v>
      </c>
      <c r="R32" s="774" t="s">
        <v>17</v>
      </c>
      <c r="S32" s="775">
        <f t="shared" si="12"/>
        <v>100</v>
      </c>
      <c r="T32" s="774" t="s">
        <v>17</v>
      </c>
      <c r="U32" s="775">
        <f t="shared" si="13"/>
        <v>100</v>
      </c>
      <c r="V32" s="774" t="s">
        <v>17</v>
      </c>
      <c r="W32" s="775">
        <f t="shared" si="14"/>
        <v>100</v>
      </c>
      <c r="X32" s="1816"/>
      <c r="Y32" s="3239" t="s">
        <v>2558</v>
      </c>
      <c r="Z32" s="1817">
        <f t="shared" si="15"/>
        <v>111</v>
      </c>
      <c r="AA32" s="1814">
        <f t="shared" si="3"/>
        <v>1</v>
      </c>
      <c r="AB32" s="1814">
        <f t="shared" si="4"/>
        <v>1</v>
      </c>
      <c r="AC32" s="1814">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9"/>
      <c r="Q33" s="1813">
        <f t="shared" si="11"/>
        <v>111</v>
      </c>
      <c r="R33" s="774" t="s">
        <v>17</v>
      </c>
      <c r="S33" s="775">
        <f t="shared" si="12"/>
        <v>100</v>
      </c>
      <c r="T33" s="774" t="s">
        <v>17</v>
      </c>
      <c r="U33" s="775">
        <f t="shared" si="13"/>
        <v>100</v>
      </c>
      <c r="V33" s="774" t="s">
        <v>17</v>
      </c>
      <c r="W33" s="775">
        <f t="shared" si="14"/>
        <v>100</v>
      </c>
      <c r="X33" s="1816"/>
      <c r="Y33" s="3239"/>
      <c r="Z33" s="1817">
        <f t="shared" si="15"/>
        <v>111</v>
      </c>
      <c r="AA33" s="1814">
        <f t="shared" si="3"/>
        <v>1</v>
      </c>
      <c r="AB33" s="1814">
        <f t="shared" si="4"/>
        <v>1</v>
      </c>
      <c r="AC33" s="1814">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45" t="s">
        <v>2641</v>
      </c>
      <c r="AC4" s="3244" t="s">
        <v>2642</v>
      </c>
    </row>
    <row r="5" spans="1:30"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45"/>
      <c r="AC5" s="3245"/>
    </row>
    <row r="6" spans="1:30" ht="15.75" thickBot="1">
      <c r="A6" s="406"/>
      <c r="B6" s="407"/>
      <c r="C6" s="3264" t="s">
        <v>2539</v>
      </c>
      <c r="D6" s="3265"/>
      <c r="E6" s="3271" t="s">
        <v>2539</v>
      </c>
      <c r="F6" s="3272"/>
      <c r="G6" s="3264" t="s">
        <v>2539</v>
      </c>
      <c r="H6" s="3265"/>
      <c r="I6" s="3264" t="s">
        <v>2539</v>
      </c>
      <c r="J6" s="3265"/>
      <c r="K6" s="610" t="s">
        <v>2540</v>
      </c>
      <c r="L6" s="1133"/>
      <c r="M6" s="1134"/>
      <c r="N6" s="1134"/>
      <c r="O6" s="1134"/>
      <c r="P6" s="3255"/>
      <c r="Q6" s="3256"/>
      <c r="R6" s="3259"/>
      <c r="S6" s="3260"/>
      <c r="T6" s="3261"/>
      <c r="U6" s="3262"/>
      <c r="V6" s="3263"/>
      <c r="W6" s="3263"/>
      <c r="X6" s="1816"/>
      <c r="Y6" s="3261"/>
      <c r="Z6" s="3262"/>
      <c r="AA6" s="3246"/>
      <c r="AB6" s="3246"/>
      <c r="AC6" s="3246"/>
    </row>
    <row r="7" spans="1:30" s="117" customFormat="1" ht="15.75" thickBot="1">
      <c r="A7" s="408" t="s">
        <v>2541</v>
      </c>
      <c r="B7" s="409"/>
      <c r="C7" s="410">
        <f>'数据-取费表'!B2</f>
        <v>43294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68" t="s">
        <v>2542</v>
      </c>
      <c r="Q7" s="3270"/>
      <c r="R7" s="770" t="s">
        <v>17</v>
      </c>
      <c r="S7" s="771">
        <f t="shared" ref="S7:S15" si="0">F7</f>
        <v>0</v>
      </c>
      <c r="T7" s="770" t="s">
        <v>17</v>
      </c>
      <c r="U7" s="771">
        <f t="shared" ref="U7:U15" si="1">H7</f>
        <v>0</v>
      </c>
      <c r="V7" s="770" t="s">
        <v>17</v>
      </c>
      <c r="W7" s="771">
        <f t="shared" ref="W7:W15" si="2">J7</f>
        <v>0</v>
      </c>
      <c r="X7" s="772"/>
      <c r="Y7" s="3268" t="s">
        <v>2542</v>
      </c>
      <c r="Z7" s="3269"/>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45" si="3">D8/F8</f>
        <v>#DIV/0!</v>
      </c>
      <c r="AB8" s="773" t="e">
        <f t="shared" ref="AB8:AB45" si="4">D8/H8</f>
        <v>#DIV/0!</v>
      </c>
      <c r="AC8" s="773" t="e">
        <f t="shared" ref="AC8:AC45" si="5">D8/J8</f>
        <v>#DIV/0!</v>
      </c>
    </row>
    <row r="9" spans="1:30" s="117" customFormat="1">
      <c r="A9" s="415" t="s">
        <v>2546</v>
      </c>
      <c r="B9" s="71" t="s">
        <v>2547</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232"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32"/>
      <c r="Q10" s="1798"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2552</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4" t="s">
        <v>2553</v>
      </c>
      <c r="Q15" s="1813" t="str">
        <f t="shared" si="6"/>
        <v>居住社区成熟度</v>
      </c>
      <c r="R15" s="774" t="s">
        <v>17</v>
      </c>
      <c r="S15" s="775">
        <f t="shared" si="0"/>
        <v>100</v>
      </c>
      <c r="T15" s="774" t="s">
        <v>17</v>
      </c>
      <c r="U15" s="775">
        <f t="shared" si="1"/>
        <v>100</v>
      </c>
      <c r="V15" s="774" t="s">
        <v>17</v>
      </c>
      <c r="W15" s="775">
        <f t="shared" si="2"/>
        <v>100</v>
      </c>
      <c r="X15" s="1816"/>
      <c r="Y15" s="3234" t="s">
        <v>2553</v>
      </c>
      <c r="Z15" s="1817" t="str">
        <f t="shared" si="7"/>
        <v>居住社区成熟度</v>
      </c>
      <c r="AA15" s="1814">
        <f t="shared" si="3"/>
        <v>1</v>
      </c>
      <c r="AB15" s="1814">
        <f t="shared" si="4"/>
        <v>1</v>
      </c>
      <c r="AC15" s="1814">
        <f t="shared" si="5"/>
        <v>1</v>
      </c>
    </row>
    <row r="16" spans="1:30" ht="15">
      <c r="A16" s="428"/>
      <c r="B16" s="446"/>
      <c r="C16" s="447"/>
      <c r="D16" s="448"/>
      <c r="E16" s="2603"/>
      <c r="F16" s="448"/>
      <c r="G16" s="2603"/>
      <c r="H16" s="450"/>
      <c r="I16" s="2602"/>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5"/>
      <c r="Q17" s="1813" t="str">
        <f>B17</f>
        <v>商业繁华度</v>
      </c>
      <c r="R17" s="774" t="s">
        <v>17</v>
      </c>
      <c r="S17" s="775">
        <f>F17</f>
        <v>100</v>
      </c>
      <c r="T17" s="774" t="s">
        <v>17</v>
      </c>
      <c r="U17" s="775">
        <f>H17</f>
        <v>100</v>
      </c>
      <c r="V17" s="774" t="s">
        <v>17</v>
      </c>
      <c r="W17" s="775">
        <f>J17</f>
        <v>100</v>
      </c>
      <c r="X17" s="1816"/>
      <c r="Y17" s="3235"/>
      <c r="Z17" s="1817" t="str">
        <f>Q17</f>
        <v>商业繁华度</v>
      </c>
      <c r="AA17" s="1814">
        <f t="shared" si="3"/>
        <v>1</v>
      </c>
      <c r="AB17" s="1814">
        <f t="shared" si="4"/>
        <v>1</v>
      </c>
      <c r="AC17" s="1814">
        <f t="shared" si="5"/>
        <v>1</v>
      </c>
    </row>
    <row r="18" spans="1:29" ht="15">
      <c r="A18" s="428"/>
      <c r="B18" s="456"/>
      <c r="C18" s="2606"/>
      <c r="D18" s="450"/>
      <c r="E18" s="2608"/>
      <c r="F18" s="450"/>
      <c r="G18" s="2608"/>
      <c r="H18" s="448"/>
      <c r="I18" s="2607"/>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71.25">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5"/>
      <c r="Q19" s="1813" t="str">
        <f>B19</f>
        <v>办公集聚程度</v>
      </c>
      <c r="R19" s="774" t="s">
        <v>17</v>
      </c>
      <c r="S19" s="775">
        <f>F19</f>
        <v>100</v>
      </c>
      <c r="T19" s="774" t="s">
        <v>17</v>
      </c>
      <c r="U19" s="775">
        <f>H19</f>
        <v>100</v>
      </c>
      <c r="V19" s="774" t="s">
        <v>17</v>
      </c>
      <c r="W19" s="775">
        <f>J19</f>
        <v>100</v>
      </c>
      <c r="X19" s="1816"/>
      <c r="Y19" s="3235"/>
      <c r="Z19" s="1817" t="str">
        <f>Q19</f>
        <v>办公集聚程度</v>
      </c>
      <c r="AA19" s="1814">
        <f t="shared" si="3"/>
        <v>1</v>
      </c>
      <c r="AB19" s="1814">
        <f t="shared" si="4"/>
        <v>1</v>
      </c>
      <c r="AC19" s="1814">
        <f t="shared" si="5"/>
        <v>1</v>
      </c>
    </row>
    <row r="20" spans="1:29" ht="15">
      <c r="A20" s="428"/>
      <c r="B20" s="456"/>
      <c r="C20" s="447"/>
      <c r="D20" s="448"/>
      <c r="E20" s="2603"/>
      <c r="F20" s="448"/>
      <c r="G20" s="2603"/>
      <c r="H20" s="448"/>
      <c r="I20" s="2602"/>
      <c r="J20" s="448"/>
      <c r="K20" s="672"/>
      <c r="L20" s="1143"/>
      <c r="M20" s="1134"/>
      <c r="N20" s="1134"/>
      <c r="O20" s="1142"/>
      <c r="P20" s="3235"/>
      <c r="Q20" s="1813"/>
      <c r="R20" s="774"/>
      <c r="S20" s="775"/>
      <c r="T20" s="774"/>
      <c r="U20" s="775"/>
      <c r="V20" s="774"/>
      <c r="W20" s="775"/>
      <c r="X20" s="1816"/>
      <c r="Y20" s="3235"/>
      <c r="Z20" s="1817"/>
      <c r="AA20" s="1814">
        <v>1</v>
      </c>
      <c r="AB20" s="1814">
        <v>1</v>
      </c>
      <c r="AC20" s="1814">
        <v>1</v>
      </c>
    </row>
    <row r="21" spans="1:29" ht="85.5">
      <c r="A21" s="428"/>
      <c r="B21" s="451" t="s">
        <v>2702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5"/>
      <c r="Q21" s="1813" t="str">
        <f>B21</f>
        <v>交通便捷度</v>
      </c>
      <c r="R21" s="774" t="s">
        <v>17</v>
      </c>
      <c r="S21" s="775">
        <f>F21</f>
        <v>100</v>
      </c>
      <c r="T21" s="774" t="s">
        <v>17</v>
      </c>
      <c r="U21" s="775">
        <f>H21</f>
        <v>100</v>
      </c>
      <c r="V21" s="774" t="s">
        <v>17</v>
      </c>
      <c r="W21" s="775">
        <f>J21</f>
        <v>100</v>
      </c>
      <c r="X21" s="1816"/>
      <c r="Y21" s="3235"/>
      <c r="Z21" s="1817" t="str">
        <f>Q21</f>
        <v>交通便捷度</v>
      </c>
      <c r="AA21" s="1814">
        <f t="shared" si="3"/>
        <v>1</v>
      </c>
      <c r="AB21" s="1814">
        <f t="shared" si="4"/>
        <v>1</v>
      </c>
      <c r="AC21" s="1814">
        <f t="shared" si="5"/>
        <v>1</v>
      </c>
    </row>
    <row r="22" spans="1:29" ht="15">
      <c r="A22" s="428"/>
      <c r="B22" s="1387"/>
      <c r="C22" s="447"/>
      <c r="D22" s="450"/>
      <c r="E22" s="2603"/>
      <c r="F22" s="448"/>
      <c r="G22" s="2603"/>
      <c r="H22" s="448"/>
      <c r="I22" s="2602"/>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5"/>
      <c r="Q23" s="1813" t="str">
        <f t="shared" ref="Q23:Q37" si="8">B23</f>
        <v>区域土地利用方向</v>
      </c>
      <c r="R23" s="774" t="s">
        <v>17</v>
      </c>
      <c r="S23" s="775">
        <f>F23</f>
        <v>100</v>
      </c>
      <c r="T23" s="774" t="s">
        <v>17</v>
      </c>
      <c r="U23" s="775">
        <f>H23</f>
        <v>100</v>
      </c>
      <c r="V23" s="774" t="s">
        <v>17</v>
      </c>
      <c r="W23" s="775">
        <f>J23</f>
        <v>100</v>
      </c>
      <c r="X23" s="1816"/>
      <c r="Y23" s="3235"/>
      <c r="Z23" s="1817" t="str">
        <f>Q23</f>
        <v>区域土地利用方向</v>
      </c>
      <c r="AA23" s="1814">
        <f t="shared" si="3"/>
        <v>1</v>
      </c>
      <c r="AB23" s="1814">
        <f t="shared" si="4"/>
        <v>1</v>
      </c>
      <c r="AC23" s="1814">
        <f t="shared" si="5"/>
        <v>1</v>
      </c>
    </row>
    <row r="24" spans="1:29" ht="15">
      <c r="A24" s="404"/>
      <c r="B24" s="456"/>
      <c r="C24" s="616"/>
      <c r="D24" s="448"/>
      <c r="E24" s="2603"/>
      <c r="F24" s="448"/>
      <c r="G24" s="2602"/>
      <c r="H24" s="448"/>
      <c r="I24" s="2602"/>
      <c r="J24" s="448"/>
      <c r="K24" s="812"/>
      <c r="L24" s="1143"/>
      <c r="M24" s="1134"/>
      <c r="N24" s="1134"/>
      <c r="O24" s="1142"/>
      <c r="P24" s="3235"/>
      <c r="Q24" s="1813"/>
      <c r="R24" s="774"/>
      <c r="S24" s="775"/>
      <c r="T24" s="774"/>
      <c r="U24" s="775"/>
      <c r="V24" s="774"/>
      <c r="W24" s="775"/>
      <c r="X24" s="1816"/>
      <c r="Y24" s="3235"/>
      <c r="Z24" s="1817"/>
      <c r="AA24" s="1814"/>
      <c r="AB24" s="1814"/>
      <c r="AC24" s="1814"/>
    </row>
    <row r="25" spans="1:29" ht="57">
      <c r="A25" s="404"/>
      <c r="B25" s="1387"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5"/>
      <c r="Q25" s="1813" t="str">
        <f t="shared" si="8"/>
        <v>自然及人文环境状况</v>
      </c>
      <c r="R25" s="774" t="s">
        <v>17</v>
      </c>
      <c r="S25" s="775">
        <f>F25</f>
        <v>100</v>
      </c>
      <c r="T25" s="774" t="s">
        <v>17</v>
      </c>
      <c r="U25" s="775">
        <f>H25</f>
        <v>100</v>
      </c>
      <c r="V25" s="774" t="s">
        <v>17</v>
      </c>
      <c r="W25" s="775">
        <f>J25</f>
        <v>100</v>
      </c>
      <c r="X25" s="1816"/>
      <c r="Y25" s="3235"/>
      <c r="Z25" s="1817" t="str">
        <f>Q25</f>
        <v>自然及人文环境状况</v>
      </c>
      <c r="AA25" s="1814">
        <f t="shared" si="3"/>
        <v>1</v>
      </c>
      <c r="AB25" s="1814">
        <f t="shared" si="4"/>
        <v>1</v>
      </c>
      <c r="AC25" s="1814">
        <f t="shared" si="5"/>
        <v>1</v>
      </c>
    </row>
    <row r="26" spans="1:29" ht="15">
      <c r="A26" s="404"/>
      <c r="B26" s="456"/>
      <c r="C26" s="447"/>
      <c r="D26" s="448"/>
      <c r="E26" s="2609"/>
      <c r="F26" s="448"/>
      <c r="G26" s="2609"/>
      <c r="H26" s="448"/>
      <c r="I26" s="447"/>
      <c r="J26" s="448"/>
      <c r="K26" s="672"/>
      <c r="L26" s="1143"/>
      <c r="M26" s="1134"/>
      <c r="N26" s="1134"/>
      <c r="O26" s="1142"/>
      <c r="P26" s="3235"/>
      <c r="Q26" s="1813"/>
      <c r="R26" s="774"/>
      <c r="S26" s="775"/>
      <c r="T26" s="774"/>
      <c r="U26" s="775"/>
      <c r="V26" s="774"/>
      <c r="W26" s="775"/>
      <c r="X26" s="1816"/>
      <c r="Y26" s="3235"/>
      <c r="Z26" s="1817"/>
      <c r="AA26" s="1814">
        <v>1</v>
      </c>
      <c r="AB26" s="1814">
        <v>1</v>
      </c>
      <c r="AC26" s="1814">
        <v>1</v>
      </c>
    </row>
    <row r="27" spans="1:29" s="117" customFormat="1" ht="42.75">
      <c r="A27" s="649"/>
      <c r="B27" s="1387" t="s">
        <v>2647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5"/>
      <c r="Q27" s="1798" t="str">
        <f t="shared" si="8"/>
        <v>公共配套设施</v>
      </c>
      <c r="R27" s="770" t="s">
        <v>17</v>
      </c>
      <c r="S27" s="771">
        <f>F27</f>
        <v>100</v>
      </c>
      <c r="T27" s="770" t="s">
        <v>17</v>
      </c>
      <c r="U27" s="771">
        <f>H27</f>
        <v>100</v>
      </c>
      <c r="V27" s="770" t="s">
        <v>17</v>
      </c>
      <c r="W27" s="771">
        <f>J27</f>
        <v>100</v>
      </c>
      <c r="X27" s="772"/>
      <c r="Y27" s="3235"/>
      <c r="Z27" s="55" t="str">
        <f>Q27</f>
        <v>公共配套设施</v>
      </c>
      <c r="AA27" s="1814">
        <f>D27/F27</f>
        <v>1</v>
      </c>
      <c r="AB27" s="1814">
        <f>D27/H27</f>
        <v>1</v>
      </c>
      <c r="AC27" s="1814">
        <f>D27/J27</f>
        <v>1</v>
      </c>
    </row>
    <row r="28" spans="1:29" s="117" customFormat="1" ht="15">
      <c r="A28" s="649"/>
      <c r="B28" s="456"/>
      <c r="C28" s="2698"/>
      <c r="D28" s="448"/>
      <c r="E28" s="2609"/>
      <c r="F28" s="448"/>
      <c r="G28" s="2609"/>
      <c r="H28" s="448"/>
      <c r="I28" s="447"/>
      <c r="J28" s="448"/>
      <c r="K28" s="672"/>
      <c r="L28" s="1135"/>
      <c r="M28" s="1136"/>
      <c r="N28" s="1136"/>
      <c r="O28" s="1137"/>
      <c r="P28" s="3235"/>
      <c r="Q28" s="1798"/>
      <c r="R28" s="770"/>
      <c r="S28" s="771"/>
      <c r="T28" s="770"/>
      <c r="U28" s="771"/>
      <c r="V28" s="770"/>
      <c r="W28" s="771"/>
      <c r="X28" s="772"/>
      <c r="Y28" s="3235"/>
      <c r="Z28" s="55"/>
      <c r="AA28" s="1814">
        <v>1</v>
      </c>
      <c r="AB28" s="1814">
        <v>1</v>
      </c>
      <c r="AC28" s="1814">
        <v>1</v>
      </c>
    </row>
    <row r="29" spans="1:29" s="117" customFormat="1" ht="28.5">
      <c r="A29" s="649"/>
      <c r="B29" s="1387" t="s">
        <v>2648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5"/>
      <c r="Q29" s="1798"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4">
        <f>D29/F29</f>
        <v>1</v>
      </c>
      <c r="AB29" s="1814">
        <f>D29/H29</f>
        <v>1</v>
      </c>
      <c r="AC29" s="1814">
        <f>D29/J29</f>
        <v>1</v>
      </c>
    </row>
    <row r="30" spans="1:29" s="117" customFormat="1" ht="15">
      <c r="A30" s="649"/>
      <c r="B30" s="456"/>
      <c r="C30" s="2698"/>
      <c r="D30" s="448"/>
      <c r="E30" s="2699"/>
      <c r="F30" s="448"/>
      <c r="G30" s="2699"/>
      <c r="H30" s="448"/>
      <c r="I30" s="2699"/>
      <c r="J30" s="448"/>
      <c r="K30" s="672"/>
      <c r="L30" s="1135"/>
      <c r="M30" s="1136"/>
      <c r="N30" s="1136"/>
      <c r="O30" s="1137"/>
      <c r="P30" s="3235"/>
      <c r="Q30" s="1798"/>
      <c r="R30" s="770"/>
      <c r="S30" s="771"/>
      <c r="T30" s="770"/>
      <c r="U30" s="771"/>
      <c r="V30" s="770"/>
      <c r="W30" s="771"/>
      <c r="X30" s="772"/>
      <c r="Y30" s="3235"/>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5"/>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5"/>
      <c r="Q32" s="1813" t="str">
        <f t="shared" si="8"/>
        <v>毗邻道路的类型与等级</v>
      </c>
      <c r="R32" s="774" t="s">
        <v>17</v>
      </c>
      <c r="S32" s="775">
        <f t="shared" si="10"/>
        <v>100</v>
      </c>
      <c r="T32" s="774" t="s">
        <v>17</v>
      </c>
      <c r="U32" s="775">
        <f t="shared" si="11"/>
        <v>100</v>
      </c>
      <c r="V32" s="774" t="s">
        <v>17</v>
      </c>
      <c r="W32" s="775">
        <f t="shared" si="12"/>
        <v>100</v>
      </c>
      <c r="X32" s="1816"/>
      <c r="Y32" s="3235"/>
      <c r="Z32" s="1817" t="str">
        <f t="shared" si="13"/>
        <v>毗邻道路的类型与等级</v>
      </c>
      <c r="AA32" s="1814">
        <f t="shared" si="3"/>
        <v>1</v>
      </c>
      <c r="AB32" s="1814">
        <f t="shared" si="4"/>
        <v>1</v>
      </c>
      <c r="AC32" s="1814">
        <f t="shared" si="5"/>
        <v>1</v>
      </c>
    </row>
    <row r="33" spans="1:29" ht="15">
      <c r="A33" s="428"/>
      <c r="B33" s="456"/>
      <c r="C33" s="447"/>
      <c r="D33" s="448"/>
      <c r="E33" s="2609"/>
      <c r="F33" s="448"/>
      <c r="G33" s="2609"/>
      <c r="H33" s="448"/>
      <c r="I33" s="447"/>
      <c r="J33" s="448"/>
      <c r="K33" s="613"/>
      <c r="L33" s="1143"/>
      <c r="M33" s="1134"/>
      <c r="N33" s="1134"/>
      <c r="O33" s="1142"/>
      <c r="P33" s="3235"/>
      <c r="Q33" s="1813"/>
      <c r="R33" s="774"/>
      <c r="S33" s="775"/>
      <c r="T33" s="774"/>
      <c r="U33" s="775"/>
      <c r="V33" s="774"/>
      <c r="W33" s="775"/>
      <c r="X33" s="1816"/>
      <c r="Y33" s="3235"/>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5"/>
      <c r="Q34" s="1813" t="str">
        <f t="shared" si="8"/>
        <v>土地级别</v>
      </c>
      <c r="R34" s="774" t="s">
        <v>17</v>
      </c>
      <c r="S34" s="775">
        <f t="shared" si="10"/>
        <v>100</v>
      </c>
      <c r="T34" s="774" t="s">
        <v>17</v>
      </c>
      <c r="U34" s="775">
        <f t="shared" si="11"/>
        <v>100</v>
      </c>
      <c r="V34" s="774" t="s">
        <v>17</v>
      </c>
      <c r="W34" s="775">
        <f t="shared" si="12"/>
        <v>100</v>
      </c>
      <c r="X34" s="1816"/>
      <c r="Y34" s="323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5"/>
      <c r="Q35" s="1813">
        <f t="shared" si="8"/>
        <v>111</v>
      </c>
      <c r="R35" s="774" t="s">
        <v>17</v>
      </c>
      <c r="S35" s="775">
        <f t="shared" si="10"/>
        <v>100</v>
      </c>
      <c r="T35" s="774" t="s">
        <v>17</v>
      </c>
      <c r="U35" s="775">
        <f t="shared" si="11"/>
        <v>100</v>
      </c>
      <c r="V35" s="774" t="s">
        <v>17</v>
      </c>
      <c r="W35" s="775">
        <f t="shared" si="12"/>
        <v>100</v>
      </c>
      <c r="X35" s="1816"/>
      <c r="Y35" s="323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0" t="s">
        <v>2558</v>
      </c>
      <c r="Q36" s="1813">
        <f t="shared" si="8"/>
        <v>111</v>
      </c>
      <c r="R36" s="774" t="s">
        <v>17</v>
      </c>
      <c r="S36" s="775">
        <f t="shared" si="10"/>
        <v>100</v>
      </c>
      <c r="T36" s="774" t="s">
        <v>17</v>
      </c>
      <c r="U36" s="775">
        <f t="shared" si="11"/>
        <v>100</v>
      </c>
      <c r="V36" s="774" t="s">
        <v>17</v>
      </c>
      <c r="W36" s="775">
        <f t="shared" si="12"/>
        <v>100</v>
      </c>
      <c r="X36" s="1816"/>
      <c r="Y36" s="3239"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9"/>
      <c r="Q37" s="1813">
        <f t="shared" si="8"/>
        <v>111</v>
      </c>
      <c r="R37" s="777" t="s">
        <v>17</v>
      </c>
      <c r="S37" s="778">
        <f t="shared" si="10"/>
        <v>100</v>
      </c>
      <c r="T37" s="777" t="s">
        <v>17</v>
      </c>
      <c r="U37" s="778">
        <f t="shared" si="11"/>
        <v>100</v>
      </c>
      <c r="V37" s="777" t="s">
        <v>17</v>
      </c>
      <c r="W37" s="778">
        <f t="shared" si="12"/>
        <v>100</v>
      </c>
      <c r="X37" s="779"/>
      <c r="Y37" s="3239"/>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9"/>
      <c r="Q38" s="1813" t="str">
        <f>B38</f>
        <v>宗地面积</v>
      </c>
      <c r="R38" s="774" t="s">
        <v>17</v>
      </c>
      <c r="S38" s="775" t="e">
        <f t="shared" si="10"/>
        <v>#N/A</v>
      </c>
      <c r="T38" s="774" t="s">
        <v>17</v>
      </c>
      <c r="U38" s="775" t="e">
        <f t="shared" si="11"/>
        <v>#N/A</v>
      </c>
      <c r="V38" s="774" t="s">
        <v>17</v>
      </c>
      <c r="W38" s="775" t="e">
        <f t="shared" si="12"/>
        <v>#N/A</v>
      </c>
      <c r="X38" s="1816"/>
      <c r="Y38" s="3239"/>
      <c r="Z38" s="1817" t="str">
        <f t="shared" si="13"/>
        <v>宗地面积</v>
      </c>
      <c r="AA38" s="1814" t="e">
        <f t="shared" si="3"/>
        <v>#N/A</v>
      </c>
      <c r="AB38" s="1814" t="e">
        <f t="shared" si="4"/>
        <v>#N/A</v>
      </c>
      <c r="AC38" s="1814" t="e">
        <f t="shared" si="5"/>
        <v>#N/A</v>
      </c>
    </row>
    <row r="39" spans="1:29" ht="15">
      <c r="A39" s="472"/>
      <c r="B39" s="422" t="s">
        <v>2745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239"/>
      <c r="Q39" s="1813" t="str">
        <f t="shared" ref="Q39:Q45" si="14">B39</f>
        <v>宗地形状</v>
      </c>
      <c r="R39" s="774" t="s">
        <v>17</v>
      </c>
      <c r="S39" s="775">
        <f t="shared" si="10"/>
        <v>100</v>
      </c>
      <c r="T39" s="774" t="s">
        <v>17</v>
      </c>
      <c r="U39" s="775">
        <f t="shared" si="11"/>
        <v>100</v>
      </c>
      <c r="V39" s="774" t="s">
        <v>17</v>
      </c>
      <c r="W39" s="775">
        <f t="shared" si="12"/>
        <v>100</v>
      </c>
      <c r="X39" s="1816"/>
      <c r="Y39" s="3239"/>
      <c r="Z39" s="1817" t="str">
        <f t="shared" si="13"/>
        <v>宗地形状</v>
      </c>
      <c r="AA39" s="1814">
        <f t="shared" si="3"/>
        <v>1</v>
      </c>
      <c r="AB39" s="1814">
        <f t="shared" si="4"/>
        <v>1</v>
      </c>
      <c r="AC39" s="1814">
        <f t="shared" si="5"/>
        <v>1</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239"/>
      <c r="Q40" s="1813" t="str">
        <f t="shared" si="14"/>
        <v>临街宽度及深度</v>
      </c>
      <c r="R40" s="774" t="s">
        <v>17</v>
      </c>
      <c r="S40" s="775">
        <f t="shared" si="10"/>
        <v>100</v>
      </c>
      <c r="T40" s="774" t="s">
        <v>17</v>
      </c>
      <c r="U40" s="775">
        <f t="shared" si="11"/>
        <v>100</v>
      </c>
      <c r="V40" s="774" t="s">
        <v>17</v>
      </c>
      <c r="W40" s="775">
        <f t="shared" si="12"/>
        <v>100</v>
      </c>
      <c r="X40" s="1816"/>
      <c r="Y40" s="3239"/>
      <c r="Z40" s="1817" t="str">
        <f t="shared" si="13"/>
        <v>临街宽度及深度</v>
      </c>
      <c r="AA40" s="1814">
        <f t="shared" si="3"/>
        <v>1</v>
      </c>
      <c r="AB40" s="1814">
        <f t="shared" si="4"/>
        <v>1</v>
      </c>
      <c r="AC40" s="1814">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39"/>
      <c r="Q41" s="1813"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2748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239" t="s">
        <v>2558</v>
      </c>
      <c r="Q42" s="1813" t="str">
        <f t="shared" si="14"/>
        <v>工程地质条件</v>
      </c>
      <c r="R42" s="774" t="s">
        <v>17</v>
      </c>
      <c r="S42" s="775">
        <f t="shared" si="10"/>
        <v>100</v>
      </c>
      <c r="T42" s="774" t="s">
        <v>17</v>
      </c>
      <c r="U42" s="775">
        <f t="shared" si="11"/>
        <v>100</v>
      </c>
      <c r="V42" s="774" t="s">
        <v>17</v>
      </c>
      <c r="W42" s="775">
        <f t="shared" si="12"/>
        <v>100</v>
      </c>
      <c r="X42" s="1816"/>
      <c r="Y42" s="3239"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9"/>
      <c r="Q43" s="1813">
        <f t="shared" si="14"/>
        <v>111</v>
      </c>
      <c r="R43" s="774" t="s">
        <v>17</v>
      </c>
      <c r="S43" s="775">
        <f t="shared" si="10"/>
        <v>100</v>
      </c>
      <c r="T43" s="774" t="s">
        <v>17</v>
      </c>
      <c r="U43" s="775">
        <f t="shared" si="11"/>
        <v>100</v>
      </c>
      <c r="V43" s="774" t="s">
        <v>17</v>
      </c>
      <c r="W43" s="775">
        <f t="shared" si="12"/>
        <v>100</v>
      </c>
      <c r="X43" s="1816"/>
      <c r="Y43" s="323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9"/>
      <c r="Q44" s="1813">
        <f t="shared" si="14"/>
        <v>111</v>
      </c>
      <c r="R44" s="774" t="s">
        <v>17</v>
      </c>
      <c r="S44" s="775">
        <f t="shared" si="10"/>
        <v>100</v>
      </c>
      <c r="T44" s="774" t="s">
        <v>17</v>
      </c>
      <c r="U44" s="775">
        <f t="shared" si="11"/>
        <v>100</v>
      </c>
      <c r="V44" s="774" t="s">
        <v>17</v>
      </c>
      <c r="W44" s="775">
        <f t="shared" si="12"/>
        <v>100</v>
      </c>
      <c r="X44" s="1816"/>
      <c r="Y44" s="3239"/>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9"/>
      <c r="Q45" s="1813">
        <f t="shared" si="14"/>
        <v>111</v>
      </c>
      <c r="R45" s="777" t="s">
        <v>17</v>
      </c>
      <c r="S45" s="778">
        <f t="shared" si="10"/>
        <v>100</v>
      </c>
      <c r="T45" s="777" t="s">
        <v>17</v>
      </c>
      <c r="U45" s="778">
        <f t="shared" si="11"/>
        <v>100</v>
      </c>
      <c r="V45" s="777" t="s">
        <v>17</v>
      </c>
      <c r="W45" s="778">
        <f t="shared" si="12"/>
        <v>100</v>
      </c>
      <c r="X45" s="779"/>
      <c r="Y45" s="3239"/>
      <c r="Z45" s="780">
        <f t="shared" si="13"/>
        <v>111</v>
      </c>
      <c r="AA45" s="1814">
        <f t="shared" si="3"/>
        <v>1</v>
      </c>
      <c r="AB45" s="1814">
        <f t="shared" si="4"/>
        <v>1</v>
      </c>
      <c r="AC45" s="1814">
        <f t="shared" si="5"/>
        <v>1</v>
      </c>
    </row>
    <row r="46" spans="1:29" ht="15">
      <c r="A46" s="479" t="s">
        <v>2713</v>
      </c>
      <c r="B46" s="2702" t="s">
        <v>2749</v>
      </c>
      <c r="C46" s="682" t="s">
        <v>1</v>
      </c>
      <c r="D46" s="481"/>
      <c r="E46" s="482"/>
      <c r="F46" s="483"/>
      <c r="G46" s="484"/>
      <c r="H46" s="485"/>
      <c r="I46" s="482"/>
      <c r="J46" s="485"/>
      <c r="K46" s="783"/>
      <c r="L46" s="1146"/>
      <c r="M46" s="1147"/>
      <c r="N46" s="1134"/>
      <c r="O46" s="1147"/>
      <c r="P46" s="3232" t="str">
        <f>A46</f>
        <v>成交单价</v>
      </c>
      <c r="Q46" s="3232"/>
      <c r="R46" s="3263">
        <f>E46</f>
        <v>0</v>
      </c>
      <c r="S46" s="3263"/>
      <c r="T46" s="3263">
        <f>G46</f>
        <v>0</v>
      </c>
      <c r="U46" s="3263"/>
      <c r="V46" s="3263">
        <f>I46</f>
        <v>0</v>
      </c>
      <c r="W46" s="3263"/>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32" t="str">
        <f>A47</f>
        <v>比较价值（元/平方米）</v>
      </c>
      <c r="Q47" s="3232"/>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29" t="str">
        <f>A48</f>
        <v>估价对象XX用房的比较价值（楼面单价，元/平方米）</v>
      </c>
      <c r="Q48" s="3230"/>
      <c r="R48" s="3292" t="e">
        <f>ROUND(AVERAGE(R47:V47),0)</f>
        <v>#DIV/0!</v>
      </c>
      <c r="S48" s="3292"/>
      <c r="T48" s="3292"/>
      <c r="U48" s="3292"/>
      <c r="V48" s="3292"/>
      <c r="W48" s="32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3" t="s">
        <v>2753</v>
      </c>
      <c r="D55" s="2704" t="s">
        <v>2754</v>
      </c>
      <c r="E55" s="686" t="s">
        <v>2755</v>
      </c>
      <c r="F55" s="1110" t="s">
        <v>2756</v>
      </c>
      <c r="G55" s="3247" t="s">
        <v>2757</v>
      </c>
      <c r="H55" s="3293"/>
      <c r="I55" s="144" t="s">
        <v>2758</v>
      </c>
      <c r="J55" s="2705">
        <f>项目基本情况!F35</f>
        <v>0</v>
      </c>
      <c r="K55" s="2706" t="s">
        <v>2759</v>
      </c>
      <c r="L55" s="1109"/>
      <c r="M55" s="1147"/>
      <c r="N55" s="1147"/>
      <c r="O55" s="1147"/>
    </row>
    <row r="56" spans="1:15" s="692" customFormat="1">
      <c r="A56" s="688" t="s">
        <v>2760</v>
      </c>
      <c r="B56" s="689" t="e">
        <f>C48</f>
        <v>#DIV/0!</v>
      </c>
      <c r="C56" s="690">
        <v>1</v>
      </c>
      <c r="D56" s="1166">
        <v>1</v>
      </c>
      <c r="E56" s="690">
        <f>'数据-汇总表'!E8+'数据-汇总表'!E9</f>
        <v>21402.85</v>
      </c>
      <c r="F56" s="1106" t="e">
        <f t="shared" ref="F56:F65" si="15">ROUND(B56*E56/10000,0)</f>
        <v>#DIV/0!</v>
      </c>
      <c r="G56" s="3243"/>
      <c r="H56" s="3232"/>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94"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94"/>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94"/>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94"/>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07"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07" t="s">
        <v>2762</v>
      </c>
      <c r="H64" s="1107">
        <f>项目基本情况!B37</f>
        <v>0</v>
      </c>
      <c r="I64" s="1111">
        <f>SUMIF(修正!A45:A56,H64,修正!H45:H56)</f>
        <v>0</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08"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21402.85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09"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0" t="s">
        <v>2776</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47" t="s">
        <v>2639</v>
      </c>
      <c r="D4" s="3248"/>
      <c r="E4" s="3249" t="s">
        <v>2640</v>
      </c>
      <c r="F4" s="3250"/>
      <c r="G4" s="3247" t="s">
        <v>2641</v>
      </c>
      <c r="H4" s="3248"/>
      <c r="I4" s="3247" t="s">
        <v>2642</v>
      </c>
      <c r="J4" s="3248"/>
      <c r="K4" s="610" t="s">
        <v>2643</v>
      </c>
      <c r="L4" s="1133"/>
      <c r="M4" s="1134"/>
      <c r="N4" s="1134"/>
      <c r="O4" s="1134"/>
      <c r="P4" s="3251" t="s">
        <v>2644</v>
      </c>
      <c r="Q4" s="3252"/>
      <c r="R4" s="3257" t="s">
        <v>2640</v>
      </c>
      <c r="S4" s="3258"/>
      <c r="T4" s="3257" t="s">
        <v>2641</v>
      </c>
      <c r="U4" s="3258"/>
      <c r="V4" s="3263" t="s">
        <v>2642</v>
      </c>
      <c r="W4" s="3263"/>
      <c r="X4" s="1816"/>
      <c r="Y4" s="3257" t="s">
        <v>2644</v>
      </c>
      <c r="Z4" s="3258"/>
      <c r="AA4" s="3244" t="s">
        <v>2640</v>
      </c>
      <c r="AB4" s="3245" t="s">
        <v>2641</v>
      </c>
      <c r="AC4" s="3244" t="s">
        <v>2642</v>
      </c>
    </row>
    <row r="5" spans="1:29" ht="15">
      <c r="A5" s="404"/>
      <c r="B5" s="405"/>
      <c r="C5" s="3266" t="s">
        <v>2535</v>
      </c>
      <c r="D5" s="3267"/>
      <c r="E5" s="3273" t="s">
        <v>2536</v>
      </c>
      <c r="F5" s="3274"/>
      <c r="G5" s="3266" t="s">
        <v>2537</v>
      </c>
      <c r="H5" s="3267"/>
      <c r="I5" s="3266" t="s">
        <v>2538</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95" t="s">
        <v>2790</v>
      </c>
      <c r="D6" s="3296"/>
      <c r="E6" s="3297" t="s">
        <v>2790</v>
      </c>
      <c r="F6" s="3298"/>
      <c r="G6" s="3295" t="s">
        <v>2790</v>
      </c>
      <c r="H6" s="3296"/>
      <c r="I6" s="3295" t="s">
        <v>2790</v>
      </c>
      <c r="J6" s="3296"/>
      <c r="K6" s="610" t="s">
        <v>2540</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2541</v>
      </c>
      <c r="B7" s="409"/>
      <c r="C7" s="410">
        <f>'数据-取费表'!B2</f>
        <v>43294</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68" t="s">
        <v>2542</v>
      </c>
      <c r="Q7" s="3270"/>
      <c r="R7" s="770" t="s">
        <v>17</v>
      </c>
      <c r="S7" s="771">
        <f t="shared" ref="S7:S15" si="0">F7</f>
        <v>0</v>
      </c>
      <c r="T7" s="770" t="s">
        <v>17</v>
      </c>
      <c r="U7" s="771">
        <f t="shared" ref="U7:U15" si="1">H7</f>
        <v>0</v>
      </c>
      <c r="V7" s="770" t="s">
        <v>17</v>
      </c>
      <c r="W7" s="771">
        <f t="shared" ref="W7:W15" si="2">J7</f>
        <v>0</v>
      </c>
      <c r="X7" s="772"/>
      <c r="Y7" s="3268" t="s">
        <v>2542</v>
      </c>
      <c r="Z7" s="326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8" t="s">
        <v>2545</v>
      </c>
      <c r="Q8" s="3269"/>
      <c r="R8" s="770" t="s">
        <v>17</v>
      </c>
      <c r="S8" s="771">
        <f t="shared" si="0"/>
        <v>0</v>
      </c>
      <c r="T8" s="770" t="s">
        <v>17</v>
      </c>
      <c r="U8" s="771">
        <f t="shared" si="1"/>
        <v>0</v>
      </c>
      <c r="V8" s="770" t="s">
        <v>17</v>
      </c>
      <c r="W8" s="771">
        <f t="shared" si="2"/>
        <v>0</v>
      </c>
      <c r="X8" s="772"/>
      <c r="Y8" s="3268" t="s">
        <v>2545</v>
      </c>
      <c r="Z8" s="3269"/>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32" t="s">
        <v>2548</v>
      </c>
      <c r="Q9" s="1798"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32"/>
      <c r="Q10" s="1798"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2552</v>
      </c>
      <c r="B15" s="629" t="s">
        <v>2791</v>
      </c>
      <c r="C15" s="2691" t="str">
        <f>估价对象房地状况!G15</f>
        <v>估价对象位于天竺空港工业区，园区建设成熟度较好，产业集聚程度较好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4" t="s">
        <v>2553</v>
      </c>
      <c r="Q15" s="1813" t="str">
        <f t="shared" si="6"/>
        <v>产业集聚程度</v>
      </c>
      <c r="R15" s="774" t="s">
        <v>17</v>
      </c>
      <c r="S15" s="775">
        <f t="shared" si="0"/>
        <v>100</v>
      </c>
      <c r="T15" s="774" t="s">
        <v>17</v>
      </c>
      <c r="U15" s="775">
        <f t="shared" si="1"/>
        <v>100</v>
      </c>
      <c r="V15" s="774" t="s">
        <v>17</v>
      </c>
      <c r="W15" s="775">
        <f t="shared" si="2"/>
        <v>100</v>
      </c>
      <c r="X15" s="1816"/>
      <c r="Y15" s="3234" t="s">
        <v>2553</v>
      </c>
      <c r="Z15" s="1817" t="str">
        <f t="shared" si="7"/>
        <v>产业集聚程度</v>
      </c>
      <c r="AA15" s="1814">
        <f t="shared" si="3"/>
        <v>1</v>
      </c>
      <c r="AB15" s="1814">
        <f t="shared" si="4"/>
        <v>1</v>
      </c>
      <c r="AC15" s="1814">
        <f t="shared" si="5"/>
        <v>1</v>
      </c>
    </row>
    <row r="16" spans="1:29" ht="15">
      <c r="A16" s="428"/>
      <c r="B16" s="630"/>
      <c r="C16" s="447"/>
      <c r="D16" s="448"/>
      <c r="E16" s="2609"/>
      <c r="F16" s="448"/>
      <c r="G16" s="2609"/>
      <c r="H16" s="450"/>
      <c r="I16" s="2609"/>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99.75">
      <c r="A17" s="428"/>
      <c r="B17" s="631" t="s">
        <v>2702</v>
      </c>
      <c r="C17" s="2605"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632"/>
      <c r="C18" s="447"/>
      <c r="D18" s="448"/>
      <c r="E18" s="2603"/>
      <c r="F18" s="448"/>
      <c r="G18" s="2603"/>
      <c r="H18" s="448"/>
      <c r="I18" s="2602"/>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5"/>
      <c r="Q19" s="1813" t="str">
        <f t="shared" ref="Q19:Q33" si="8">B19</f>
        <v>区域土地利用方向</v>
      </c>
      <c r="R19" s="774" t="s">
        <v>17</v>
      </c>
      <c r="S19" s="775">
        <f>F19</f>
        <v>100</v>
      </c>
      <c r="T19" s="774" t="s">
        <v>17</v>
      </c>
      <c r="U19" s="775">
        <f>H19</f>
        <v>100</v>
      </c>
      <c r="V19" s="774" t="s">
        <v>17</v>
      </c>
      <c r="W19" s="775">
        <f>J19</f>
        <v>100</v>
      </c>
      <c r="X19" s="1816"/>
      <c r="Y19" s="3235"/>
      <c r="Z19" s="1817" t="str">
        <f>Q19</f>
        <v>区域土地利用方向</v>
      </c>
      <c r="AA19" s="1814">
        <f t="shared" si="3"/>
        <v>1</v>
      </c>
      <c r="AB19" s="1814">
        <f t="shared" si="4"/>
        <v>1</v>
      </c>
      <c r="AC19" s="1814">
        <f t="shared" si="5"/>
        <v>1</v>
      </c>
    </row>
    <row r="20" spans="1:29" ht="15">
      <c r="A20" s="404"/>
      <c r="B20" s="632"/>
      <c r="C20" s="447"/>
      <c r="D20" s="448"/>
      <c r="E20" s="2603"/>
      <c r="F20" s="448"/>
      <c r="G20" s="2603"/>
      <c r="H20" s="448"/>
      <c r="I20" s="2603"/>
      <c r="J20" s="448"/>
      <c r="K20" s="812"/>
      <c r="L20" s="1143"/>
      <c r="M20" s="1134"/>
      <c r="N20" s="1134"/>
      <c r="O20" s="1142"/>
      <c r="P20" s="3235"/>
      <c r="Q20" s="1813"/>
      <c r="R20" s="774"/>
      <c r="S20" s="775"/>
      <c r="T20" s="774"/>
      <c r="U20" s="775"/>
      <c r="V20" s="774"/>
      <c r="W20" s="775"/>
      <c r="X20" s="1816"/>
      <c r="Y20" s="3235"/>
      <c r="Z20" s="1817"/>
      <c r="AA20" s="1814"/>
      <c r="AB20" s="1814"/>
      <c r="AC20" s="1814"/>
    </row>
    <row r="21" spans="1:29" ht="71.25">
      <c r="A21" s="404"/>
      <c r="B21" s="631" t="s">
        <v>2792</v>
      </c>
      <c r="C21" s="2605"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5"/>
      <c r="Q21" s="1813" t="str">
        <f t="shared" si="8"/>
        <v>环境状况</v>
      </c>
      <c r="R21" s="774" t="s">
        <v>17</v>
      </c>
      <c r="S21" s="775">
        <f>F21</f>
        <v>100</v>
      </c>
      <c r="T21" s="774" t="s">
        <v>17</v>
      </c>
      <c r="U21" s="775">
        <f>H21</f>
        <v>100</v>
      </c>
      <c r="V21" s="774" t="s">
        <v>17</v>
      </c>
      <c r="W21" s="775">
        <f>J21</f>
        <v>100</v>
      </c>
      <c r="X21" s="1816"/>
      <c r="Y21" s="3235"/>
      <c r="Z21" s="1817" t="str">
        <f>Q21</f>
        <v>环境状况</v>
      </c>
      <c r="AA21" s="1814">
        <f t="shared" si="3"/>
        <v>1</v>
      </c>
      <c r="AB21" s="1814">
        <f t="shared" si="4"/>
        <v>1</v>
      </c>
      <c r="AC21" s="1814">
        <f t="shared" si="5"/>
        <v>1</v>
      </c>
    </row>
    <row r="22" spans="1:29" ht="15">
      <c r="A22" s="404"/>
      <c r="B22" s="632"/>
      <c r="C22" s="447"/>
      <c r="D22" s="448"/>
      <c r="E22" s="2609"/>
      <c r="F22" s="448"/>
      <c r="G22" s="2609"/>
      <c r="H22" s="448"/>
      <c r="I22" s="447"/>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s="117" customFormat="1" ht="42.75">
      <c r="A23" s="649"/>
      <c r="B23" s="633" t="s">
        <v>2647</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5"/>
      <c r="Q23" s="1798" t="str">
        <f t="shared" si="8"/>
        <v>公共配套设施</v>
      </c>
      <c r="R23" s="770" t="s">
        <v>17</v>
      </c>
      <c r="S23" s="771">
        <f>F23</f>
        <v>100</v>
      </c>
      <c r="T23" s="770" t="s">
        <v>17</v>
      </c>
      <c r="U23" s="771">
        <f>H23</f>
        <v>100</v>
      </c>
      <c r="V23" s="770" t="s">
        <v>17</v>
      </c>
      <c r="W23" s="771">
        <f>J23</f>
        <v>100</v>
      </c>
      <c r="X23" s="772"/>
      <c r="Y23" s="3235"/>
      <c r="Z23" s="55" t="str">
        <f>Q23</f>
        <v>公共配套设施</v>
      </c>
      <c r="AA23" s="1814">
        <f>D23/F23</f>
        <v>1</v>
      </c>
      <c r="AB23" s="1814">
        <f>D23/H23</f>
        <v>1</v>
      </c>
      <c r="AC23" s="1814">
        <f>D23/J23</f>
        <v>1</v>
      </c>
    </row>
    <row r="24" spans="1:29" s="117" customFormat="1" ht="15">
      <c r="A24" s="649"/>
      <c r="B24" s="632"/>
      <c r="C24" s="2698"/>
      <c r="D24" s="448"/>
      <c r="E24" s="2609"/>
      <c r="F24" s="448"/>
      <c r="G24" s="2609"/>
      <c r="H24" s="448"/>
      <c r="I24" s="447"/>
      <c r="J24" s="448"/>
      <c r="K24" s="672"/>
      <c r="L24" s="1135"/>
      <c r="M24" s="1136"/>
      <c r="N24" s="1136"/>
      <c r="O24" s="1137"/>
      <c r="P24" s="3235"/>
      <c r="Q24" s="1798"/>
      <c r="R24" s="770"/>
      <c r="S24" s="771"/>
      <c r="T24" s="770"/>
      <c r="U24" s="771"/>
      <c r="V24" s="770"/>
      <c r="W24" s="771"/>
      <c r="X24" s="772"/>
      <c r="Y24" s="3235"/>
      <c r="Z24" s="55"/>
      <c r="AA24" s="773">
        <v>1</v>
      </c>
      <c r="AB24" s="773">
        <v>1</v>
      </c>
      <c r="AC24" s="773">
        <v>1</v>
      </c>
    </row>
    <row r="25" spans="1:29" s="117" customFormat="1" ht="42.75">
      <c r="A25" s="649"/>
      <c r="B25" s="633" t="s">
        <v>2648</v>
      </c>
      <c r="C25" s="2605" t="str">
        <f>估价对象房地状况!G20</f>
        <v>估价对象所在区域基础设施水平为六通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5"/>
      <c r="Q25" s="1798"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235"/>
      <c r="Q26" s="1798"/>
      <c r="R26" s="770"/>
      <c r="S26" s="771"/>
      <c r="T26" s="770"/>
      <c r="U26" s="771"/>
      <c r="V26" s="770"/>
      <c r="W26" s="771"/>
      <c r="X26" s="772"/>
      <c r="Y26" s="3235"/>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5"/>
      <c r="Z27" s="1817" t="str">
        <f t="shared" ref="Z27:Z40" si="13">Q27</f>
        <v>临街状况</v>
      </c>
      <c r="AA27" s="1814">
        <f t="shared" si="3"/>
        <v>1</v>
      </c>
      <c r="AB27" s="1814">
        <f t="shared" si="4"/>
        <v>1</v>
      </c>
      <c r="AC27" s="1814">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5"/>
      <c r="Q28" s="1813" t="str">
        <f t="shared" si="8"/>
        <v>毗邻道路的类型与等级</v>
      </c>
      <c r="R28" s="774" t="s">
        <v>17</v>
      </c>
      <c r="S28" s="775">
        <f t="shared" si="10"/>
        <v>100</v>
      </c>
      <c r="T28" s="774" t="s">
        <v>17</v>
      </c>
      <c r="U28" s="775">
        <f t="shared" si="11"/>
        <v>100</v>
      </c>
      <c r="V28" s="774" t="s">
        <v>17</v>
      </c>
      <c r="W28" s="775">
        <f t="shared" si="12"/>
        <v>100</v>
      </c>
      <c r="X28" s="1816"/>
      <c r="Y28" s="3235"/>
      <c r="Z28" s="1817" t="str">
        <f t="shared" si="13"/>
        <v>毗邻道路的类型与等级</v>
      </c>
      <c r="AA28" s="1814">
        <f t="shared" si="3"/>
        <v>1</v>
      </c>
      <c r="AB28" s="1814">
        <f t="shared" si="4"/>
        <v>1</v>
      </c>
      <c r="AC28" s="1814">
        <f t="shared" si="5"/>
        <v>1</v>
      </c>
    </row>
    <row r="29" spans="1:29" ht="15">
      <c r="A29" s="428"/>
      <c r="B29" s="632"/>
      <c r="C29" s="447"/>
      <c r="D29" s="448"/>
      <c r="E29" s="2609"/>
      <c r="F29" s="448"/>
      <c r="G29" s="2609"/>
      <c r="H29" s="448"/>
      <c r="I29" s="2609"/>
      <c r="J29" s="448"/>
      <c r="K29" s="613"/>
      <c r="L29" s="1143"/>
      <c r="M29" s="1134"/>
      <c r="N29" s="1134"/>
      <c r="O29" s="1142"/>
      <c r="P29" s="3235"/>
      <c r="Q29" s="1813"/>
      <c r="R29" s="774"/>
      <c r="S29" s="775"/>
      <c r="T29" s="774"/>
      <c r="U29" s="775"/>
      <c r="V29" s="774"/>
      <c r="W29" s="775"/>
      <c r="X29" s="1816"/>
      <c r="Y29" s="3235"/>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5"/>
      <c r="Q30" s="1813" t="str">
        <f t="shared" si="8"/>
        <v>土地级别</v>
      </c>
      <c r="R30" s="774" t="s">
        <v>17</v>
      </c>
      <c r="S30" s="775">
        <f t="shared" si="10"/>
        <v>100</v>
      </c>
      <c r="T30" s="774" t="s">
        <v>17</v>
      </c>
      <c r="U30" s="775">
        <f t="shared" si="11"/>
        <v>100</v>
      </c>
      <c r="V30" s="774" t="s">
        <v>17</v>
      </c>
      <c r="W30" s="775">
        <f t="shared" si="12"/>
        <v>100</v>
      </c>
      <c r="X30" s="1816"/>
      <c r="Y30" s="3235"/>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5"/>
      <c r="Q31" s="1813">
        <f t="shared" si="8"/>
        <v>111</v>
      </c>
      <c r="R31" s="774" t="s">
        <v>17</v>
      </c>
      <c r="S31" s="775">
        <f t="shared" si="10"/>
        <v>100</v>
      </c>
      <c r="T31" s="774" t="s">
        <v>17</v>
      </c>
      <c r="U31" s="775">
        <f t="shared" si="11"/>
        <v>100</v>
      </c>
      <c r="V31" s="774" t="s">
        <v>17</v>
      </c>
      <c r="W31" s="775">
        <f t="shared" si="12"/>
        <v>100</v>
      </c>
      <c r="X31" s="1816"/>
      <c r="Y31" s="3235"/>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0" t="s">
        <v>2558</v>
      </c>
      <c r="Q32" s="1813">
        <f t="shared" si="8"/>
        <v>111</v>
      </c>
      <c r="R32" s="774" t="s">
        <v>17</v>
      </c>
      <c r="S32" s="775">
        <f t="shared" si="10"/>
        <v>100</v>
      </c>
      <c r="T32" s="774" t="s">
        <v>17</v>
      </c>
      <c r="U32" s="775">
        <f t="shared" si="11"/>
        <v>100</v>
      </c>
      <c r="V32" s="774" t="s">
        <v>17</v>
      </c>
      <c r="W32" s="775">
        <f t="shared" si="12"/>
        <v>100</v>
      </c>
      <c r="X32" s="1816"/>
      <c r="Y32" s="3239" t="s">
        <v>2558</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9"/>
      <c r="Q33" s="1813">
        <f t="shared" si="8"/>
        <v>111</v>
      </c>
      <c r="R33" s="777" t="s">
        <v>17</v>
      </c>
      <c r="S33" s="778">
        <f t="shared" si="10"/>
        <v>100</v>
      </c>
      <c r="T33" s="777" t="s">
        <v>17</v>
      </c>
      <c r="U33" s="778">
        <f t="shared" si="11"/>
        <v>100</v>
      </c>
      <c r="V33" s="777" t="s">
        <v>17</v>
      </c>
      <c r="W33" s="778">
        <f t="shared" si="12"/>
        <v>100</v>
      </c>
      <c r="X33" s="779"/>
      <c r="Y33" s="3239"/>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9"/>
      <c r="Q34" s="1813" t="str">
        <f>B34</f>
        <v>宗地面积</v>
      </c>
      <c r="R34" s="774" t="s">
        <v>17</v>
      </c>
      <c r="S34" s="775" t="e">
        <f t="shared" si="10"/>
        <v>#N/A</v>
      </c>
      <c r="T34" s="774" t="s">
        <v>17</v>
      </c>
      <c r="U34" s="775" t="e">
        <f t="shared" si="11"/>
        <v>#N/A</v>
      </c>
      <c r="V34" s="774" t="s">
        <v>17</v>
      </c>
      <c r="W34" s="775" t="e">
        <f t="shared" si="12"/>
        <v>#N/A</v>
      </c>
      <c r="X34" s="1816"/>
      <c r="Y34" s="3239"/>
      <c r="Z34" s="1817" t="str">
        <f t="shared" si="13"/>
        <v>宗地面积</v>
      </c>
      <c r="AA34" s="1814" t="e">
        <f t="shared" si="3"/>
        <v>#N/A</v>
      </c>
      <c r="AB34" s="1814" t="e">
        <f t="shared" si="4"/>
        <v>#N/A</v>
      </c>
      <c r="AC34" s="1814"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39"/>
      <c r="Q35" s="1813" t="str">
        <f t="shared" ref="Q35:Q40" si="14">B35</f>
        <v>宗地形状</v>
      </c>
      <c r="R35" s="774" t="s">
        <v>17</v>
      </c>
      <c r="S35" s="775">
        <f t="shared" si="10"/>
        <v>100</v>
      </c>
      <c r="T35" s="774" t="s">
        <v>17</v>
      </c>
      <c r="U35" s="775">
        <f t="shared" si="11"/>
        <v>100</v>
      </c>
      <c r="V35" s="774" t="s">
        <v>17</v>
      </c>
      <c r="W35" s="775">
        <f t="shared" si="12"/>
        <v>100</v>
      </c>
      <c r="X35" s="1816"/>
      <c r="Y35" s="3239"/>
      <c r="Z35" s="1817" t="str">
        <f t="shared" si="13"/>
        <v>宗地形状</v>
      </c>
      <c r="AA35" s="1814">
        <f t="shared" si="3"/>
        <v>1</v>
      </c>
      <c r="AB35" s="1814">
        <f t="shared" si="4"/>
        <v>1</v>
      </c>
      <c r="AC35" s="1814">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39"/>
      <c r="Q36" s="1813"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39" t="s">
        <v>2558</v>
      </c>
      <c r="Q37" s="1813" t="str">
        <f t="shared" si="14"/>
        <v>工程地质条件</v>
      </c>
      <c r="R37" s="774" t="s">
        <v>17</v>
      </c>
      <c r="S37" s="775">
        <f t="shared" si="10"/>
        <v>100</v>
      </c>
      <c r="T37" s="774" t="s">
        <v>17</v>
      </c>
      <c r="U37" s="775">
        <f t="shared" si="11"/>
        <v>100</v>
      </c>
      <c r="V37" s="774" t="s">
        <v>17</v>
      </c>
      <c r="W37" s="775">
        <f t="shared" si="12"/>
        <v>100</v>
      </c>
      <c r="X37" s="1816"/>
      <c r="Y37" s="3239"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9"/>
      <c r="Q38" s="1813">
        <f t="shared" si="14"/>
        <v>111</v>
      </c>
      <c r="R38" s="774" t="s">
        <v>17</v>
      </c>
      <c r="S38" s="775">
        <f t="shared" si="10"/>
        <v>100</v>
      </c>
      <c r="T38" s="774" t="s">
        <v>17</v>
      </c>
      <c r="U38" s="775">
        <f t="shared" si="11"/>
        <v>100</v>
      </c>
      <c r="V38" s="774" t="s">
        <v>17</v>
      </c>
      <c r="W38" s="775">
        <f t="shared" si="12"/>
        <v>100</v>
      </c>
      <c r="X38" s="1816"/>
      <c r="Y38" s="323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9"/>
      <c r="Q39" s="1813">
        <f t="shared" si="14"/>
        <v>111</v>
      </c>
      <c r="R39" s="774" t="s">
        <v>17</v>
      </c>
      <c r="S39" s="775">
        <f t="shared" si="10"/>
        <v>100</v>
      </c>
      <c r="T39" s="774" t="s">
        <v>17</v>
      </c>
      <c r="U39" s="775">
        <f t="shared" si="11"/>
        <v>100</v>
      </c>
      <c r="V39" s="774" t="s">
        <v>17</v>
      </c>
      <c r="W39" s="775">
        <f t="shared" si="12"/>
        <v>100</v>
      </c>
      <c r="X39" s="1816"/>
      <c r="Y39" s="3239"/>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9"/>
      <c r="Q40" s="1813">
        <f t="shared" si="14"/>
        <v>111</v>
      </c>
      <c r="R40" s="777" t="s">
        <v>17</v>
      </c>
      <c r="S40" s="778">
        <f t="shared" si="10"/>
        <v>100</v>
      </c>
      <c r="T40" s="777" t="s">
        <v>17</v>
      </c>
      <c r="U40" s="778">
        <f t="shared" si="11"/>
        <v>100</v>
      </c>
      <c r="V40" s="777" t="s">
        <v>17</v>
      </c>
      <c r="W40" s="778">
        <f t="shared" si="12"/>
        <v>100</v>
      </c>
      <c r="X40" s="779"/>
      <c r="Y40" s="3239"/>
      <c r="Z40" s="780">
        <f t="shared" si="13"/>
        <v>111</v>
      </c>
      <c r="AA40" s="1814">
        <f t="shared" si="3"/>
        <v>1</v>
      </c>
      <c r="AB40" s="1814">
        <f t="shared" si="4"/>
        <v>1</v>
      </c>
      <c r="AC40" s="1814">
        <f t="shared" si="5"/>
        <v>1</v>
      </c>
    </row>
    <row r="41" spans="1:29" ht="15">
      <c r="A41" s="479" t="s">
        <v>2713</v>
      </c>
      <c r="B41" s="2702" t="s">
        <v>2793</v>
      </c>
      <c r="C41" s="682" t="s">
        <v>1</v>
      </c>
      <c r="D41" s="481"/>
      <c r="E41" s="482"/>
      <c r="F41" s="483"/>
      <c r="G41" s="484"/>
      <c r="H41" s="485"/>
      <c r="I41" s="482"/>
      <c r="J41" s="485"/>
      <c r="K41" s="783"/>
      <c r="L41" s="1146"/>
      <c r="M41" s="1134"/>
      <c r="N41" s="1134"/>
      <c r="O41" s="1147"/>
      <c r="P41" s="3232" t="str">
        <f>A41</f>
        <v>成交单价</v>
      </c>
      <c r="Q41" s="3232"/>
      <c r="R41" s="3263">
        <f>E41</f>
        <v>0</v>
      </c>
      <c r="S41" s="3263"/>
      <c r="T41" s="3263">
        <f>G41</f>
        <v>0</v>
      </c>
      <c r="U41" s="3263"/>
      <c r="V41" s="3263">
        <f>I41</f>
        <v>0</v>
      </c>
      <c r="W41" s="3263"/>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32" t="str">
        <f>A42</f>
        <v>比较价值（元/平方米）</v>
      </c>
      <c r="Q42" s="3232"/>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92" t="e">
        <f>ROUND(AVERAGE(R42:V42),0)</f>
        <v>#DIV/0!</v>
      </c>
      <c r="S43" s="3292"/>
      <c r="T43" s="3292"/>
      <c r="U43" s="3292"/>
      <c r="V43" s="3292"/>
      <c r="W43" s="32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3" t="s">
        <v>2753</v>
      </c>
      <c r="D50" s="2704" t="s">
        <v>2754</v>
      </c>
      <c r="E50" s="686" t="s">
        <v>2755</v>
      </c>
      <c r="F50" s="687" t="s">
        <v>2756</v>
      </c>
      <c r="G50" s="3247" t="s">
        <v>2757</v>
      </c>
      <c r="H50" s="3293"/>
      <c r="I50" s="1817" t="s">
        <v>2794</v>
      </c>
      <c r="J50" s="1817">
        <f>项目基本情况!F35</f>
        <v>0</v>
      </c>
      <c r="K50" s="2706" t="s">
        <v>2759</v>
      </c>
      <c r="L50" s="1109"/>
      <c r="M50" s="1147"/>
      <c r="N50" s="1147"/>
      <c r="O50" s="1147"/>
    </row>
    <row r="51" spans="1:17" s="692" customFormat="1">
      <c r="A51" s="688" t="s">
        <v>2760</v>
      </c>
      <c r="B51" s="689" t="e">
        <f>C43</f>
        <v>#DIV/0!</v>
      </c>
      <c r="C51" s="690">
        <v>1</v>
      </c>
      <c r="D51" s="1166">
        <v>1</v>
      </c>
      <c r="E51" s="690">
        <f>'数据-汇总表'!E8+'数据-汇总表'!E9</f>
        <v>21402.85</v>
      </c>
      <c r="F51" s="691" t="e">
        <f t="shared" ref="F51:F60" si="15">ROUND(B51*E51/10000,0)</f>
        <v>#DIV/0!</v>
      </c>
      <c r="G51" s="3243"/>
      <c r="H51" s="3232"/>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94"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94"/>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94"/>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94"/>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07"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07"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08"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20000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09"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4" t="s">
        <v>2795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59" t="s">
        <v>2995</v>
      </c>
    </row>
    <row r="2" spans="1:5" ht="15.75">
      <c r="A2" s="2908" t="s">
        <v>2987</v>
      </c>
      <c r="B2" s="2909">
        <f ca="1">SUMIF(B6:B13,"&lt;&gt;#ref!",B6:B13)</f>
        <v>741</v>
      </c>
      <c r="C2" s="2908" t="s">
        <v>2988</v>
      </c>
      <c r="D2" s="2908" t="s">
        <v>2989</v>
      </c>
      <c r="E2" s="2909">
        <f ca="1">SUMIF(E6:E13,"&lt;&gt;#ref!",E6:E13)</f>
        <v>4081.21</v>
      </c>
    </row>
    <row r="3" spans="1:5" ht="15.75">
      <c r="A3" s="2908" t="s">
        <v>2990</v>
      </c>
      <c r="B3" s="2909">
        <f ca="1">ROUND(B2*10000/E2,0)</f>
        <v>1816</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f ca="1">SUMIF(INDIRECT("'"&amp;A6&amp;"'"&amp;"!A:A"),"总价",INDIRECT("'"&amp;A6&amp;"'"&amp;"!B:B"))</f>
        <v>741</v>
      </c>
      <c r="C6" s="2908" t="s">
        <v>2988</v>
      </c>
      <c r="D6" s="2910"/>
      <c r="E6" s="2573">
        <f ca="1">SUMIF(INDIRECT("'"&amp;A6&amp;"'"&amp;"!C:C"),"建筑面积",INDIRECT("'"&amp;A6&amp;"'"&amp;"!D:D"))</f>
        <v>4081.21</v>
      </c>
    </row>
    <row r="7" spans="1:5" ht="15.75">
      <c r="A7" s="2913"/>
      <c r="B7" s="2909" t="e">
        <f ca="1">SUMIF(INDIRECT("'"&amp;A7&amp;"'"&amp;"!A:A"),"总价",INDIRECT("'"&amp;A7&amp;"'"&amp;"!B:B"))</f>
        <v>#REF!</v>
      </c>
      <c r="C7" s="2908" t="s">
        <v>2988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3" t="e">
        <f t="shared" ca="1" si="0"/>
        <v>#REF!</v>
      </c>
    </row>
    <row r="9" spans="1:5" ht="15.75">
      <c r="A9" s="2913"/>
      <c r="B9" s="2909" t="e">
        <f t="shared" ca="1" si="1"/>
        <v>#REF!</v>
      </c>
      <c r="C9" s="2908" t="s">
        <v>2988</v>
      </c>
      <c r="D9" s="2910"/>
      <c r="E9" s="2573" t="e">
        <f t="shared" ca="1" si="0"/>
        <v>#REF!</v>
      </c>
    </row>
    <row r="10" spans="1:5" ht="15.75">
      <c r="A10" s="2913"/>
      <c r="B10" s="2909" t="e">
        <f t="shared" ca="1" si="1"/>
        <v>#REF!</v>
      </c>
      <c r="C10" s="2908" t="s">
        <v>2988</v>
      </c>
      <c r="D10" s="2910"/>
      <c r="E10" s="2573" t="e">
        <f t="shared" ca="1" si="0"/>
        <v>#REF!</v>
      </c>
    </row>
    <row r="11" spans="1:5" ht="15.75">
      <c r="A11" s="2913"/>
      <c r="B11" s="2909" t="e">
        <f t="shared" ca="1" si="1"/>
        <v>#REF!</v>
      </c>
      <c r="C11" s="2908" t="s">
        <v>2988</v>
      </c>
      <c r="D11" s="2910"/>
      <c r="E11" s="2573" t="e">
        <f t="shared" ca="1" si="0"/>
        <v>#REF!</v>
      </c>
    </row>
    <row r="12" spans="1:5" ht="15.75">
      <c r="A12" s="2913"/>
      <c r="B12" s="2909" t="e">
        <f t="shared" ca="1" si="1"/>
        <v>#REF!</v>
      </c>
      <c r="C12" s="2908" t="s">
        <v>2988</v>
      </c>
      <c r="D12" s="2910"/>
      <c r="E12" s="2573" t="e">
        <f t="shared" ca="1" si="0"/>
        <v>#REF!</v>
      </c>
    </row>
    <row r="13" spans="1:5" ht="15.75">
      <c r="A13" s="2913"/>
      <c r="B13" s="2909" t="e">
        <f t="shared" ca="1" si="1"/>
        <v>#REF!</v>
      </c>
      <c r="C13" s="2908" t="s">
        <v>2988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1150</v>
      </c>
      <c r="C1" s="3305"/>
      <c r="D1" s="3305"/>
      <c r="E1" s="3305"/>
      <c r="F1" s="3305"/>
      <c r="G1" s="3304" t="s">
        <v>1151</v>
      </c>
      <c r="H1" s="3304"/>
      <c r="I1" s="3304"/>
      <c r="J1" s="3304"/>
      <c r="K1" s="3304"/>
      <c r="L1" s="3304"/>
      <c r="N1" s="3304" t="s">
        <v>1152</v>
      </c>
      <c r="O1" s="3304"/>
      <c r="P1" s="3304"/>
      <c r="Q1" s="3304"/>
      <c r="R1" s="1449"/>
      <c r="S1" s="3304" t="s">
        <v>1153</v>
      </c>
      <c r="T1" s="3304"/>
      <c r="U1" s="3304"/>
      <c r="V1" s="3304"/>
      <c r="X1" s="3303" t="s">
        <v>1154</v>
      </c>
      <c r="Y1" s="3304"/>
      <c r="Z1" s="3304"/>
      <c r="AA1" s="3304"/>
      <c r="AB1" s="3304"/>
      <c r="AD1" s="3303" t="s">
        <v>1155</v>
      </c>
      <c r="AE1" s="3304"/>
      <c r="AF1" s="3304"/>
      <c r="AG1" s="3304"/>
      <c r="AH1" s="330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3030</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3031</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3038</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7"/>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3029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3026</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0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0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0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0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0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1641</v>
      </c>
      <c r="B2" s="3014" t="s">
        <v>1642</v>
      </c>
      <c r="C2" s="3014" t="s">
        <v>1643</v>
      </c>
      <c r="D2" s="3014" t="str">
        <f>'结果表（办公）'!D116</f>
        <v>出让国有建设用地使用权价值</v>
      </c>
      <c r="E2" s="3014"/>
      <c r="F2" s="3014" t="str">
        <f>'结果表（办公）'!F116</f>
        <v>建筑物价值</v>
      </c>
      <c r="G2" s="3014"/>
      <c r="H2" s="3014" t="str">
        <f>IF(项目基本情况!B9="房地产市场价值","房地产市场价值","房地产价值")</f>
        <v>房地产价值</v>
      </c>
      <c r="I2" s="3014"/>
    </row>
    <row r="3" spans="1:9" ht="15">
      <c r="A3" s="3008"/>
      <c r="B3" s="3008"/>
      <c r="C3" s="3008"/>
      <c r="D3" s="1047" t="s">
        <v>1638</v>
      </c>
      <c r="E3" s="1047" t="s">
        <v>1644</v>
      </c>
      <c r="F3" s="1047" t="s">
        <v>1638</v>
      </c>
      <c r="G3" s="1047" t="s">
        <v>1639</v>
      </c>
      <c r="H3" s="1047" t="s">
        <v>1638</v>
      </c>
      <c r="I3" s="1047" t="s">
        <v>1639</v>
      </c>
    </row>
    <row r="4" spans="1:9" ht="30">
      <c r="A4" s="1976" t="str">
        <f>项目基本情况!S2</f>
        <v>北京市顺义区竺园路6号1、2、3幢全部房地产</v>
      </c>
      <c r="B4" s="1047">
        <f>项目基本情况!C17</f>
        <v>21402.85</v>
      </c>
      <c r="C4" s="1047">
        <f>项目基本情况!C18</f>
        <v>20000</v>
      </c>
      <c r="D4" s="1047">
        <f ca="1">'结果表（办公）'!D118</f>
        <v>2042</v>
      </c>
      <c r="E4" s="1047">
        <f ca="1">'结果表（办公）'!E118</f>
        <v>5003</v>
      </c>
      <c r="F4" s="1047">
        <f ca="1">'结果表（办公）'!F118</f>
        <v>3447</v>
      </c>
      <c r="G4" s="1047">
        <f ca="1">'结果表（办公）'!G118</f>
        <v>8446</v>
      </c>
      <c r="H4" s="1047">
        <f ca="1">'结果表（办公）'!H118</f>
        <v>5489</v>
      </c>
      <c r="I4" s="1047">
        <f ca="1">'结果表（办公）'!I118</f>
        <v>13449</v>
      </c>
    </row>
    <row r="5" spans="1:9" ht="30" customHeight="1">
      <c r="A5" s="3008" t="s">
        <v>1640</v>
      </c>
      <c r="B5" s="3008"/>
      <c r="C5" s="3008"/>
      <c r="D5" s="3009" t="str">
        <f ca="1">'结果表（办公）'!D119</f>
        <v>贰仟零肆拾贰万元整</v>
      </c>
      <c r="E5" s="3009"/>
      <c r="F5" s="3009" t="str">
        <f ca="1">'结果表（办公）'!F119</f>
        <v>叁仟肆佰肆拾柒万元整</v>
      </c>
      <c r="G5" s="3009"/>
      <c r="H5" s="3009" t="str">
        <f ca="1">'结果表（办公）'!H119</f>
        <v>伍仟肆佰捌拾玖万元整</v>
      </c>
      <c r="I5" s="3009"/>
    </row>
    <row r="6" spans="1:9" ht="15.75">
      <c r="A6" s="3007" t="str">
        <f>'结果表（办公）'!A120</f>
        <v>估价师知悉的法定优先受偿款</v>
      </c>
      <c r="B6" s="3007"/>
      <c r="C6" s="3007"/>
      <c r="D6" s="3007">
        <f>'结果表（办公）'!D120</f>
        <v>0</v>
      </c>
      <c r="E6" s="3007"/>
      <c r="F6" s="3007"/>
      <c r="G6" s="3007"/>
      <c r="H6" s="3007"/>
      <c r="I6" s="3007"/>
    </row>
    <row r="7" spans="1:9" ht="15">
      <c r="A7" s="3008" t="s">
        <v>1640</v>
      </c>
      <c r="B7" s="3008"/>
      <c r="C7" s="3008"/>
      <c r="D7" s="3010" t="str">
        <f>'结果表（办公）'!D121</f>
        <v>零元整</v>
      </c>
      <c r="E7" s="3011"/>
      <c r="F7" s="3011"/>
      <c r="G7" s="3011"/>
      <c r="H7" s="3011"/>
      <c r="I7" s="3012"/>
    </row>
    <row r="8" spans="1:9" ht="15.75">
      <c r="A8" s="3007" t="str">
        <f>'结果表（办公）'!A122</f>
        <v/>
      </c>
      <c r="B8" s="3007"/>
      <c r="C8" s="3007"/>
      <c r="D8" s="3007" t="str">
        <f>'结果表（办公）'!D122</f>
        <v>——</v>
      </c>
      <c r="E8" s="3007"/>
      <c r="F8" s="3007"/>
      <c r="G8" s="3007"/>
      <c r="H8" s="3007"/>
      <c r="I8" s="3007"/>
    </row>
    <row r="9" spans="1:9" ht="15">
      <c r="A9" s="3008" t="s">
        <v>1640</v>
      </c>
      <c r="B9" s="3008"/>
      <c r="C9" s="3008"/>
      <c r="D9" s="3009" t="e">
        <f>'结果表（办公）'!D123</f>
        <v>#VALUE!</v>
      </c>
      <c r="E9" s="3009"/>
      <c r="F9" s="3009"/>
      <c r="G9" s="3009"/>
      <c r="H9" s="3009"/>
      <c r="I9" s="3009"/>
    </row>
    <row r="10" spans="1:9" ht="15.75">
      <c r="A10" s="3007" t="str">
        <f>'结果表（办公）'!A124</f>
        <v>抵押担保权已注销时的房地产抵押价值</v>
      </c>
      <c r="B10" s="3007"/>
      <c r="C10" s="3007"/>
      <c r="D10" s="3007">
        <f ca="1">'结果表（办公）'!D124</f>
        <v>5489</v>
      </c>
      <c r="E10" s="3007"/>
      <c r="F10" s="3007"/>
      <c r="G10" s="3007"/>
      <c r="H10" s="3007"/>
      <c r="I10" s="3007"/>
    </row>
    <row r="11" spans="1:9" ht="15">
      <c r="A11" s="3008" t="s">
        <v>1640</v>
      </c>
      <c r="B11" s="3008"/>
      <c r="C11" s="3008"/>
      <c r="D11" s="3009" t="str">
        <f ca="1">'结果表（办公）'!D125</f>
        <v>伍仟肆佰捌拾玖万元整</v>
      </c>
      <c r="E11" s="3009"/>
      <c r="F11" s="3009"/>
      <c r="G11" s="3009"/>
      <c r="H11" s="3009"/>
      <c r="I11" s="3009"/>
    </row>
    <row r="12" spans="1:9" ht="15.75">
      <c r="A12" s="3007" t="str">
        <f>'结果表（办公）'!A126</f>
        <v/>
      </c>
      <c r="B12" s="3007"/>
      <c r="C12" s="3007"/>
      <c r="D12" s="3007" t="str">
        <f>'结果表（办公）'!D126</f>
        <v>——</v>
      </c>
      <c r="E12" s="3007"/>
      <c r="F12" s="3007"/>
      <c r="G12" s="3007"/>
      <c r="H12" s="3007"/>
      <c r="I12" s="3007"/>
    </row>
    <row r="13" spans="1:9" ht="15.75" thickBot="1">
      <c r="A13" s="3004" t="s">
        <v>1640</v>
      </c>
      <c r="B13" s="3004"/>
      <c r="C13" s="3004"/>
      <c r="D13" s="3005" t="e">
        <f>'结果表（办公）'!D127</f>
        <v>#VALUE!</v>
      </c>
      <c r="E13" s="3005"/>
      <c r="F13" s="3005"/>
      <c r="G13" s="3005"/>
      <c r="H13" s="3005"/>
      <c r="I13" s="3005"/>
    </row>
    <row r="14" spans="1:9" ht="15" thickTop="1">
      <c r="A14" s="3006" t="s">
        <v>1645</v>
      </c>
      <c r="B14" s="3006"/>
      <c r="C14" s="3006"/>
      <c r="D14" s="3006"/>
      <c r="E14" s="3006"/>
      <c r="F14" s="3006"/>
      <c r="G14" s="3006"/>
      <c r="H14" s="3006"/>
      <c r="I14" s="300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11" t="s">
        <v>2998</v>
      </c>
      <c r="D1" s="3312"/>
      <c r="E1" s="3312"/>
      <c r="F1" s="3312"/>
      <c r="G1" s="3312"/>
      <c r="H1" s="3312"/>
      <c r="I1" s="3312"/>
      <c r="J1" s="3312"/>
      <c r="K1" s="3312"/>
      <c r="L1" s="3312"/>
      <c r="M1" s="3312"/>
      <c r="N1" s="3312"/>
      <c r="O1" s="3312"/>
      <c r="P1" s="3312"/>
      <c r="Q1" s="3312"/>
      <c r="R1" s="3312"/>
      <c r="S1" s="3313"/>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17" t="s">
        <v>3011</v>
      </c>
      <c r="E20" s="1796"/>
      <c r="F20" s="1207" t="e">
        <f ca="1">SUMIF(INDIRECT("'"&amp;H20&amp;"'"&amp;"!A:A"),"承租人权益价值",INDIRECT("'"&amp;H20&amp;"'"&amp;"!c:c"))</f>
        <v>#REF!</v>
      </c>
      <c r="G20" s="1207" t="s">
        <v>3012</v>
      </c>
      <c r="H20" s="2918"/>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74" t="s">
        <v>33</v>
      </c>
      <c r="D22" s="3175"/>
      <c r="E22" s="3175"/>
      <c r="F22" s="3175"/>
      <c r="G22" s="3175"/>
      <c r="H22" s="3175"/>
      <c r="I22" s="3175"/>
      <c r="J22" s="3175"/>
      <c r="K22" s="3175"/>
      <c r="L22" s="3175"/>
      <c r="M22" s="3175"/>
      <c r="N22" s="3175"/>
      <c r="O22" s="3175"/>
      <c r="P22" s="3175"/>
      <c r="Q22" s="331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45350</v>
      </c>
      <c r="C2" s="2" t="s">
        <v>133</v>
      </c>
      <c r="D2" s="243"/>
      <c r="E2" s="243"/>
      <c r="F2" s="243"/>
      <c r="G2" s="243"/>
    </row>
    <row r="3" spans="1:7" s="244" customFormat="1" ht="18" customHeight="1" thickBot="1">
      <c r="A3" s="247" t="s">
        <v>85</v>
      </c>
      <c r="B3" s="248">
        <f ca="1">ROUND(B2*10000/'数据-汇总表'!E3,0)</f>
        <v>21189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21402.85</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428</v>
      </c>
      <c r="D19" s="1039">
        <f>'数据-汇总表'!E3</f>
        <v>21402.85</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4077</v>
      </c>
      <c r="D27" s="279">
        <f>C29</f>
        <v>3.8E-3</v>
      </c>
      <c r="E27" s="280" t="s">
        <v>126</v>
      </c>
      <c r="F27" s="290">
        <f>'数据-取费表'!Q16</f>
        <v>0.19</v>
      </c>
      <c r="G27" s="291" t="s">
        <v>1069</v>
      </c>
    </row>
    <row r="28" spans="1:7" s="258" customFormat="1" ht="13.5" customHeight="1">
      <c r="A28" s="954" t="s">
        <v>794</v>
      </c>
      <c r="B28" s="292" t="s">
        <v>1062</v>
      </c>
      <c r="C28" s="293">
        <f>ROUND((C5+C19+C20)*F27*'数据-取费表'!B21/'数据-取费表'!B20,0)</f>
        <v>4077</v>
      </c>
      <c r="D28" s="279"/>
      <c r="E28" s="280"/>
      <c r="F28" s="290"/>
      <c r="G28" s="291"/>
    </row>
    <row r="29" spans="1:7" s="258" customFormat="1" ht="13.5" customHeight="1">
      <c r="A29" s="954" t="s">
        <v>792</v>
      </c>
      <c r="B29" s="292" t="s">
        <v>1063</v>
      </c>
      <c r="C29" s="282">
        <f>ROUND(C21*F27*'数据-取费表'!B21/'数据-取费表'!B20,4)</f>
        <v>3.8E-3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13278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12297</v>
      </c>
      <c r="D34" s="261"/>
      <c r="E34" s="264"/>
      <c r="F34" s="301">
        <f>IF('数据-取费表'!B24=0,1,'数据-取费表'!N16)</f>
        <v>1</v>
      </c>
      <c r="G34" s="263" t="s">
        <v>116</v>
      </c>
    </row>
    <row r="35" spans="1:7" ht="13.5" customHeight="1">
      <c r="A35" s="954" t="s">
        <v>796</v>
      </c>
      <c r="B35" s="259" t="s">
        <v>60</v>
      </c>
      <c r="C35" s="264">
        <f>ROUND(C34*F35,0)</f>
        <v>369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428</v>
      </c>
      <c r="D37" s="261">
        <f>'数据-汇总表'!E3</f>
        <v>21402.85</v>
      </c>
      <c r="E37" s="293">
        <f>'数据-取费表'!B35</f>
        <v>200</v>
      </c>
      <c r="F37" s="303"/>
      <c r="G37" s="305" t="s">
        <v>119</v>
      </c>
    </row>
    <row r="38" spans="1:7" ht="13.5" customHeight="1">
      <c r="A38" s="954" t="s">
        <v>799</v>
      </c>
      <c r="B38" s="259" t="s">
        <v>63</v>
      </c>
      <c r="C38" s="264">
        <f>ROUND(C34*F38,0)</f>
        <v>184</v>
      </c>
      <c r="D38" s="264"/>
      <c r="E38" s="264"/>
      <c r="F38" s="303">
        <f>'数据-取费表'!B36</f>
        <v>1.4999999999999999E-2</v>
      </c>
      <c r="G38" s="263" t="s">
        <v>117</v>
      </c>
    </row>
    <row r="39" spans="1:7" s="258" customFormat="1" ht="13.5" customHeight="1">
      <c r="A39" s="951" t="s">
        <v>783</v>
      </c>
      <c r="B39" s="254" t="s">
        <v>104</v>
      </c>
      <c r="C39" s="276">
        <f>ROUND(C33*F20,0)</f>
        <v>266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644</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631</v>
      </c>
      <c r="D42" s="282"/>
      <c r="E42" s="282"/>
      <c r="F42" s="283"/>
      <c r="G42" s="3179" t="s">
        <v>121</v>
      </c>
    </row>
    <row r="43" spans="1:7" ht="13.5" customHeight="1">
      <c r="A43" s="954" t="s">
        <v>792</v>
      </c>
      <c r="B43" s="259" t="s">
        <v>1064</v>
      </c>
      <c r="C43" s="282">
        <f ca="1">ROUND(IF('数据-取费表'!B22&lt;=1,C39*F22*'数据-取费表'!B21/2,C39*(POWER((1+F22),'数据-取费表'!B21/2)-1)),0)</f>
        <v>13</v>
      </c>
      <c r="D43" s="282"/>
      <c r="E43" s="282"/>
      <c r="F43" s="283"/>
      <c r="G43" s="3180"/>
    </row>
    <row r="44" spans="1:7" ht="13.5" customHeight="1">
      <c r="A44" s="954" t="s">
        <v>793</v>
      </c>
      <c r="B44" s="259" t="s">
        <v>1066</v>
      </c>
      <c r="C44" s="282">
        <f ca="1">ROUND(IF('数据-取费表'!B22&lt;=1,C40*F22*'数据-取费表'!B21/2,C40*(POWER((1+F22),'数据-取费表'!B21/2)-1)),4)</f>
        <v>1E-3</v>
      </c>
      <c r="D44" s="282"/>
      <c r="E44" s="282"/>
      <c r="F44" s="283"/>
      <c r="G44" s="3181"/>
    </row>
    <row r="45" spans="1:7" s="258" customFormat="1" ht="13.5" customHeight="1">
      <c r="A45" s="951" t="s">
        <v>786</v>
      </c>
      <c r="B45" s="288" t="s">
        <v>112</v>
      </c>
      <c r="C45" s="289">
        <f>C46</f>
        <v>2573</v>
      </c>
      <c r="D45" s="279">
        <f>C47</f>
        <v>3.8E-3</v>
      </c>
      <c r="E45" s="280" t="s">
        <v>129</v>
      </c>
      <c r="F45" s="290"/>
      <c r="G45" s="291" t="s">
        <v>1072</v>
      </c>
    </row>
    <row r="46" spans="1:7" s="258" customFormat="1" ht="13.5" customHeight="1">
      <c r="A46" s="954" t="s">
        <v>794</v>
      </c>
      <c r="B46" s="292" t="s">
        <v>1065</v>
      </c>
      <c r="C46" s="293">
        <f>ROUND((C33+C39)*F27,0)</f>
        <v>2573</v>
      </c>
      <c r="D46" s="307"/>
      <c r="E46" s="280"/>
      <c r="F46" s="290"/>
      <c r="G46" s="291"/>
    </row>
    <row r="47" spans="1:7" s="258" customFormat="1" ht="13.5" customHeight="1">
      <c r="A47" s="954" t="s">
        <v>792</v>
      </c>
      <c r="B47" s="292" t="s">
        <v>1067</v>
      </c>
      <c r="C47" s="282">
        <f>ROUND(C40*F27,4)</f>
        <v>3.8E-3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18163</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15439</v>
      </c>
      <c r="D51" s="276"/>
      <c r="E51" s="276"/>
      <c r="F51" s="308"/>
      <c r="G51" s="278" t="s">
        <v>64</v>
      </c>
    </row>
    <row r="52" spans="1:7" s="252" customFormat="1" ht="16.5" thickBot="1">
      <c r="A52" s="309" t="s">
        <v>65</v>
      </c>
      <c r="B52" s="310"/>
      <c r="C52" s="311">
        <f ca="1">C31+C51</f>
        <v>45350</v>
      </c>
      <c r="D52" s="310"/>
      <c r="E52" s="310"/>
      <c r="F52" s="310"/>
      <c r="G52" s="312"/>
    </row>
    <row r="55" spans="1:7" ht="15">
      <c r="B55" s="314" t="s">
        <v>66</v>
      </c>
      <c r="C55" s="315"/>
    </row>
    <row r="56" spans="1:7">
      <c r="B56" s="317" t="s">
        <v>67</v>
      </c>
      <c r="C56" s="318">
        <f ca="1">ROUND(C51/C52,3)</f>
        <v>0.34</v>
      </c>
    </row>
    <row r="57" spans="1:7">
      <c r="B57" s="317" t="s">
        <v>68</v>
      </c>
      <c r="C57" s="319">
        <f ca="1">1-C56</f>
        <v>0.65999999999999992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871</v>
      </c>
      <c r="B1" s="331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Q92" sqref="Q9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1662</v>
      </c>
      <c r="B1" s="3021"/>
      <c r="C1" s="3021"/>
      <c r="D1" s="3021"/>
    </row>
    <row r="2" spans="1:4" ht="18">
      <c r="A2" s="3022" t="s">
        <v>1646</v>
      </c>
      <c r="B2" s="3022"/>
      <c r="C2" s="3022"/>
      <c r="D2" s="3022"/>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欧红伟</v>
      </c>
      <c r="B5" s="1982">
        <f ca="1">项目基本情况!E4</f>
        <v>1120000080</v>
      </c>
      <c r="C5" s="1985"/>
      <c r="D5" s="1984" t="s">
        <v>1651</v>
      </c>
    </row>
    <row r="6" spans="1:4" ht="18">
      <c r="A6" s="3022" t="s">
        <v>1652</v>
      </c>
      <c r="B6" s="3022"/>
      <c r="C6" s="3022"/>
      <c r="D6" s="302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3"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不动产权证书》复印件、《不动产权证书》复印件，截至价值时点，估价对象已设定抵押。上述抵押权设定日期为2017年12月21日，权利人为华鑫国际信托有限公司，权利范围为全部，权利价值为40000。</v>
      </c>
      <c r="B15" s="3015"/>
      <c r="C15" s="3015"/>
      <c r="D15" s="3015"/>
    </row>
    <row r="16" spans="1:4" ht="30" customHeight="1">
      <c r="A16" s="3017" t="s">
        <v>1656</v>
      </c>
      <c r="B16" s="3017"/>
      <c r="C16" s="3017"/>
      <c r="D16" s="3017"/>
    </row>
    <row r="17" spans="1:4" ht="144" customHeight="1">
      <c r="A17" s="3017" t="s">
        <v>1657</v>
      </c>
      <c r="B17" s="3017"/>
      <c r="C17" s="3017"/>
      <c r="D17" s="3017"/>
    </row>
    <row r="18" spans="1:4" ht="15.75" customHeight="1">
      <c r="A18" s="3015" t="str">
        <f>IF(项目基本情况!B8="抵押",'结果表（办公）'!K120,"——")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9" t="s">
        <v>1669</v>
      </c>
      <c r="B15" s="3024" t="s">
        <v>136</v>
      </c>
      <c r="C15" s="3025"/>
    </row>
    <row r="16" spans="1:7" ht="13.5">
      <c r="A16" s="3030"/>
      <c r="B16" s="3024" t="s">
        <v>69</v>
      </c>
      <c r="C16" s="3025"/>
    </row>
    <row r="17" spans="1:3" ht="13.5">
      <c r="A17" s="3030"/>
      <c r="B17" s="3027" t="s">
        <v>1670</v>
      </c>
      <c r="C17" s="2003" t="s">
        <v>1669</v>
      </c>
    </row>
    <row r="18" spans="1:3" ht="13.5">
      <c r="A18" s="3030"/>
      <c r="B18" s="3027"/>
      <c r="C18" s="2003" t="s">
        <v>1671</v>
      </c>
    </row>
    <row r="19" spans="1:3" ht="13.5">
      <c r="A19" s="3030"/>
      <c r="B19" s="3027"/>
      <c r="C19" s="2003" t="s">
        <v>1672</v>
      </c>
    </row>
    <row r="20" spans="1:3" ht="13.5">
      <c r="A20" s="3031"/>
      <c r="B20" s="3026" t="s">
        <v>1673</v>
      </c>
      <c r="C20" s="3025"/>
    </row>
    <row r="21" spans="1:3" ht="13.5">
      <c r="A21" s="2004" t="s">
        <v>1674</v>
      </c>
      <c r="B21" s="2005"/>
      <c r="C21" s="2006"/>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2003" t="s">
        <v>1680</v>
      </c>
    </row>
    <row r="26" spans="1:3" ht="13.5">
      <c r="A26" s="3028"/>
      <c r="B26" s="3027"/>
      <c r="C26" s="2003" t="s">
        <v>1681</v>
      </c>
    </row>
    <row r="27" spans="1:3" ht="13.5">
      <c r="A27" s="3028"/>
      <c r="B27" s="3027"/>
      <c r="C27" s="2003" t="s">
        <v>1682</v>
      </c>
    </row>
    <row r="28" spans="1:3" ht="13.5">
      <c r="A28" s="3028"/>
      <c r="B28" s="3027"/>
      <c r="C28" s="2003" t="s">
        <v>1683</v>
      </c>
    </row>
    <row r="29" spans="1:3" ht="13.5">
      <c r="A29" s="3028"/>
      <c r="B29" s="3027"/>
      <c r="C29" s="2003" t="s">
        <v>1684</v>
      </c>
    </row>
    <row r="30" spans="1:3" ht="13.5">
      <c r="A30" s="3028"/>
      <c r="B30" s="3027"/>
      <c r="C30" s="2003" t="s">
        <v>1685</v>
      </c>
    </row>
    <row r="31" spans="1:3" ht="13.5">
      <c r="A31" s="3028"/>
      <c r="B31" s="3027"/>
      <c r="C31" s="2003" t="s">
        <v>1686</v>
      </c>
    </row>
    <row r="32" spans="1:3" ht="13.5">
      <c r="A32" s="3028"/>
      <c r="B32" s="3027"/>
      <c r="C32" s="2003" t="s">
        <v>1687</v>
      </c>
    </row>
    <row r="33" spans="1:3" ht="13.5">
      <c r="A33" s="3028"/>
      <c r="B33" s="302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3036</v>
      </c>
      <c r="B12" s="1025">
        <v>1120110054</v>
      </c>
      <c r="C12" s="2938">
        <v>43937</v>
      </c>
      <c r="D12" s="1705" t="s">
        <v>3036</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938">
        <v>44339</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48" priority="66">
      <formula>AND($C28-TODAY()&lt;30,TODAY()&lt;$C28)</formula>
    </cfRule>
  </conditionalFormatting>
  <conditionalFormatting sqref="C28 F4">
    <cfRule type="cellIs" dxfId="247" priority="68" stopIfTrue="1" operator="lessThan">
      <formula>$B$2</formula>
    </cfRule>
  </conditionalFormatting>
  <conditionalFormatting sqref="C5">
    <cfRule type="expression" dxfId="246" priority="63">
      <formula>AND($C5-TODAY()&lt;30,TODAY()&lt;$C5)</formula>
    </cfRule>
  </conditionalFormatting>
  <conditionalFormatting sqref="C5 F5">
    <cfRule type="cellIs" dxfId="245" priority="64" stopIfTrue="1" operator="lessThan">
      <formula>$B$2</formula>
    </cfRule>
  </conditionalFormatting>
  <conditionalFormatting sqref="F6 F8 F10">
    <cfRule type="cellIs" dxfId="244" priority="62" stopIfTrue="1" operator="lessThan">
      <formula>$B$2</formula>
    </cfRule>
  </conditionalFormatting>
  <conditionalFormatting sqref="C4:C11 C13:C21 C23">
    <cfRule type="expression" dxfId="243" priority="60">
      <formula>AND($C4-TODAY()&lt;30,TODAY()&lt;$C4)</formula>
    </cfRule>
  </conditionalFormatting>
  <conditionalFormatting sqref="F7 F9 F11 C4:C11 C13:C21 C23">
    <cfRule type="cellIs" dxfId="242" priority="61" stopIfTrue="1" operator="lessThan">
      <formula>$B$2</formula>
    </cfRule>
  </conditionalFormatting>
  <conditionalFormatting sqref="C14">
    <cfRule type="expression" dxfId="241" priority="54">
      <formula>AND($C14-TODAY()&lt;30,TODAY()&lt;$C14)</formula>
    </cfRule>
  </conditionalFormatting>
  <conditionalFormatting sqref="C14">
    <cfRule type="cellIs" dxfId="240" priority="55" stopIfTrue="1" operator="lessThan">
      <formula>$B$2</formula>
    </cfRule>
  </conditionalFormatting>
  <conditionalFormatting sqref="C16">
    <cfRule type="expression" dxfId="239" priority="52">
      <formula>AND($C16-TODAY()&lt;30,TODAY()&lt;$C16)</formula>
    </cfRule>
  </conditionalFormatting>
  <conditionalFormatting sqref="C16">
    <cfRule type="cellIs" dxfId="238" priority="53" stopIfTrue="1" operator="lessThan">
      <formula>$B$2</formula>
    </cfRule>
  </conditionalFormatting>
  <conditionalFormatting sqref="C18">
    <cfRule type="expression" dxfId="237" priority="50">
      <formula>AND($C18-TODAY()&lt;30,TODAY()&lt;$C18)</formula>
    </cfRule>
  </conditionalFormatting>
  <conditionalFormatting sqref="C18">
    <cfRule type="cellIs" dxfId="236" priority="51" stopIfTrue="1" operator="lessThan">
      <formula>$B$2</formula>
    </cfRule>
  </conditionalFormatting>
  <conditionalFormatting sqref="C20">
    <cfRule type="expression" dxfId="235" priority="48">
      <formula>AND($C20-TODAY()&lt;30,TODAY()&lt;$C20)</formula>
    </cfRule>
  </conditionalFormatting>
  <conditionalFormatting sqref="C20">
    <cfRule type="cellIs" dxfId="234" priority="49" stopIfTrue="1" operator="lessThan">
      <formula>$B$2</formula>
    </cfRule>
  </conditionalFormatting>
  <conditionalFormatting sqref="C15">
    <cfRule type="expression" dxfId="233" priority="44">
      <formula>AND($C15-TODAY()&lt;30,TODAY()&lt;$C15)</formula>
    </cfRule>
  </conditionalFormatting>
  <conditionalFormatting sqref="C15">
    <cfRule type="cellIs" dxfId="232" priority="45" stopIfTrue="1" operator="lessThan">
      <formula>$B$2</formula>
    </cfRule>
  </conditionalFormatting>
  <conditionalFormatting sqref="C17">
    <cfRule type="expression" dxfId="231" priority="42">
      <formula>AND($C17-TODAY()&lt;30,TODAY()&lt;$C17)</formula>
    </cfRule>
  </conditionalFormatting>
  <conditionalFormatting sqref="C17">
    <cfRule type="cellIs" dxfId="230" priority="43" stopIfTrue="1" operator="lessThan">
      <formula>$B$2</formula>
    </cfRule>
  </conditionalFormatting>
  <conditionalFormatting sqref="C19">
    <cfRule type="expression" dxfId="229" priority="40">
      <formula>AND($C19-TODAY()&lt;30,TODAY()&lt;$C19)</formula>
    </cfRule>
  </conditionalFormatting>
  <conditionalFormatting sqref="C19">
    <cfRule type="cellIs" dxfId="228" priority="41" stopIfTrue="1" operator="lessThan">
      <formula>$B$2</formula>
    </cfRule>
  </conditionalFormatting>
  <conditionalFormatting sqref="C21">
    <cfRule type="expression" dxfId="227" priority="38">
      <formula>AND($C21-TODAY()&lt;30,TODAY()&lt;$C21)</formula>
    </cfRule>
  </conditionalFormatting>
  <conditionalFormatting sqref="C21">
    <cfRule type="cellIs" dxfId="226" priority="39" stopIfTrue="1" operator="lessThan">
      <formula>$B$2</formula>
    </cfRule>
  </conditionalFormatting>
  <conditionalFormatting sqref="C23">
    <cfRule type="expression" dxfId="225" priority="36">
      <formula>AND($C23-TODAY()&lt;30,TODAY()&lt;$C23)</formula>
    </cfRule>
  </conditionalFormatting>
  <conditionalFormatting sqref="C23">
    <cfRule type="cellIs" dxfId="224" priority="37" stopIfTrue="1" operator="lessThan">
      <formula>$B$2</formula>
    </cfRule>
  </conditionalFormatting>
  <conditionalFormatting sqref="F16">
    <cfRule type="cellIs" dxfId="223" priority="34" stopIfTrue="1" operator="lessThan">
      <formula>$B$2</formula>
    </cfRule>
  </conditionalFormatting>
  <conditionalFormatting sqref="F18">
    <cfRule type="cellIs" dxfId="222" priority="33" stopIfTrue="1" operator="lessThan">
      <formula>$B$2</formula>
    </cfRule>
  </conditionalFormatting>
  <conditionalFormatting sqref="F22">
    <cfRule type="cellIs" dxfId="221" priority="32" stopIfTrue="1" operator="lessThan">
      <formula>$B$2</formula>
    </cfRule>
  </conditionalFormatting>
  <conditionalFormatting sqref="F21">
    <cfRule type="cellIs" dxfId="220" priority="31" stopIfTrue="1" operator="lessThan">
      <formula>$B$2</formula>
    </cfRule>
  </conditionalFormatting>
  <conditionalFormatting sqref="F17">
    <cfRule type="cellIs" dxfId="219" priority="30" stopIfTrue="1" operator="lessThan">
      <formula>$B$2</formula>
    </cfRule>
  </conditionalFormatting>
  <conditionalFormatting sqref="B4:B11 E4:E11 B16:B23 E16:E23 B13:B14 E13:E14">
    <cfRule type="cellIs" dxfId="218" priority="29" stopIfTrue="1" operator="equal">
      <formula>"已过期"</formula>
    </cfRule>
  </conditionalFormatting>
  <conditionalFormatting sqref="A24:F24">
    <cfRule type="cellIs" dxfId="217" priority="25" stopIfTrue="1" operator="equal">
      <formula>"已过期"</formula>
    </cfRule>
  </conditionalFormatting>
  <conditionalFormatting sqref="F28">
    <cfRule type="expression" dxfId="216" priority="23">
      <formula>AND($E28-TODAY()&lt;30,TODAY()&lt;$E28)</formula>
    </cfRule>
  </conditionalFormatting>
  <conditionalFormatting sqref="F28">
    <cfRule type="cellIs" dxfId="215" priority="24" stopIfTrue="1" operator="lessThan">
      <formula>$B$2</formula>
    </cfRule>
  </conditionalFormatting>
  <conditionalFormatting sqref="F29">
    <cfRule type="expression" dxfId="214" priority="19" stopIfTrue="1">
      <formula>AND($E29-TODAY()&lt;30,TODAY()&lt;$E29)</formula>
    </cfRule>
  </conditionalFormatting>
  <conditionalFormatting sqref="F29">
    <cfRule type="cellIs" dxfId="213" priority="20" stopIfTrue="1" operator="lessThan">
      <formula>$B$2</formula>
    </cfRule>
  </conditionalFormatting>
  <conditionalFormatting sqref="B15">
    <cfRule type="cellIs" dxfId="212" priority="17" stopIfTrue="1" operator="equal">
      <formula>"已过期"</formula>
    </cfRule>
  </conditionalFormatting>
  <conditionalFormatting sqref="A15">
    <cfRule type="cellIs" dxfId="211" priority="16" stopIfTrue="1" operator="equal">
      <formula>"已过期"</formula>
    </cfRule>
  </conditionalFormatting>
  <conditionalFormatting sqref="C15">
    <cfRule type="expression" dxfId="210" priority="15">
      <formula>AND($C15-TODAY()&lt;30,TODAY()&lt;$C15)</formula>
    </cfRule>
  </conditionalFormatting>
  <conditionalFormatting sqref="E15">
    <cfRule type="cellIs" dxfId="209" priority="14" stopIfTrue="1" operator="equal">
      <formula>"已过期"</formula>
    </cfRule>
  </conditionalFormatting>
  <conditionalFormatting sqref="D15">
    <cfRule type="cellIs" dxfId="208" priority="13" stopIfTrue="1" operator="equal">
      <formula>"已过期"</formula>
    </cfRule>
  </conditionalFormatting>
  <conditionalFormatting sqref="F13">
    <cfRule type="cellIs" dxfId="207" priority="12" stopIfTrue="1" operator="lessThan">
      <formula>$B$2</formula>
    </cfRule>
  </conditionalFormatting>
  <conditionalFormatting sqref="C12">
    <cfRule type="expression" dxfId="206" priority="10">
      <formula>AND($C12-TODAY()&lt;30,TODAY()&lt;$C12)</formula>
    </cfRule>
  </conditionalFormatting>
  <conditionalFormatting sqref="C12">
    <cfRule type="cellIs" dxfId="205" priority="11" stopIfTrue="1" operator="lessThan">
      <formula>$B$2</formula>
    </cfRule>
  </conditionalFormatting>
  <conditionalFormatting sqref="C12">
    <cfRule type="expression" dxfId="204" priority="8">
      <formula>AND($C12-TODAY()&lt;30,TODAY()&lt;$C12)</formula>
    </cfRule>
  </conditionalFormatting>
  <conditionalFormatting sqref="C12">
    <cfRule type="cellIs" dxfId="203" priority="9" stopIfTrue="1" operator="lessThan">
      <formula>$B$2</formula>
    </cfRule>
  </conditionalFormatting>
  <conditionalFormatting sqref="B12">
    <cfRule type="cellIs" dxfId="202" priority="7" stopIfTrue="1" operator="equal">
      <formula>"已过期"</formula>
    </cfRule>
  </conditionalFormatting>
  <conditionalFormatting sqref="E12">
    <cfRule type="cellIs" dxfId="201" priority="6" stopIfTrue="1" operator="equal">
      <formula>"已过期"</formula>
    </cfRule>
  </conditionalFormatting>
  <conditionalFormatting sqref="F12">
    <cfRule type="cellIs" dxfId="200" priority="5" stopIfTrue="1" operator="lessThan">
      <formula>$B$2</formula>
    </cfRule>
  </conditionalFormatting>
  <conditionalFormatting sqref="C22">
    <cfRule type="expression" dxfId="199" priority="3">
      <formula>AND($C22-TODAY()&lt;30,TODAY()&lt;$C22)</formula>
    </cfRule>
  </conditionalFormatting>
  <conditionalFormatting sqref="C22">
    <cfRule type="cellIs" dxfId="198" priority="4" stopIfTrue="1" operator="lessThan">
      <formula>$B$2</formula>
    </cfRule>
  </conditionalFormatting>
  <conditionalFormatting sqref="C22">
    <cfRule type="expression" dxfId="197" priority="1">
      <formula>AND($C22-TODAY()&lt;30,TODAY()&lt;$C22)</formula>
    </cfRule>
  </conditionalFormatting>
  <conditionalFormatting sqref="C22">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140</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结果表 (厂房)</vt:lpstr>
      <vt:lpstr>结果表 (数据中心)</vt:lpstr>
      <vt:lpstr>Sheet1</vt:lpstr>
      <vt:lpstr>成本法（办公）</vt:lpstr>
      <vt:lpstr>基准地价修正</vt:lpstr>
      <vt:lpstr>成本法 (元)</vt:lpstr>
      <vt:lpstr>假设开发法</vt:lpstr>
      <vt:lpstr>成本法（厂房）</vt:lpstr>
      <vt:lpstr>基准地价修正 (2)</vt:lpstr>
      <vt:lpstr>成本法（数据）</vt:lpstr>
      <vt:lpstr>基准地价修正 (3)</vt:lpstr>
      <vt:lpstr>收益法（办公）</vt:lpstr>
      <vt:lpstr>收益法（厂房）</vt:lpstr>
      <vt:lpstr>收益法（数据）</vt:lpstr>
      <vt:lpstr>收益法 (元)办公楼</vt:lpstr>
      <vt:lpstr>收益法 (元)厂房</vt:lpstr>
      <vt:lpstr>收益法 (元）数据中心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 (元)办公楼'!Print_Area</vt:lpstr>
      <vt:lpstr>'收益法 (元)厂房'!Print_Area</vt:lpstr>
      <vt:lpstr>'收益法 (元）数据中心'!Print_Area</vt:lpstr>
      <vt:lpstr>'收益法（办公）'!Print_Area</vt:lpstr>
      <vt:lpstr>'收益法（厂房）'!Print_Area</vt:lpstr>
      <vt:lpstr>'收益法（数据）'!Print_Area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2018-07-18T09:28:15Z</dcterms:modified>
</cp:coreProperties>
</file>