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N18" i="1"/>
  <c r="O19" s="1"/>
  <c r="N6" s="1"/>
  <c r="Y6" s="1"/>
  <c r="L23"/>
  <c r="W19"/>
  <c r="W20"/>
  <c r="W21"/>
  <c r="W23" s="1"/>
  <c r="W18"/>
  <c r="I13" i="3"/>
  <c r="F19" i="6" s="1"/>
  <c r="D29" i="43" s="1"/>
  <c r="AH5" i="71"/>
  <c r="AG5"/>
  <c r="AE5"/>
  <c r="AF5" s="1"/>
  <c r="AD5"/>
  <c r="Q5"/>
  <c r="Q6"/>
  <c r="P5"/>
  <c r="P6"/>
  <c r="O5"/>
  <c r="O6"/>
  <c r="N5"/>
  <c r="N6"/>
  <c r="AH6"/>
  <c r="AG6"/>
  <c r="AE6"/>
  <c r="AF6"/>
  <c r="AD6"/>
  <c r="Q7"/>
  <c r="Q8"/>
  <c r="P7"/>
  <c r="P8"/>
  <c r="O7"/>
  <c r="O8"/>
  <c r="N7"/>
  <c r="N8"/>
  <c r="AH7"/>
  <c r="AG7"/>
  <c r="AE7"/>
  <c r="AF7" s="1"/>
  <c r="AD7"/>
  <c r="F24" i="12"/>
  <c r="F7" i="69"/>
  <c r="C7" s="1"/>
  <c r="F7" i="68"/>
  <c r="M15" i="45"/>
  <c r="L15"/>
  <c r="K15"/>
  <c r="J15"/>
  <c r="I15"/>
  <c r="H15"/>
  <c r="G15"/>
  <c r="F15"/>
  <c r="E15"/>
  <c r="D15"/>
  <c r="C15"/>
  <c r="B15"/>
  <c r="AH8" i="71"/>
  <c r="AG8"/>
  <c r="AE8"/>
  <c r="AF8"/>
  <c r="AD8"/>
  <c r="AD9"/>
  <c r="AH9"/>
  <c r="AG9"/>
  <c r="AE9"/>
  <c r="AF9" s="1"/>
  <c r="Q9"/>
  <c r="P9"/>
  <c r="O9"/>
  <c r="N9"/>
  <c r="L3"/>
  <c r="AH3"/>
  <c r="K3"/>
  <c r="AG3" s="1"/>
  <c r="J3"/>
  <c r="AE3"/>
  <c r="I3"/>
  <c r="AH10"/>
  <c r="AG10"/>
  <c r="AE10"/>
  <c r="AF10" s="1"/>
  <c r="AD10"/>
  <c r="Q10"/>
  <c r="Q11"/>
  <c r="P10"/>
  <c r="P11"/>
  <c r="O10"/>
  <c r="O11"/>
  <c r="N10"/>
  <c r="N11"/>
  <c r="N12"/>
  <c r="AH11"/>
  <c r="AG11"/>
  <c r="AE11"/>
  <c r="AF11"/>
  <c r="AD11"/>
  <c r="Q12"/>
  <c r="P12"/>
  <c r="O12"/>
  <c r="D14"/>
  <c r="AH12"/>
  <c r="AG12"/>
  <c r="AE12"/>
  <c r="AF12"/>
  <c r="AD12"/>
  <c r="AD13"/>
  <c r="AG13"/>
  <c r="AH13"/>
  <c r="AE13"/>
  <c r="AF13" s="1"/>
  <c r="N13"/>
  <c r="Q13"/>
  <c r="P13"/>
  <c r="O13"/>
  <c r="Q14"/>
  <c r="F13"/>
  <c r="F12" s="1"/>
  <c r="F11" s="1"/>
  <c r="P14"/>
  <c r="E13"/>
  <c r="O14"/>
  <c r="N14"/>
  <c r="B13"/>
  <c r="B12"/>
  <c r="B11" s="1"/>
  <c r="B10" s="1"/>
  <c r="B9" s="1"/>
  <c r="B8" s="1"/>
  <c r="B7" s="1"/>
  <c r="B6" s="1"/>
  <c r="B5" s="1"/>
  <c r="A2" i="53"/>
  <c r="B19" i="72" s="1"/>
  <c r="K59" i="67"/>
  <c r="P61" s="1"/>
  <c r="K59" i="15"/>
  <c r="P61" s="1"/>
  <c r="P74" i="67"/>
  <c r="D116" i="39"/>
  <c r="E116"/>
  <c r="F116"/>
  <c r="G116"/>
  <c r="H116"/>
  <c r="I116"/>
  <c r="J116"/>
  <c r="K116"/>
  <c r="L116"/>
  <c r="M116"/>
  <c r="C116"/>
  <c r="A21" i="62"/>
  <c r="B67" i="72" s="1"/>
  <c r="A20" i="62"/>
  <c r="B66" i="72" s="1"/>
  <c r="A22" i="51"/>
  <c r="A21"/>
  <c r="A20"/>
  <c r="A14" i="62"/>
  <c r="A13"/>
  <c r="B59" i="72" s="1"/>
  <c r="A19" i="62"/>
  <c r="B65" i="72" s="1"/>
  <c r="A12" i="62"/>
  <c r="B58" i="72" s="1"/>
  <c r="A120" i="9"/>
  <c r="H2" i="52"/>
  <c r="A1"/>
  <c r="A3" i="53"/>
  <c r="Q15" i="71"/>
  <c r="P15"/>
  <c r="O15"/>
  <c r="N15"/>
  <c r="A15" i="51"/>
  <c r="B12" i="72" s="1"/>
  <c r="C76" i="9"/>
  <c r="I107" i="40"/>
  <c r="K6" i="4"/>
  <c r="M56" i="9" s="1"/>
  <c r="B22" i="31"/>
  <c r="K56" i="9"/>
  <c r="E15" i="74"/>
  <c r="F15"/>
  <c r="E16"/>
  <c r="F16"/>
  <c r="E17"/>
  <c r="F17"/>
  <c r="E18"/>
  <c r="F18"/>
  <c r="E19"/>
  <c r="F19"/>
  <c r="E20"/>
  <c r="F20"/>
  <c r="E21"/>
  <c r="F21"/>
  <c r="E22"/>
  <c r="F22"/>
  <c r="E23"/>
  <c r="F23"/>
  <c r="B3"/>
  <c r="C91" i="9"/>
  <c r="B8" i="72"/>
  <c r="O16" i="71"/>
  <c r="P16"/>
  <c r="Q16"/>
  <c r="N16"/>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D24"/>
  <c r="AE24"/>
  <c r="AF24"/>
  <c r="AG24"/>
  <c r="AH24"/>
  <c r="AD25"/>
  <c r="AE25"/>
  <c r="AF25" s="1"/>
  <c r="AG25"/>
  <c r="AH25"/>
  <c r="AD26"/>
  <c r="AE26"/>
  <c r="AF26"/>
  <c r="AG26"/>
  <c r="AH26"/>
  <c r="AD27"/>
  <c r="AE27"/>
  <c r="AF27" s="1"/>
  <c r="AG27"/>
  <c r="AH27"/>
  <c r="AH28"/>
  <c r="AG28"/>
  <c r="AE28"/>
  <c r="AF28" s="1"/>
  <c r="AD28"/>
  <c r="AD29"/>
  <c r="AE29"/>
  <c r="AF29" s="1"/>
  <c r="AG29"/>
  <c r="AH29"/>
  <c r="S2" i="31"/>
  <c r="M2"/>
  <c r="N2"/>
  <c r="O2"/>
  <c r="P2"/>
  <c r="Q2"/>
  <c r="R2"/>
  <c r="C1" i="73"/>
  <c r="L1"/>
  <c r="B74" i="72"/>
  <c r="Y12" i="43"/>
  <c r="Y10"/>
  <c r="AJ9"/>
  <c r="AI9"/>
  <c r="AI12" s="1"/>
  <c r="AH9"/>
  <c r="AH12" s="1"/>
  <c r="AG9"/>
  <c r="AG10" s="1"/>
  <c r="AF9"/>
  <c r="AE9"/>
  <c r="AE10" s="1"/>
  <c r="AD9"/>
  <c r="AD12" s="1"/>
  <c r="AC9"/>
  <c r="AB9"/>
  <c r="AB12"/>
  <c r="AA9"/>
  <c r="AA12"/>
  <c r="Z9"/>
  <c r="Z12"/>
  <c r="AA10"/>
  <c r="AI10"/>
  <c r="Z10"/>
  <c r="AB10"/>
  <c r="AH10"/>
  <c r="K49" i="9"/>
  <c r="E107"/>
  <c r="A122"/>
  <c r="A8" i="52" s="1"/>
  <c r="B54" i="72" s="1"/>
  <c r="E111" i="9"/>
  <c r="H111"/>
  <c r="E109"/>
  <c r="A124"/>
  <c r="A10" i="52" s="1"/>
  <c r="B55" i="72"/>
  <c r="B44"/>
  <c r="B42"/>
  <c r="B69"/>
  <c r="B68"/>
  <c r="B63"/>
  <c r="B62"/>
  <c r="B16"/>
  <c r="B60"/>
  <c r="B10"/>
  <c r="C53" i="10"/>
  <c r="B51"/>
  <c r="A13" i="51"/>
  <c r="B11" i="72" s="1"/>
  <c r="A18" i="51"/>
  <c r="B13" i="72" s="1"/>
  <c r="B49" i="48"/>
  <c r="B5" i="72"/>
  <c r="I19" i="43"/>
  <c r="D78" i="71"/>
  <c r="F77"/>
  <c r="F76"/>
  <c r="F75" s="1"/>
  <c r="E77"/>
  <c r="E76" s="1"/>
  <c r="E75"/>
  <c r="C77"/>
  <c r="B77"/>
  <c r="B76" s="1"/>
  <c r="B75" s="1"/>
  <c r="D74"/>
  <c r="F73"/>
  <c r="F72"/>
  <c r="E73"/>
  <c r="E72" s="1"/>
  <c r="E71" s="1"/>
  <c r="C73"/>
  <c r="B73"/>
  <c r="B72" s="1"/>
  <c r="F71"/>
  <c r="B71"/>
  <c r="D70"/>
  <c r="Q69"/>
  <c r="P69"/>
  <c r="O69"/>
  <c r="N69"/>
  <c r="F69"/>
  <c r="V69" s="1"/>
  <c r="E69"/>
  <c r="U69" s="1"/>
  <c r="C69"/>
  <c r="T69" s="1"/>
  <c r="B69"/>
  <c r="S69"/>
  <c r="Q68"/>
  <c r="P68"/>
  <c r="O68"/>
  <c r="N68"/>
  <c r="F68"/>
  <c r="F67" s="1"/>
  <c r="B68"/>
  <c r="B67" s="1"/>
  <c r="Q67"/>
  <c r="P67"/>
  <c r="O67"/>
  <c r="N67"/>
  <c r="Q66"/>
  <c r="P66"/>
  <c r="O66"/>
  <c r="N66"/>
  <c r="D66"/>
  <c r="Q65"/>
  <c r="P65"/>
  <c r="O65"/>
  <c r="N65"/>
  <c r="F65"/>
  <c r="E65"/>
  <c r="U65" s="1"/>
  <c r="C65"/>
  <c r="T65" s="1"/>
  <c r="B65"/>
  <c r="B64" s="1"/>
  <c r="B63" s="1"/>
  <c r="S65"/>
  <c r="Q64"/>
  <c r="P64"/>
  <c r="O64"/>
  <c r="N64"/>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s="1"/>
  <c r="E57"/>
  <c r="U57" s="1"/>
  <c r="P57"/>
  <c r="C57"/>
  <c r="T57" s="1"/>
  <c r="B57"/>
  <c r="D54"/>
  <c r="Q53"/>
  <c r="P53"/>
  <c r="O53"/>
  <c r="N53"/>
  <c r="Q52"/>
  <c r="P52"/>
  <c r="O52"/>
  <c r="N52"/>
  <c r="Q51"/>
  <c r="P51"/>
  <c r="O51"/>
  <c r="N51"/>
  <c r="Q50"/>
  <c r="F51"/>
  <c r="F52" s="1"/>
  <c r="F53" s="1"/>
  <c r="V53" s="1"/>
  <c r="P50"/>
  <c r="E51" s="1"/>
  <c r="O50"/>
  <c r="C51" s="1"/>
  <c r="N50"/>
  <c r="B51" s="1"/>
  <c r="B52" s="1"/>
  <c r="B53" s="1"/>
  <c r="S53" s="1"/>
  <c r="D50"/>
  <c r="Q49"/>
  <c r="P49"/>
  <c r="O49"/>
  <c r="N49"/>
  <c r="Q48"/>
  <c r="P48"/>
  <c r="O48"/>
  <c r="N48"/>
  <c r="Q47"/>
  <c r="P47"/>
  <c r="O47"/>
  <c r="N47"/>
  <c r="Q46"/>
  <c r="F47"/>
  <c r="F48" s="1"/>
  <c r="F49" s="1"/>
  <c r="V49" s="1"/>
  <c r="P46"/>
  <c r="E47"/>
  <c r="E48" s="1"/>
  <c r="E49" s="1"/>
  <c r="U49" s="1"/>
  <c r="O46"/>
  <c r="C47" s="1"/>
  <c r="N46"/>
  <c r="B47" s="1"/>
  <c r="B48" s="1"/>
  <c r="B49" s="1"/>
  <c r="S49" s="1"/>
  <c r="D46"/>
  <c r="Q45"/>
  <c r="P45"/>
  <c r="O45"/>
  <c r="N45"/>
  <c r="Q44"/>
  <c r="P44"/>
  <c r="O44"/>
  <c r="N44"/>
  <c r="Q43"/>
  <c r="P43"/>
  <c r="O43"/>
  <c r="N43"/>
  <c r="Q42"/>
  <c r="F43" s="1"/>
  <c r="F44"/>
  <c r="F45" s="1"/>
  <c r="V45" s="1"/>
  <c r="P42"/>
  <c r="E43"/>
  <c r="O42"/>
  <c r="C43"/>
  <c r="C44" s="1"/>
  <c r="C45" s="1"/>
  <c r="N42"/>
  <c r="B43" s="1"/>
  <c r="B44"/>
  <c r="B45" s="1"/>
  <c r="S45" s="1"/>
  <c r="D42"/>
  <c r="Q41"/>
  <c r="P41"/>
  <c r="O41"/>
  <c r="N41"/>
  <c r="Q40"/>
  <c r="P40"/>
  <c r="O40"/>
  <c r="N40"/>
  <c r="Q39"/>
  <c r="P39"/>
  <c r="O39"/>
  <c r="N39"/>
  <c r="Q38"/>
  <c r="F39" s="1"/>
  <c r="F40" s="1"/>
  <c r="F41" s="1"/>
  <c r="V41" s="1"/>
  <c r="P38"/>
  <c r="E39" s="1"/>
  <c r="E40" s="1"/>
  <c r="E41" s="1"/>
  <c r="U41" s="1"/>
  <c r="O38"/>
  <c r="C39" s="1"/>
  <c r="D39" s="1"/>
  <c r="N38"/>
  <c r="B39"/>
  <c r="B40" s="1"/>
  <c r="B41" s="1"/>
  <c r="S41" s="1"/>
  <c r="D38"/>
  <c r="T37"/>
  <c r="Q37"/>
  <c r="P37"/>
  <c r="O37"/>
  <c r="N37"/>
  <c r="D37"/>
  <c r="Q36"/>
  <c r="P36"/>
  <c r="O36"/>
  <c r="N36"/>
  <c r="Q35"/>
  <c r="P35"/>
  <c r="O35"/>
  <c r="N35"/>
  <c r="Q34"/>
  <c r="F35"/>
  <c r="P34"/>
  <c r="E35" s="1"/>
  <c r="E36" s="1"/>
  <c r="E37" s="1"/>
  <c r="U37" s="1"/>
  <c r="O34"/>
  <c r="C35" s="1"/>
  <c r="D35" s="1"/>
  <c r="N34"/>
  <c r="B35"/>
  <c r="B36" s="1"/>
  <c r="B37" s="1"/>
  <c r="S37" s="1"/>
  <c r="D34"/>
  <c r="Q33"/>
  <c r="P33"/>
  <c r="O33"/>
  <c r="N33"/>
  <c r="Q32"/>
  <c r="P32"/>
  <c r="O32"/>
  <c r="N32"/>
  <c r="Q31"/>
  <c r="P31"/>
  <c r="O31"/>
  <c r="N31"/>
  <c r="Q30"/>
  <c r="F31" s="1"/>
  <c r="F32" s="1"/>
  <c r="F33" s="1"/>
  <c r="V33" s="1"/>
  <c r="P30"/>
  <c r="E31"/>
  <c r="E32"/>
  <c r="E33" s="1"/>
  <c r="U33" s="1"/>
  <c r="O30"/>
  <c r="C31" s="1"/>
  <c r="N30"/>
  <c r="B31" s="1"/>
  <c r="B32" s="1"/>
  <c r="B33" s="1"/>
  <c r="S33" s="1"/>
  <c r="D30"/>
  <c r="Q29"/>
  <c r="P29"/>
  <c r="O29"/>
  <c r="N29"/>
  <c r="Q28"/>
  <c r="AB28" s="1"/>
  <c r="P28"/>
  <c r="AA28" s="1"/>
  <c r="O28"/>
  <c r="N28"/>
  <c r="X28"/>
  <c r="Q27"/>
  <c r="AB27"/>
  <c r="P27"/>
  <c r="O27"/>
  <c r="N27"/>
  <c r="Q26"/>
  <c r="P26"/>
  <c r="O26"/>
  <c r="N26"/>
  <c r="D26"/>
  <c r="Q25"/>
  <c r="P25"/>
  <c r="O25"/>
  <c r="Y19" s="1"/>
  <c r="Z19" s="1"/>
  <c r="N25"/>
  <c r="Q24"/>
  <c r="P24"/>
  <c r="O24"/>
  <c r="Y23" s="1"/>
  <c r="Z23" s="1"/>
  <c r="N24"/>
  <c r="Q23"/>
  <c r="AB23" s="1"/>
  <c r="P23"/>
  <c r="AA23" s="1"/>
  <c r="O23"/>
  <c r="N23"/>
  <c r="Q22"/>
  <c r="F23"/>
  <c r="F24" s="1"/>
  <c r="F25" s="1"/>
  <c r="V25" s="1"/>
  <c r="P22"/>
  <c r="O22"/>
  <c r="C23" s="1"/>
  <c r="N22"/>
  <c r="B23" s="1"/>
  <c r="D22"/>
  <c r="Q21"/>
  <c r="P21"/>
  <c r="O21"/>
  <c r="Y21"/>
  <c r="Z21" s="1"/>
  <c r="N21"/>
  <c r="Q20"/>
  <c r="AB20" s="1"/>
  <c r="P20"/>
  <c r="O20"/>
  <c r="N20"/>
  <c r="Q19"/>
  <c r="P19"/>
  <c r="O19"/>
  <c r="N19"/>
  <c r="Q18"/>
  <c r="F19" s="1"/>
  <c r="F20" s="1"/>
  <c r="F21" s="1"/>
  <c r="V21" s="1"/>
  <c r="P18"/>
  <c r="E19" s="1"/>
  <c r="E20" s="1"/>
  <c r="E21" s="1"/>
  <c r="U21" s="1"/>
  <c r="O18"/>
  <c r="C19" s="1"/>
  <c r="N18"/>
  <c r="D18"/>
  <c r="U17" s="1"/>
  <c r="O17"/>
  <c r="C17" s="1"/>
  <c r="C16" s="1"/>
  <c r="N17"/>
  <c r="X17" s="1"/>
  <c r="B19"/>
  <c r="B20"/>
  <c r="B21" s="1"/>
  <c r="S21" s="1"/>
  <c r="B24"/>
  <c r="B25" s="1"/>
  <c r="S25" s="1"/>
  <c r="E23"/>
  <c r="E24" s="1"/>
  <c r="E25" s="1"/>
  <c r="U25" s="1"/>
  <c r="AA19"/>
  <c r="C27"/>
  <c r="D27" s="1"/>
  <c r="AA27"/>
  <c r="D17"/>
  <c r="Y16"/>
  <c r="Z16" s="1"/>
  <c r="B17"/>
  <c r="S17" s="1"/>
  <c r="C28"/>
  <c r="D28" s="1"/>
  <c r="C36"/>
  <c r="D36" s="1"/>
  <c r="C40"/>
  <c r="D40" s="1"/>
  <c r="P17"/>
  <c r="E44"/>
  <c r="E45"/>
  <c r="U45" s="1"/>
  <c r="E56"/>
  <c r="E55" s="1"/>
  <c r="Q17"/>
  <c r="F17" s="1"/>
  <c r="D47"/>
  <c r="O57"/>
  <c r="D57"/>
  <c r="C56"/>
  <c r="Q57"/>
  <c r="C60"/>
  <c r="E60"/>
  <c r="E59" s="1"/>
  <c r="D61"/>
  <c r="C64"/>
  <c r="C63" s="1"/>
  <c r="D63" s="1"/>
  <c r="E64"/>
  <c r="E63" s="1"/>
  <c r="D65"/>
  <c r="C68"/>
  <c r="E68"/>
  <c r="E67" s="1"/>
  <c r="D69"/>
  <c r="T17"/>
  <c r="F16"/>
  <c r="F15" s="1"/>
  <c r="E17"/>
  <c r="E16"/>
  <c r="E15" s="1"/>
  <c r="AA17"/>
  <c r="O56"/>
  <c r="D68"/>
  <c r="C67"/>
  <c r="D67" s="1"/>
  <c r="D60"/>
  <c r="C59"/>
  <c r="D59" s="1"/>
  <c r="P56"/>
  <c r="V17"/>
  <c r="P54"/>
  <c r="P55"/>
  <c r="O27" i="6"/>
  <c r="N27"/>
  <c r="P20"/>
  <c r="P21"/>
  <c r="P22"/>
  <c r="P23"/>
  <c r="P24"/>
  <c r="P25"/>
  <c r="P26"/>
  <c r="P19"/>
  <c r="AP8" i="1"/>
  <c r="AP9"/>
  <c r="AP10"/>
  <c r="AP11"/>
  <c r="AP12"/>
  <c r="AP13"/>
  <c r="L21" i="6"/>
  <c r="L22"/>
  <c r="L23"/>
  <c r="L24"/>
  <c r="L25"/>
  <c r="L26"/>
  <c r="P27"/>
  <c r="A7" i="70"/>
  <c r="A8"/>
  <c r="E8" s="1"/>
  <c r="A9"/>
  <c r="E9" s="1"/>
  <c r="A10"/>
  <c r="E10" s="1"/>
  <c r="A11"/>
  <c r="E11" s="1"/>
  <c r="A12"/>
  <c r="E12" s="1"/>
  <c r="A13"/>
  <c r="E13" s="1"/>
  <c r="A6"/>
  <c r="Q25" i="40"/>
  <c r="Z25"/>
  <c r="D94"/>
  <c r="E94"/>
  <c r="F25"/>
  <c r="AA25" s="1"/>
  <c r="Q29" i="39"/>
  <c r="Z29"/>
  <c r="D103"/>
  <c r="E103" s="1"/>
  <c r="F103" s="1"/>
  <c r="G103" s="1"/>
  <c r="F29"/>
  <c r="AA29" s="1"/>
  <c r="Q18" i="36"/>
  <c r="Z18"/>
  <c r="D66"/>
  <c r="E66" s="1"/>
  <c r="F66" s="1"/>
  <c r="G66" s="1"/>
  <c r="H18"/>
  <c r="AB18" s="1"/>
  <c r="F18"/>
  <c r="AA18" s="1"/>
  <c r="C18"/>
  <c r="Q18" i="35"/>
  <c r="Z18" s="1"/>
  <c r="D68"/>
  <c r="E68"/>
  <c r="F68" s="1"/>
  <c r="G68" s="1"/>
  <c r="F18"/>
  <c r="AA18"/>
  <c r="C18"/>
  <c r="Z21" i="37"/>
  <c r="Q21"/>
  <c r="D77"/>
  <c r="E77" s="1"/>
  <c r="F77" s="1"/>
  <c r="G77" s="1"/>
  <c r="C21"/>
  <c r="Q21" i="34"/>
  <c r="Z21" s="1"/>
  <c r="D84"/>
  <c r="E84"/>
  <c r="F21"/>
  <c r="S21" s="1"/>
  <c r="AA21"/>
  <c r="C21"/>
  <c r="Q21" i="33"/>
  <c r="Z21" s="1"/>
  <c r="D83"/>
  <c r="E83" s="1"/>
  <c r="F83" s="1"/>
  <c r="G83" s="1"/>
  <c r="C21"/>
  <c r="C21" i="21"/>
  <c r="Q21"/>
  <c r="Z21" s="1"/>
  <c r="H19"/>
  <c r="D83"/>
  <c r="F21"/>
  <c r="AA21" s="1"/>
  <c r="D81"/>
  <c r="G20" i="20"/>
  <c r="C25" i="40"/>
  <c r="C22" i="20"/>
  <c r="B75" i="43"/>
  <c r="B55"/>
  <c r="B66"/>
  <c r="C29" i="39"/>
  <c r="S25" i="40"/>
  <c r="S29" i="39"/>
  <c r="S18" i="36"/>
  <c r="F94" i="40"/>
  <c r="H25"/>
  <c r="G94"/>
  <c r="J25"/>
  <c r="H29" i="39"/>
  <c r="J29"/>
  <c r="AC29" s="1"/>
  <c r="J18" i="36"/>
  <c r="H18" i="35"/>
  <c r="J18"/>
  <c r="H21" i="37"/>
  <c r="F21"/>
  <c r="AA21" s="1"/>
  <c r="F84" i="34"/>
  <c r="G84" s="1"/>
  <c r="H21"/>
  <c r="U21"/>
  <c r="H21" i="33"/>
  <c r="F21"/>
  <c r="E83" i="21"/>
  <c r="F83" s="1"/>
  <c r="G83" s="1"/>
  <c r="S21"/>
  <c r="H1" i="69"/>
  <c r="AC25" i="40"/>
  <c r="W25"/>
  <c r="AB25"/>
  <c r="U25"/>
  <c r="AB29" i="39"/>
  <c r="U29"/>
  <c r="W29"/>
  <c r="AC18" i="36"/>
  <c r="W18"/>
  <c r="AB21" i="37"/>
  <c r="U21"/>
  <c r="S21"/>
  <c r="U21" i="33"/>
  <c r="AB21"/>
  <c r="AB18" i="35"/>
  <c r="U18"/>
  <c r="J21" i="37"/>
  <c r="AC21" s="1"/>
  <c r="J21" i="34"/>
  <c r="AC21" s="1"/>
  <c r="J21" i="33"/>
  <c r="AC21" s="1"/>
  <c r="H21" i="21"/>
  <c r="AB21" s="1"/>
  <c r="F38" i="69"/>
  <c r="E37"/>
  <c r="F36"/>
  <c r="F35"/>
  <c r="F21"/>
  <c r="F20"/>
  <c r="E10"/>
  <c r="E9"/>
  <c r="W21" i="37"/>
  <c r="W21" i="34"/>
  <c r="U21" i="21"/>
  <c r="J21"/>
  <c r="W21" s="1"/>
  <c r="F38" i="68"/>
  <c r="E37"/>
  <c r="F36"/>
  <c r="F35"/>
  <c r="F21"/>
  <c r="C21" s="1"/>
  <c r="F20"/>
  <c r="E10"/>
  <c r="E9"/>
  <c r="AC21" i="21"/>
  <c r="Q72" i="67"/>
  <c r="Q59"/>
  <c r="Q58"/>
  <c r="Q51"/>
  <c r="J50"/>
  <c r="M47"/>
  <c r="D46"/>
  <c r="F33"/>
  <c r="F61" s="1"/>
  <c r="F23"/>
  <c r="D24"/>
  <c r="F21"/>
  <c r="F20"/>
  <c r="M19"/>
  <c r="F18"/>
  <c r="F17"/>
  <c r="F15"/>
  <c r="S2" i="4"/>
  <c r="C51" i="10"/>
  <c r="S1" i="4"/>
  <c r="B1"/>
  <c r="B37" i="48" s="1"/>
  <c r="B2" i="72" s="1"/>
  <c r="C31" i="66"/>
  <c r="C27"/>
  <c r="C32" s="1"/>
  <c r="I23"/>
  <c r="D20"/>
  <c r="I19"/>
  <c r="I18"/>
  <c r="I17"/>
  <c r="I20" s="1"/>
  <c r="E15"/>
  <c r="I14"/>
  <c r="I13"/>
  <c r="I12"/>
  <c r="I15" s="1"/>
  <c r="I9"/>
  <c r="I8"/>
  <c r="I7"/>
  <c r="I6"/>
  <c r="I5"/>
  <c r="I4"/>
  <c r="I3"/>
  <c r="I10" s="1"/>
  <c r="I21" s="1"/>
  <c r="D1" i="43"/>
  <c r="F113"/>
  <c r="N99"/>
  <c r="N108" s="1"/>
  <c r="D99"/>
  <c r="E99"/>
  <c r="E108" s="1"/>
  <c r="F99"/>
  <c r="F108"/>
  <c r="G99"/>
  <c r="G108" s="1"/>
  <c r="H99"/>
  <c r="H108"/>
  <c r="I99"/>
  <c r="I108" s="1"/>
  <c r="J99"/>
  <c r="J108"/>
  <c r="K99"/>
  <c r="K108" s="1"/>
  <c r="L99"/>
  <c r="M99"/>
  <c r="M108" s="1"/>
  <c r="C99"/>
  <c r="C108" s="1"/>
  <c r="N100"/>
  <c r="E100"/>
  <c r="K100"/>
  <c r="B48"/>
  <c r="B84"/>
  <c r="B83"/>
  <c r="B72"/>
  <c r="B61"/>
  <c r="B50"/>
  <c r="D82"/>
  <c r="D67"/>
  <c r="D60"/>
  <c r="D61"/>
  <c r="D62"/>
  <c r="D63"/>
  <c r="D64"/>
  <c r="D65"/>
  <c r="D66"/>
  <c r="D59"/>
  <c r="M88"/>
  <c r="N88"/>
  <c r="K88"/>
  <c r="J88" s="1"/>
  <c r="M87"/>
  <c r="D87"/>
  <c r="K87"/>
  <c r="J87" s="1"/>
  <c r="M86"/>
  <c r="N86"/>
  <c r="K86"/>
  <c r="M85"/>
  <c r="N85"/>
  <c r="K85"/>
  <c r="D85" s="1"/>
  <c r="E81" s="1"/>
  <c r="B79" s="1"/>
  <c r="C24" s="1"/>
  <c r="M84"/>
  <c r="N84"/>
  <c r="K84"/>
  <c r="J84" s="1"/>
  <c r="M83"/>
  <c r="N83"/>
  <c r="K83"/>
  <c r="J83" s="1"/>
  <c r="M82"/>
  <c r="N82"/>
  <c r="K82"/>
  <c r="J82" s="1"/>
  <c r="M81"/>
  <c r="N81"/>
  <c r="K81"/>
  <c r="J81" s="1"/>
  <c r="M78"/>
  <c r="N78"/>
  <c r="K78"/>
  <c r="J78" s="1"/>
  <c r="D78"/>
  <c r="M77"/>
  <c r="N77" s="1"/>
  <c r="K77"/>
  <c r="J77" s="1"/>
  <c r="D77"/>
  <c r="M76"/>
  <c r="N76" s="1"/>
  <c r="K76"/>
  <c r="J76"/>
  <c r="D76"/>
  <c r="M75"/>
  <c r="N75" s="1"/>
  <c r="K75"/>
  <c r="J75" s="1"/>
  <c r="D75"/>
  <c r="M74"/>
  <c r="N74"/>
  <c r="K74"/>
  <c r="J74" s="1"/>
  <c r="D74"/>
  <c r="M73"/>
  <c r="N73" s="1"/>
  <c r="K73"/>
  <c r="J73" s="1"/>
  <c r="D73"/>
  <c r="M72"/>
  <c r="N72" s="1"/>
  <c r="K72"/>
  <c r="J72"/>
  <c r="D72"/>
  <c r="M71"/>
  <c r="N71" s="1"/>
  <c r="K71"/>
  <c r="J71" s="1"/>
  <c r="D71"/>
  <c r="M70"/>
  <c r="N70"/>
  <c r="K70"/>
  <c r="J70" s="1"/>
  <c r="D70"/>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D56"/>
  <c r="M55"/>
  <c r="N55" s="1"/>
  <c r="K55"/>
  <c r="J55"/>
  <c r="D55"/>
  <c r="M54"/>
  <c r="N54" s="1"/>
  <c r="K54"/>
  <c r="J54" s="1"/>
  <c r="D54"/>
  <c r="M53"/>
  <c r="N53"/>
  <c r="K53"/>
  <c r="J53" s="1"/>
  <c r="D53"/>
  <c r="M52"/>
  <c r="N52" s="1"/>
  <c r="K52"/>
  <c r="J52" s="1"/>
  <c r="D52"/>
  <c r="M51"/>
  <c r="N51" s="1"/>
  <c r="K51"/>
  <c r="J51"/>
  <c r="D51"/>
  <c r="M50"/>
  <c r="N50" s="1"/>
  <c r="K50"/>
  <c r="J50" s="1"/>
  <c r="D50"/>
  <c r="M49"/>
  <c r="N49"/>
  <c r="K49"/>
  <c r="J49" s="1"/>
  <c r="D49"/>
  <c r="M48"/>
  <c r="N48" s="1"/>
  <c r="K48"/>
  <c r="J48" s="1"/>
  <c r="D48"/>
  <c r="Q72" i="15"/>
  <c r="Q58"/>
  <c r="Q51"/>
  <c r="Q59"/>
  <c r="AE10" i="1"/>
  <c r="AE11"/>
  <c r="AE12"/>
  <c r="AE13"/>
  <c r="M47" i="15"/>
  <c r="AG7" i="1"/>
  <c r="AG8"/>
  <c r="AG9"/>
  <c r="AG10"/>
  <c r="AG11"/>
  <c r="AG12"/>
  <c r="AG13"/>
  <c r="J50" i="15"/>
  <c r="D12" i="31"/>
  <c r="E12" s="1"/>
  <c r="F12" s="1"/>
  <c r="G12"/>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c r="H8" s="1"/>
  <c r="I8" s="1"/>
  <c r="J8" s="1"/>
  <c r="K8" s="1"/>
  <c r="L8" s="1"/>
  <c r="M8" s="1"/>
  <c r="N8" s="1"/>
  <c r="O8" s="1"/>
  <c r="P8" s="1"/>
  <c r="Q8" s="1"/>
  <c r="R8" s="1"/>
  <c r="S8" s="1"/>
  <c r="D6"/>
  <c r="E6" s="1"/>
  <c r="F6" s="1"/>
  <c r="G6"/>
  <c r="H6" s="1"/>
  <c r="I6" s="1"/>
  <c r="J6" s="1"/>
  <c r="K6" s="1"/>
  <c r="L6" s="1"/>
  <c r="M6" s="1"/>
  <c r="N6" s="1"/>
  <c r="O6" s="1"/>
  <c r="P6" s="1"/>
  <c r="Q6" s="1"/>
  <c r="R6" s="1"/>
  <c r="S6" s="1"/>
  <c r="B2" i="1"/>
  <c r="F15" i="4"/>
  <c r="F8" i="1"/>
  <c r="F9"/>
  <c r="F10"/>
  <c r="F11"/>
  <c r="F12"/>
  <c r="F13"/>
  <c r="D6"/>
  <c r="D9"/>
  <c r="D10"/>
  <c r="G10" s="1"/>
  <c r="D11"/>
  <c r="D12"/>
  <c r="D13"/>
  <c r="D7"/>
  <c r="D8"/>
  <c r="G8" s="1"/>
  <c r="A7"/>
  <c r="B7"/>
  <c r="E7" s="1"/>
  <c r="A8"/>
  <c r="B8"/>
  <c r="E8"/>
  <c r="A9"/>
  <c r="A10"/>
  <c r="A11"/>
  <c r="A12"/>
  <c r="A13"/>
  <c r="K13" s="1"/>
  <c r="M13" s="1"/>
  <c r="A6"/>
  <c r="B11"/>
  <c r="E11" s="1"/>
  <c r="K10"/>
  <c r="M10"/>
  <c r="B13"/>
  <c r="E13"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G112" s="1"/>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BA110" s="1"/>
  <c r="AX110"/>
  <c r="AW110"/>
  <c r="AV110"/>
  <c r="AC110"/>
  <c r="H110"/>
  <c r="G110" s="1"/>
  <c r="BT109"/>
  <c r="BS109"/>
  <c r="BR109"/>
  <c r="BQ109"/>
  <c r="BP109"/>
  <c r="BO109"/>
  <c r="BN109"/>
  <c r="BM109"/>
  <c r="BL109" s="1"/>
  <c r="BK109"/>
  <c r="BJ109"/>
  <c r="BI109"/>
  <c r="BH109"/>
  <c r="BG109"/>
  <c r="BF109"/>
  <c r="BE109"/>
  <c r="BD109"/>
  <c r="BC109"/>
  <c r="BB109"/>
  <c r="BA109" s="1"/>
  <c r="AX109"/>
  <c r="AW109"/>
  <c r="AV109"/>
  <c r="AC109"/>
  <c r="H109"/>
  <c r="G109" s="1"/>
  <c r="BT108"/>
  <c r="BS108"/>
  <c r="BR108"/>
  <c r="BQ108"/>
  <c r="BP108"/>
  <c r="BO108"/>
  <c r="BN108"/>
  <c r="BM108"/>
  <c r="BL108" s="1"/>
  <c r="BK108"/>
  <c r="BJ108"/>
  <c r="BI108"/>
  <c r="BH108"/>
  <c r="BG108"/>
  <c r="BF108"/>
  <c r="BE108"/>
  <c r="BD108"/>
  <c r="BC108"/>
  <c r="BA108"/>
  <c r="AZ108" s="1"/>
  <c r="BB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BT106"/>
  <c r="BS106"/>
  <c r="BR106"/>
  <c r="BQ106"/>
  <c r="BP106"/>
  <c r="BO106"/>
  <c r="BN106"/>
  <c r="BL106" s="1"/>
  <c r="BM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L104" s="1"/>
  <c r="BN104"/>
  <c r="BM104"/>
  <c r="BK104"/>
  <c r="BJ104"/>
  <c r="BI104"/>
  <c r="BH104"/>
  <c r="BG104"/>
  <c r="BF104"/>
  <c r="BE104"/>
  <c r="BD104"/>
  <c r="BC104"/>
  <c r="BB104"/>
  <c r="BA104" s="1"/>
  <c r="AX104"/>
  <c r="AW104"/>
  <c r="AV104"/>
  <c r="AC104"/>
  <c r="H104"/>
  <c r="G104"/>
  <c r="BT103"/>
  <c r="BS103"/>
  <c r="BR103"/>
  <c r="BQ103"/>
  <c r="BP103"/>
  <c r="BO103"/>
  <c r="BN103"/>
  <c r="BL103" s="1"/>
  <c r="BM103"/>
  <c r="BK103"/>
  <c r="BJ103"/>
  <c r="BI103"/>
  <c r="BH103"/>
  <c r="BG103"/>
  <c r="BF103"/>
  <c r="BE103"/>
  <c r="BD103"/>
  <c r="BC103"/>
  <c r="BB103"/>
  <c r="AX103"/>
  <c r="AW103"/>
  <c r="AV103"/>
  <c r="AC103"/>
  <c r="H103"/>
  <c r="G103" s="1"/>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L101" s="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A100"/>
  <c r="BB100"/>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L98" s="1"/>
  <c r="BN98"/>
  <c r="BM98"/>
  <c r="BK98"/>
  <c r="BJ98"/>
  <c r="BI98"/>
  <c r="BH98"/>
  <c r="BG98"/>
  <c r="BF98"/>
  <c r="BE98"/>
  <c r="BD98"/>
  <c r="BA98"/>
  <c r="AZ98" s="1"/>
  <c r="BC98"/>
  <c r="BB98"/>
  <c r="AX98"/>
  <c r="AW98"/>
  <c r="AV98"/>
  <c r="AC98"/>
  <c r="H98"/>
  <c r="BT97"/>
  <c r="BS97"/>
  <c r="BR97"/>
  <c r="BQ97"/>
  <c r="BP97"/>
  <c r="BO97"/>
  <c r="BN97"/>
  <c r="BL97"/>
  <c r="BM97"/>
  <c r="BK97"/>
  <c r="BJ97"/>
  <c r="BI97"/>
  <c r="BH97"/>
  <c r="BG97"/>
  <c r="BF97"/>
  <c r="BE97"/>
  <c r="BD97"/>
  <c r="BC97"/>
  <c r="BB97"/>
  <c r="BA97"/>
  <c r="AX97"/>
  <c r="AW97"/>
  <c r="AV97"/>
  <c r="AC97"/>
  <c r="H97"/>
  <c r="G97" s="1"/>
  <c r="BT96"/>
  <c r="BS96"/>
  <c r="BR96"/>
  <c r="BQ96"/>
  <c r="BP96"/>
  <c r="BO96"/>
  <c r="BL96" s="1"/>
  <c r="BN96"/>
  <c r="BM96"/>
  <c r="BK96"/>
  <c r="BJ96"/>
  <c r="BI96"/>
  <c r="BH96"/>
  <c r="BG96"/>
  <c r="BF96"/>
  <c r="BE96"/>
  <c r="BD96"/>
  <c r="BA96"/>
  <c r="BC96"/>
  <c r="BB96"/>
  <c r="AX96"/>
  <c r="AW96"/>
  <c r="AV96"/>
  <c r="AC96"/>
  <c r="G96"/>
  <c r="H96"/>
  <c r="BT95"/>
  <c r="BS95"/>
  <c r="BR95"/>
  <c r="BQ95"/>
  <c r="BP95"/>
  <c r="BO95"/>
  <c r="BL95"/>
  <c r="BN95"/>
  <c r="BM95"/>
  <c r="BK95"/>
  <c r="BJ95"/>
  <c r="BI95"/>
  <c r="BH95"/>
  <c r="BG95"/>
  <c r="BF95"/>
  <c r="BE95"/>
  <c r="BD95"/>
  <c r="BC95"/>
  <c r="BA95"/>
  <c r="BB95"/>
  <c r="AX95"/>
  <c r="AW95"/>
  <c r="AV95"/>
  <c r="AC95"/>
  <c r="H95"/>
  <c r="G95"/>
  <c r="BT94"/>
  <c r="BS94"/>
  <c r="BR94"/>
  <c r="BQ94"/>
  <c r="BP94"/>
  <c r="BO94"/>
  <c r="BN94"/>
  <c r="BM94"/>
  <c r="BL94"/>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BA93"/>
  <c r="AX93"/>
  <c r="AW93"/>
  <c r="AV93"/>
  <c r="AC93"/>
  <c r="H93"/>
  <c r="BT92"/>
  <c r="BS92"/>
  <c r="BR92"/>
  <c r="BQ92"/>
  <c r="BP92"/>
  <c r="BO92"/>
  <c r="BN92"/>
  <c r="BL92" s="1"/>
  <c r="BM92"/>
  <c r="BK92"/>
  <c r="BJ92"/>
  <c r="BI92"/>
  <c r="BH92"/>
  <c r="BG92"/>
  <c r="BF92"/>
  <c r="BE92"/>
  <c r="BD92"/>
  <c r="BC92"/>
  <c r="BB92"/>
  <c r="BA92" s="1"/>
  <c r="AX92"/>
  <c r="AW92"/>
  <c r="AV92"/>
  <c r="AC92"/>
  <c r="H92"/>
  <c r="G92"/>
  <c r="BT91"/>
  <c r="BS91"/>
  <c r="BR91"/>
  <c r="BQ91"/>
  <c r="BP91"/>
  <c r="BO91"/>
  <c r="BN91"/>
  <c r="BM91"/>
  <c r="BL91"/>
  <c r="BK91"/>
  <c r="BJ91"/>
  <c r="BI91"/>
  <c r="BH91"/>
  <c r="BG91"/>
  <c r="BF91"/>
  <c r="BE91"/>
  <c r="BD91"/>
  <c r="BC91"/>
  <c r="BB91"/>
  <c r="BA91" s="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s="1"/>
  <c r="BT89"/>
  <c r="BS89"/>
  <c r="BR89"/>
  <c r="BQ89"/>
  <c r="BP89"/>
  <c r="BO89"/>
  <c r="BN89"/>
  <c r="BM89"/>
  <c r="BL89" s="1"/>
  <c r="BK89"/>
  <c r="BJ89"/>
  <c r="BI89"/>
  <c r="BH89"/>
  <c r="BG89"/>
  <c r="BF89"/>
  <c r="BE89"/>
  <c r="BD89"/>
  <c r="BA89"/>
  <c r="BC89"/>
  <c r="BB89"/>
  <c r="AX89"/>
  <c r="AW89"/>
  <c r="AV89"/>
  <c r="AC89"/>
  <c r="H89"/>
  <c r="G89"/>
  <c r="BT88"/>
  <c r="BS88"/>
  <c r="BR88"/>
  <c r="BQ88"/>
  <c r="BP88"/>
  <c r="BO88"/>
  <c r="BN88"/>
  <c r="BM88"/>
  <c r="BK88"/>
  <c r="BJ88"/>
  <c r="BI88"/>
  <c r="BH88"/>
  <c r="BG88"/>
  <c r="BF88"/>
  <c r="BE88"/>
  <c r="BD88"/>
  <c r="BC88"/>
  <c r="BB88"/>
  <c r="BA88" s="1"/>
  <c r="AX88"/>
  <c r="AW88"/>
  <c r="AV88"/>
  <c r="AC88"/>
  <c r="G88"/>
  <c r="H88"/>
  <c r="BT87"/>
  <c r="BS87"/>
  <c r="BR87"/>
  <c r="BQ87"/>
  <c r="BP87"/>
  <c r="BO87"/>
  <c r="BL87"/>
  <c r="BN87"/>
  <c r="BM87"/>
  <c r="BK87"/>
  <c r="BJ87"/>
  <c r="BI87"/>
  <c r="BH87"/>
  <c r="BG87"/>
  <c r="BF87"/>
  <c r="BE87"/>
  <c r="BD87"/>
  <c r="BC87"/>
  <c r="BA87"/>
  <c r="BB87"/>
  <c r="AX87"/>
  <c r="AW87"/>
  <c r="AV87"/>
  <c r="AC87"/>
  <c r="H87"/>
  <c r="G87" s="1"/>
  <c r="BT86"/>
  <c r="BS86"/>
  <c r="BR86"/>
  <c r="BQ86"/>
  <c r="BP86"/>
  <c r="BO86"/>
  <c r="BN86"/>
  <c r="BM86"/>
  <c r="BL86" s="1"/>
  <c r="BK86"/>
  <c r="BJ86"/>
  <c r="BI86"/>
  <c r="BH86"/>
  <c r="BG86"/>
  <c r="BF86"/>
  <c r="BE86"/>
  <c r="BD86"/>
  <c r="BC86"/>
  <c r="BB86"/>
  <c r="BA86" s="1"/>
  <c r="AX86"/>
  <c r="AW86"/>
  <c r="AV86"/>
  <c r="AC86"/>
  <c r="H86"/>
  <c r="G86" s="1"/>
  <c r="BT85"/>
  <c r="BS85"/>
  <c r="BR85"/>
  <c r="BQ85"/>
  <c r="BP85"/>
  <c r="BO85"/>
  <c r="BN85"/>
  <c r="BL85" s="1"/>
  <c r="BM85"/>
  <c r="BK85"/>
  <c r="BJ85"/>
  <c r="BI85"/>
  <c r="BH85"/>
  <c r="BG85"/>
  <c r="BF85"/>
  <c r="BE85"/>
  <c r="BD85"/>
  <c r="BC85"/>
  <c r="BB85"/>
  <c r="BA85" s="1"/>
  <c r="AX85"/>
  <c r="AW85"/>
  <c r="AV85"/>
  <c r="AC85"/>
  <c r="H85"/>
  <c r="G85" s="1"/>
  <c r="BT84"/>
  <c r="BS84"/>
  <c r="BR84"/>
  <c r="BQ84"/>
  <c r="BP84"/>
  <c r="BO84"/>
  <c r="BN84"/>
  <c r="BM84"/>
  <c r="BL84" s="1"/>
  <c r="BK84"/>
  <c r="BJ84"/>
  <c r="BI84"/>
  <c r="BH84"/>
  <c r="BG84"/>
  <c r="BF84"/>
  <c r="BE84"/>
  <c r="BD84"/>
  <c r="BC84"/>
  <c r="BB84"/>
  <c r="AX84"/>
  <c r="AW84"/>
  <c r="AV84"/>
  <c r="AC84"/>
  <c r="H84"/>
  <c r="G84"/>
  <c r="BT83"/>
  <c r="BS83"/>
  <c r="BR83"/>
  <c r="BQ83"/>
  <c r="BP83"/>
  <c r="BO83"/>
  <c r="BN83"/>
  <c r="BM83"/>
  <c r="BL83" s="1"/>
  <c r="BK83"/>
  <c r="BJ83"/>
  <c r="BI83"/>
  <c r="BH83"/>
  <c r="BG83"/>
  <c r="BF83"/>
  <c r="BE83"/>
  <c r="BD83"/>
  <c r="BC83"/>
  <c r="BB83"/>
  <c r="BA83" s="1"/>
  <c r="AX83"/>
  <c r="AW83"/>
  <c r="AV83"/>
  <c r="AC83"/>
  <c r="H83"/>
  <c r="G83" s="1"/>
  <c r="BT82"/>
  <c r="BS82"/>
  <c r="BR82"/>
  <c r="BQ82"/>
  <c r="BP82"/>
  <c r="BO82"/>
  <c r="BN82"/>
  <c r="BL82" s="1"/>
  <c r="BM82"/>
  <c r="BK82"/>
  <c r="BJ82"/>
  <c r="BI82"/>
  <c r="BH82"/>
  <c r="BG82"/>
  <c r="BF82"/>
  <c r="BE82"/>
  <c r="BD82"/>
  <c r="BC82"/>
  <c r="BB82"/>
  <c r="BA82" s="1"/>
  <c r="AX82"/>
  <c r="AW82"/>
  <c r="AV82"/>
  <c r="AC82"/>
  <c r="H82"/>
  <c r="G82"/>
  <c r="BT81"/>
  <c r="BS81"/>
  <c r="BR81"/>
  <c r="BQ81"/>
  <c r="BP81"/>
  <c r="BO81"/>
  <c r="BN81"/>
  <c r="BL81"/>
  <c r="BM8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X80"/>
  <c r="AW80"/>
  <c r="AV80"/>
  <c r="AC80"/>
  <c r="G80"/>
  <c r="H80"/>
  <c r="BT79"/>
  <c r="BS79"/>
  <c r="BR79"/>
  <c r="BQ79"/>
  <c r="BP79"/>
  <c r="BO79"/>
  <c r="BN79"/>
  <c r="BM79"/>
  <c r="BK79"/>
  <c r="BJ79"/>
  <c r="BI79"/>
  <c r="BH79"/>
  <c r="BG79"/>
  <c r="BF79"/>
  <c r="BE79"/>
  <c r="BD79"/>
  <c r="BC79"/>
  <c r="BB79"/>
  <c r="BA79"/>
  <c r="AX79"/>
  <c r="AW79"/>
  <c r="AV79"/>
  <c r="AC79"/>
  <c r="H79"/>
  <c r="G79" s="1"/>
  <c r="BT78"/>
  <c r="BS78"/>
  <c r="BR78"/>
  <c r="BQ78"/>
  <c r="BP78"/>
  <c r="BO78"/>
  <c r="BN78"/>
  <c r="BM78"/>
  <c r="BL78" s="1"/>
  <c r="BK78"/>
  <c r="BJ78"/>
  <c r="BI78"/>
  <c r="BH78"/>
  <c r="BG78"/>
  <c r="BF78"/>
  <c r="BE78"/>
  <c r="BD78"/>
  <c r="BA78"/>
  <c r="AZ78" s="1"/>
  <c r="BC78"/>
  <c r="BB78"/>
  <c r="AX78"/>
  <c r="AW78"/>
  <c r="AV78"/>
  <c r="AC78"/>
  <c r="H78"/>
  <c r="BT77"/>
  <c r="BS77"/>
  <c r="BR77"/>
  <c r="BQ77"/>
  <c r="BP77"/>
  <c r="BO77"/>
  <c r="BN77"/>
  <c r="BL77"/>
  <c r="BM77"/>
  <c r="BK77"/>
  <c r="BJ77"/>
  <c r="BI77"/>
  <c r="BH77"/>
  <c r="BG77"/>
  <c r="BF77"/>
  <c r="BE77"/>
  <c r="BD77"/>
  <c r="BC77"/>
  <c r="BB77"/>
  <c r="BA77"/>
  <c r="AX77"/>
  <c r="AW77"/>
  <c r="AV77"/>
  <c r="AC77"/>
  <c r="H77"/>
  <c r="G77" s="1"/>
  <c r="BT76"/>
  <c r="BS76"/>
  <c r="BR76"/>
  <c r="BQ76"/>
  <c r="BP76"/>
  <c r="BO76"/>
  <c r="BN76"/>
  <c r="BM76"/>
  <c r="BL76" s="1"/>
  <c r="BK76"/>
  <c r="BJ76"/>
  <c r="BI76"/>
  <c r="BH76"/>
  <c r="BG76"/>
  <c r="BF76"/>
  <c r="BE76"/>
  <c r="BD76"/>
  <c r="BA76"/>
  <c r="BC76"/>
  <c r="BB76"/>
  <c r="AX76"/>
  <c r="AW76"/>
  <c r="AV76"/>
  <c r="AC76"/>
  <c r="G76"/>
  <c r="H76"/>
  <c r="BT75"/>
  <c r="BS75"/>
  <c r="BR75"/>
  <c r="BQ75"/>
  <c r="BP75"/>
  <c r="BO75"/>
  <c r="BL75"/>
  <c r="BN75"/>
  <c r="BM75"/>
  <c r="BK75"/>
  <c r="BJ75"/>
  <c r="BI75"/>
  <c r="BH75"/>
  <c r="BG75"/>
  <c r="BF75"/>
  <c r="BE75"/>
  <c r="BD75"/>
  <c r="BC75"/>
  <c r="BA75"/>
  <c r="BB75"/>
  <c r="AX75"/>
  <c r="AW75"/>
  <c r="AV75"/>
  <c r="AC75"/>
  <c r="H75"/>
  <c r="G75" s="1"/>
  <c r="BT74"/>
  <c r="BS74"/>
  <c r="BR74"/>
  <c r="BQ74"/>
  <c r="BP74"/>
  <c r="BO74"/>
  <c r="BN74"/>
  <c r="BM74"/>
  <c r="BL74"/>
  <c r="BK74"/>
  <c r="BJ74"/>
  <c r="BI74"/>
  <c r="BH74"/>
  <c r="BG74"/>
  <c r="BF74"/>
  <c r="BE74"/>
  <c r="BD74"/>
  <c r="BC74"/>
  <c r="BA74" s="1"/>
  <c r="BB74"/>
  <c r="AX74"/>
  <c r="AW74"/>
  <c r="AV74"/>
  <c r="AC74"/>
  <c r="H74"/>
  <c r="G74" s="1"/>
  <c r="BT73"/>
  <c r="BS73"/>
  <c r="BR73"/>
  <c r="BQ73"/>
  <c r="BP73"/>
  <c r="BO73"/>
  <c r="BN73"/>
  <c r="BM73"/>
  <c r="BL73" s="1"/>
  <c r="BK73"/>
  <c r="BJ73"/>
  <c r="BI73"/>
  <c r="BH73"/>
  <c r="BG73"/>
  <c r="BF73"/>
  <c r="BE73"/>
  <c r="BD73"/>
  <c r="BC73"/>
  <c r="BB73"/>
  <c r="BA73" s="1"/>
  <c r="AX73"/>
  <c r="AW73"/>
  <c r="AV73"/>
  <c r="AC73"/>
  <c r="H73"/>
  <c r="G73" s="1"/>
  <c r="BT72"/>
  <c r="BS72"/>
  <c r="BR72"/>
  <c r="BQ72"/>
  <c r="BP72"/>
  <c r="BO72"/>
  <c r="BN72"/>
  <c r="BM72"/>
  <c r="BL72"/>
  <c r="BK72"/>
  <c r="BJ72"/>
  <c r="BI72"/>
  <c r="BH72"/>
  <c r="BG72"/>
  <c r="BF72"/>
  <c r="BE72"/>
  <c r="BD72"/>
  <c r="BA72" s="1"/>
  <c r="BC72"/>
  <c r="BB72"/>
  <c r="AX72"/>
  <c r="AW72"/>
  <c r="AV72"/>
  <c r="AC72"/>
  <c r="H72"/>
  <c r="G72" s="1"/>
  <c r="BT71"/>
  <c r="BS71"/>
  <c r="BR71"/>
  <c r="BQ71"/>
  <c r="BP71"/>
  <c r="BO71"/>
  <c r="BN71"/>
  <c r="BL71" s="1"/>
  <c r="BM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A70" s="1"/>
  <c r="AZ70" s="1"/>
  <c r="BC70"/>
  <c r="BB70"/>
  <c r="AX70"/>
  <c r="AW70"/>
  <c r="AV70"/>
  <c r="AC70"/>
  <c r="G70" s="1"/>
  <c r="H70"/>
  <c r="BT69"/>
  <c r="BS69"/>
  <c r="BR69"/>
  <c r="BQ69"/>
  <c r="BP69"/>
  <c r="BO69"/>
  <c r="BL69" s="1"/>
  <c r="BN69"/>
  <c r="BM69"/>
  <c r="BK69"/>
  <c r="BJ69"/>
  <c r="BI69"/>
  <c r="BH69"/>
  <c r="BG69"/>
  <c r="BF69"/>
  <c r="BE69"/>
  <c r="BD69"/>
  <c r="BC69"/>
  <c r="BA69" s="1"/>
  <c r="BB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A67" s="1"/>
  <c r="BC67"/>
  <c r="BB67"/>
  <c r="AX67"/>
  <c r="AW67"/>
  <c r="AV67"/>
  <c r="AC67"/>
  <c r="H67"/>
  <c r="G67" s="1"/>
  <c r="BT66"/>
  <c r="BS66"/>
  <c r="BR66"/>
  <c r="BQ66"/>
  <c r="BP66"/>
  <c r="BO66"/>
  <c r="BN66"/>
  <c r="BL66" s="1"/>
  <c r="BM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G65" s="1"/>
  <c r="H65"/>
  <c r="BT64"/>
  <c r="BS64"/>
  <c r="BR64"/>
  <c r="BQ64"/>
  <c r="BP64"/>
  <c r="BO64"/>
  <c r="BL64" s="1"/>
  <c r="BN64"/>
  <c r="BM64"/>
  <c r="BK64"/>
  <c r="BJ64"/>
  <c r="BI64"/>
  <c r="BH64"/>
  <c r="BG64"/>
  <c r="BF64"/>
  <c r="BE64"/>
  <c r="BD64"/>
  <c r="BC64"/>
  <c r="BA64" s="1"/>
  <c r="AZ64" s="1"/>
  <c r="BB64"/>
  <c r="AX64"/>
  <c r="AW64"/>
  <c r="AV64"/>
  <c r="AC64"/>
  <c r="H64"/>
  <c r="G64" s="1"/>
  <c r="BT63"/>
  <c r="BS63"/>
  <c r="BR63"/>
  <c r="BQ63"/>
  <c r="BP63"/>
  <c r="BO63"/>
  <c r="BN63"/>
  <c r="BL63" s="1"/>
  <c r="BM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G62" s="1"/>
  <c r="H62"/>
  <c r="BT61"/>
  <c r="BS61"/>
  <c r="BR61"/>
  <c r="BQ61"/>
  <c r="BP61"/>
  <c r="BO61"/>
  <c r="BL61" s="1"/>
  <c r="BN61"/>
  <c r="BM61"/>
  <c r="BK61"/>
  <c r="BJ61"/>
  <c r="BI61"/>
  <c r="BH61"/>
  <c r="BG61"/>
  <c r="BF61"/>
  <c r="BE61"/>
  <c r="BD61"/>
  <c r="BC61"/>
  <c r="BA61" s="1"/>
  <c r="BB61"/>
  <c r="AX61"/>
  <c r="AW61"/>
  <c r="AV61"/>
  <c r="AC61"/>
  <c r="H61"/>
  <c r="G61"/>
  <c r="BT60"/>
  <c r="BS60"/>
  <c r="BR60"/>
  <c r="BQ60"/>
  <c r="BP60"/>
  <c r="BO60"/>
  <c r="BN60"/>
  <c r="BM60"/>
  <c r="BL60" s="1"/>
  <c r="BK60"/>
  <c r="BJ60"/>
  <c r="BI60"/>
  <c r="BH60"/>
  <c r="BG60"/>
  <c r="BF60"/>
  <c r="BE60"/>
  <c r="BD60"/>
  <c r="BC60"/>
  <c r="BB60"/>
  <c r="BA60"/>
  <c r="AX60"/>
  <c r="AW60"/>
  <c r="AV60"/>
  <c r="AC60"/>
  <c r="H60"/>
  <c r="BT59"/>
  <c r="BS59"/>
  <c r="BR59"/>
  <c r="BQ59"/>
  <c r="BP59"/>
  <c r="BO59"/>
  <c r="BN59"/>
  <c r="BM59"/>
  <c r="BL59" s="1"/>
  <c r="BK59"/>
  <c r="BJ59"/>
  <c r="BI59"/>
  <c r="BH59"/>
  <c r="BG59"/>
  <c r="BF59"/>
  <c r="BE59"/>
  <c r="BD59"/>
  <c r="BA59"/>
  <c r="BC59"/>
  <c r="BB59"/>
  <c r="AX59"/>
  <c r="AW59"/>
  <c r="AV59"/>
  <c r="AC59"/>
  <c r="H59"/>
  <c r="G59"/>
  <c r="BT58"/>
  <c r="BS58"/>
  <c r="BR58"/>
  <c r="BQ58"/>
  <c r="BP58"/>
  <c r="BO58"/>
  <c r="BN58"/>
  <c r="BL58"/>
  <c r="BM58"/>
  <c r="BK58"/>
  <c r="BJ58"/>
  <c r="BI58"/>
  <c r="BH58"/>
  <c r="BG58"/>
  <c r="BF58"/>
  <c r="BE58"/>
  <c r="BD58"/>
  <c r="BC58"/>
  <c r="BB58"/>
  <c r="BA58"/>
  <c r="AX58"/>
  <c r="AW58"/>
  <c r="AV58"/>
  <c r="AC58"/>
  <c r="H58"/>
  <c r="BT57"/>
  <c r="BS57"/>
  <c r="BR57"/>
  <c r="BQ57"/>
  <c r="BP57"/>
  <c r="BO57"/>
  <c r="BN57"/>
  <c r="BM57"/>
  <c r="BK57"/>
  <c r="BJ57"/>
  <c r="BI57"/>
  <c r="BH57"/>
  <c r="BG57"/>
  <c r="BF57"/>
  <c r="BE57"/>
  <c r="BD57"/>
  <c r="BA57"/>
  <c r="BC57"/>
  <c r="BB57"/>
  <c r="AX57"/>
  <c r="AW57"/>
  <c r="AV57"/>
  <c r="AC57"/>
  <c r="G57"/>
  <c r="H57"/>
  <c r="BT56"/>
  <c r="BS56"/>
  <c r="BR56"/>
  <c r="BQ56"/>
  <c r="BP56"/>
  <c r="BO56"/>
  <c r="BL56"/>
  <c r="BN56"/>
  <c r="BM56"/>
  <c r="BK56"/>
  <c r="BJ56"/>
  <c r="BI56"/>
  <c r="BH56"/>
  <c r="BG56"/>
  <c r="BF56"/>
  <c r="BE56"/>
  <c r="BD56"/>
  <c r="BC56"/>
  <c r="BA56"/>
  <c r="BB56"/>
  <c r="AX56"/>
  <c r="AW56"/>
  <c r="AV56"/>
  <c r="AC56"/>
  <c r="H56"/>
  <c r="G56" s="1"/>
  <c r="BT55"/>
  <c r="BS55"/>
  <c r="BR55"/>
  <c r="BQ55"/>
  <c r="BP55"/>
  <c r="BO55"/>
  <c r="BN55"/>
  <c r="BM55"/>
  <c r="BK55"/>
  <c r="BJ55"/>
  <c r="BI55"/>
  <c r="BH55"/>
  <c r="BG55"/>
  <c r="BF55"/>
  <c r="BE55"/>
  <c r="BD55"/>
  <c r="BC55"/>
  <c r="BB55"/>
  <c r="AX55"/>
  <c r="AW55"/>
  <c r="AV55"/>
  <c r="AC55"/>
  <c r="H55"/>
  <c r="G55" s="1"/>
  <c r="BT54"/>
  <c r="BS54"/>
  <c r="BR54"/>
  <c r="BQ54"/>
  <c r="BP54"/>
  <c r="BO54"/>
  <c r="BN54"/>
  <c r="BM54"/>
  <c r="BL54" s="1"/>
  <c r="BK54"/>
  <c r="BJ54"/>
  <c r="BI54"/>
  <c r="BH54"/>
  <c r="BG54"/>
  <c r="BF54"/>
  <c r="BE54"/>
  <c r="BD54"/>
  <c r="BC54"/>
  <c r="BB54"/>
  <c r="BA54" s="1"/>
  <c r="AX54"/>
  <c r="AW54"/>
  <c r="AV54"/>
  <c r="AC54"/>
  <c r="H54"/>
  <c r="G54" s="1"/>
  <c r="BT53"/>
  <c r="BS53"/>
  <c r="BR53"/>
  <c r="BQ53"/>
  <c r="BP53"/>
  <c r="BO53"/>
  <c r="BN53"/>
  <c r="BM53"/>
  <c r="BK53"/>
  <c r="BJ53"/>
  <c r="BI53"/>
  <c r="BH53"/>
  <c r="BG53"/>
  <c r="BF53"/>
  <c r="BE53"/>
  <c r="BD53"/>
  <c r="BC53"/>
  <c r="BB53"/>
  <c r="AX53"/>
  <c r="AW53"/>
  <c r="AV53"/>
  <c r="AC53"/>
  <c r="H53"/>
  <c r="G53" s="1"/>
  <c r="BT52"/>
  <c r="BS52"/>
  <c r="BR52"/>
  <c r="BQ52"/>
  <c r="BP52"/>
  <c r="BO52"/>
  <c r="BN52"/>
  <c r="BM52"/>
  <c r="BK52"/>
  <c r="BJ52"/>
  <c r="BI52"/>
  <c r="BH52"/>
  <c r="BG52"/>
  <c r="BF52"/>
  <c r="BE52"/>
  <c r="BD52"/>
  <c r="BC52"/>
  <c r="BB52"/>
  <c r="BA52" s="1"/>
  <c r="AX52"/>
  <c r="AW52"/>
  <c r="AV52"/>
  <c r="AC52"/>
  <c r="H52"/>
  <c r="G52" s="1"/>
  <c r="BT51"/>
  <c r="BS51"/>
  <c r="BR51"/>
  <c r="BQ51"/>
  <c r="BP51"/>
  <c r="BO51"/>
  <c r="BN51"/>
  <c r="BM51"/>
  <c r="BK51"/>
  <c r="BJ51"/>
  <c r="BI51"/>
  <c r="BH51"/>
  <c r="BG51"/>
  <c r="BF51"/>
  <c r="BE51"/>
  <c r="BD51"/>
  <c r="BC51"/>
  <c r="BB51"/>
  <c r="AX51"/>
  <c r="AW51"/>
  <c r="AV51"/>
  <c r="AC51"/>
  <c r="H51"/>
  <c r="G51" s="1"/>
  <c r="BT50"/>
  <c r="BS50"/>
  <c r="BR50"/>
  <c r="BQ50"/>
  <c r="BP50"/>
  <c r="BO50"/>
  <c r="BN50"/>
  <c r="BM50"/>
  <c r="BL50" s="1"/>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s="1"/>
  <c r="BT48"/>
  <c r="BS48"/>
  <c r="BR48"/>
  <c r="BQ48"/>
  <c r="BP48"/>
  <c r="BO48"/>
  <c r="BN48"/>
  <c r="BM48"/>
  <c r="BL48" s="1"/>
  <c r="AZ48" s="1"/>
  <c r="BK48"/>
  <c r="BJ48"/>
  <c r="BI48"/>
  <c r="BH48"/>
  <c r="BG48"/>
  <c r="BF48"/>
  <c r="BE48"/>
  <c r="BD48"/>
  <c r="BC48"/>
  <c r="BB48"/>
  <c r="BA48" s="1"/>
  <c r="AX48"/>
  <c r="AW48"/>
  <c r="AV48"/>
  <c r="AC48"/>
  <c r="H48"/>
  <c r="G48" s="1"/>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AX44"/>
  <c r="AW44"/>
  <c r="AV44"/>
  <c r="AC44"/>
  <c r="H44"/>
  <c r="G44"/>
  <c r="BT43"/>
  <c r="BS43"/>
  <c r="BR43"/>
  <c r="BQ43"/>
  <c r="BP43"/>
  <c r="BO43"/>
  <c r="BN43"/>
  <c r="BM43"/>
  <c r="BL43" s="1"/>
  <c r="BK43"/>
  <c r="BJ43"/>
  <c r="BI43"/>
  <c r="BH43"/>
  <c r="BG43"/>
  <c r="BF43"/>
  <c r="BE43"/>
  <c r="BD43"/>
  <c r="BC43"/>
  <c r="BB43"/>
  <c r="AX43"/>
  <c r="AW43"/>
  <c r="AV43"/>
  <c r="AC43"/>
  <c r="H43"/>
  <c r="G43" s="1"/>
  <c r="BT42"/>
  <c r="BS42"/>
  <c r="BR42"/>
  <c r="BQ42"/>
  <c r="BP42"/>
  <c r="BO42"/>
  <c r="BN42"/>
  <c r="BL42" s="1"/>
  <c r="BM42"/>
  <c r="BK42"/>
  <c r="BJ42"/>
  <c r="BI42"/>
  <c r="BH42"/>
  <c r="BG42"/>
  <c r="BF42"/>
  <c r="BE42"/>
  <c r="BD42"/>
  <c r="BC42"/>
  <c r="BB42"/>
  <c r="BA42" s="1"/>
  <c r="AX42"/>
  <c r="AW42"/>
  <c r="AV42"/>
  <c r="AC42"/>
  <c r="H42"/>
  <c r="G42"/>
  <c r="BT41"/>
  <c r="BS41"/>
  <c r="BR41"/>
  <c r="BQ41"/>
  <c r="BP41"/>
  <c r="BO41"/>
  <c r="BN41"/>
  <c r="BM41"/>
  <c r="BL41" s="1"/>
  <c r="BK41"/>
  <c r="BJ41"/>
  <c r="BI41"/>
  <c r="BH41"/>
  <c r="BG41"/>
  <c r="BF41"/>
  <c r="BE41"/>
  <c r="BD41"/>
  <c r="BC41"/>
  <c r="BB41"/>
  <c r="AX41"/>
  <c r="AW41"/>
  <c r="AV41"/>
  <c r="AC41"/>
  <c r="H41"/>
  <c r="BT40"/>
  <c r="BS40"/>
  <c r="BR40"/>
  <c r="BQ40"/>
  <c r="BP40"/>
  <c r="BO40"/>
  <c r="BN40"/>
  <c r="BL40" s="1"/>
  <c r="BM40"/>
  <c r="BK40"/>
  <c r="BJ40"/>
  <c r="BI40"/>
  <c r="BH40"/>
  <c r="BG40"/>
  <c r="BF40"/>
  <c r="BE40"/>
  <c r="BD40"/>
  <c r="BC40"/>
  <c r="BB40"/>
  <c r="AX40"/>
  <c r="AW40"/>
  <c r="AV40"/>
  <c r="AC40"/>
  <c r="H40"/>
  <c r="G40"/>
  <c r="BT39"/>
  <c r="BS39"/>
  <c r="BR39"/>
  <c r="BQ39"/>
  <c r="BP39"/>
  <c r="BO39"/>
  <c r="BN39"/>
  <c r="BM39"/>
  <c r="BL39" s="1"/>
  <c r="BK39"/>
  <c r="BJ39"/>
  <c r="BI39"/>
  <c r="BH39"/>
  <c r="BG39"/>
  <c r="BF39"/>
  <c r="BE39"/>
  <c r="BD39"/>
  <c r="BC39"/>
  <c r="BB39"/>
  <c r="BA39"/>
  <c r="AX39"/>
  <c r="AW39"/>
  <c r="AV39"/>
  <c r="AC39"/>
  <c r="G39" s="1"/>
  <c r="H39"/>
  <c r="BT38"/>
  <c r="BS38"/>
  <c r="BR38"/>
  <c r="BQ38"/>
  <c r="BP38"/>
  <c r="BO38"/>
  <c r="BL38" s="1"/>
  <c r="BN38"/>
  <c r="BM38"/>
  <c r="BK38"/>
  <c r="BJ38"/>
  <c r="BI38"/>
  <c r="BH38"/>
  <c r="BG38"/>
  <c r="BF38"/>
  <c r="BE38"/>
  <c r="BD38"/>
  <c r="BC38"/>
  <c r="BA38" s="1"/>
  <c r="BB38"/>
  <c r="AX38"/>
  <c r="AW38"/>
  <c r="AV38"/>
  <c r="AC38"/>
  <c r="H38"/>
  <c r="G38"/>
  <c r="BT37"/>
  <c r="BS37"/>
  <c r="BR37"/>
  <c r="BQ37"/>
  <c r="BP37"/>
  <c r="BO37"/>
  <c r="BN37"/>
  <c r="BL37"/>
  <c r="BM37"/>
  <c r="BK37"/>
  <c r="BJ37"/>
  <c r="BI37"/>
  <c r="BH37"/>
  <c r="BG37"/>
  <c r="BF37"/>
  <c r="BE37"/>
  <c r="BD37"/>
  <c r="BC37"/>
  <c r="BB37"/>
  <c r="BA37"/>
  <c r="AX37"/>
  <c r="AW37"/>
  <c r="AV37"/>
  <c r="AC37"/>
  <c r="H37"/>
  <c r="G37" s="1"/>
  <c r="BT36"/>
  <c r="BS36"/>
  <c r="BR36"/>
  <c r="BQ36"/>
  <c r="BP36"/>
  <c r="BO36"/>
  <c r="BN36"/>
  <c r="BM36"/>
  <c r="BL36" s="1"/>
  <c r="BK36"/>
  <c r="BJ36"/>
  <c r="BI36"/>
  <c r="BH36"/>
  <c r="BG36"/>
  <c r="BF36"/>
  <c r="BE36"/>
  <c r="BD36"/>
  <c r="BA36"/>
  <c r="BC36"/>
  <c r="BB36"/>
  <c r="AX36"/>
  <c r="AW36"/>
  <c r="AV36"/>
  <c r="AC36"/>
  <c r="G36"/>
  <c r="H36"/>
  <c r="BT35"/>
  <c r="BS35"/>
  <c r="BR35"/>
  <c r="BQ35"/>
  <c r="BP35"/>
  <c r="BO35"/>
  <c r="BL35"/>
  <c r="BN35"/>
  <c r="BM35"/>
  <c r="BK35"/>
  <c r="BJ35"/>
  <c r="BI35"/>
  <c r="BH35"/>
  <c r="BG35"/>
  <c r="BF35"/>
  <c r="BE35"/>
  <c r="BD35"/>
  <c r="BC35"/>
  <c r="BA35"/>
  <c r="BB35"/>
  <c r="AX35"/>
  <c r="AW35"/>
  <c r="AV35"/>
  <c r="AC35"/>
  <c r="H35"/>
  <c r="G35" s="1"/>
  <c r="BT34"/>
  <c r="BS34"/>
  <c r="BR34"/>
  <c r="BQ34"/>
  <c r="BP34"/>
  <c r="BO34"/>
  <c r="BN34"/>
  <c r="BM34"/>
  <c r="BL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BA32" s="1"/>
  <c r="AX32"/>
  <c r="AW32"/>
  <c r="AV32"/>
  <c r="AC32"/>
  <c r="H32"/>
  <c r="G32" s="1"/>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BA29" s="1"/>
  <c r="AX29"/>
  <c r="AW29"/>
  <c r="AV29"/>
  <c r="AC29"/>
  <c r="G29" s="1"/>
  <c r="H29"/>
  <c r="BT28"/>
  <c r="BS28"/>
  <c r="BR28"/>
  <c r="BQ28"/>
  <c r="BP28"/>
  <c r="BO28"/>
  <c r="BN28"/>
  <c r="BM28"/>
  <c r="BK28"/>
  <c r="BJ28"/>
  <c r="BI28"/>
  <c r="BH28"/>
  <c r="BG28"/>
  <c r="BF28"/>
  <c r="BE28"/>
  <c r="BD28"/>
  <c r="BC28"/>
  <c r="BA28" s="1"/>
  <c r="BB28"/>
  <c r="AX28"/>
  <c r="AW28"/>
  <c r="AV28"/>
  <c r="AC28"/>
  <c r="H28"/>
  <c r="G28" s="1"/>
  <c r="BT27"/>
  <c r="BS27"/>
  <c r="BR27"/>
  <c r="BQ27"/>
  <c r="BP27"/>
  <c r="BO27"/>
  <c r="BN27"/>
  <c r="BM27"/>
  <c r="BL27" s="1"/>
  <c r="BK27"/>
  <c r="BJ27"/>
  <c r="BI27"/>
  <c r="BH27"/>
  <c r="BG27"/>
  <c r="BF27"/>
  <c r="BE27"/>
  <c r="BD27"/>
  <c r="BC27"/>
  <c r="BB27"/>
  <c r="BA27" s="1"/>
  <c r="AX27"/>
  <c r="AW27"/>
  <c r="AV27"/>
  <c r="AC27"/>
  <c r="H27"/>
  <c r="G27"/>
  <c r="BT26"/>
  <c r="BS26"/>
  <c r="BR26"/>
  <c r="BQ26"/>
  <c r="BP26"/>
  <c r="BO26"/>
  <c r="BN26"/>
  <c r="BM26"/>
  <c r="BL26" s="1"/>
  <c r="BK26"/>
  <c r="BJ26"/>
  <c r="BI26"/>
  <c r="BH26"/>
  <c r="BG26"/>
  <c r="BF26"/>
  <c r="BE26"/>
  <c r="BD26"/>
  <c r="BC26"/>
  <c r="BB26"/>
  <c r="BA26" s="1"/>
  <c r="AX26"/>
  <c r="AW26"/>
  <c r="AV26"/>
  <c r="AC26"/>
  <c r="H26"/>
  <c r="BT25"/>
  <c r="BS25"/>
  <c r="BR25"/>
  <c r="BQ25"/>
  <c r="BP25"/>
  <c r="BO25"/>
  <c r="BN25"/>
  <c r="BL25" s="1"/>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BA24" s="1"/>
  <c r="AX24"/>
  <c r="AW24"/>
  <c r="AV24"/>
  <c r="AC24"/>
  <c r="G24" s="1"/>
  <c r="H24"/>
  <c r="BT23"/>
  <c r="BS23"/>
  <c r="BR23"/>
  <c r="BQ23"/>
  <c r="BP23"/>
  <c r="BO23"/>
  <c r="BN23"/>
  <c r="BM23"/>
  <c r="BK23"/>
  <c r="BJ23"/>
  <c r="BI23"/>
  <c r="BH23"/>
  <c r="BG23"/>
  <c r="BF23"/>
  <c r="BE23"/>
  <c r="BD23"/>
  <c r="BC23"/>
  <c r="BA23" s="1"/>
  <c r="BB23"/>
  <c r="AX23"/>
  <c r="AW23"/>
  <c r="AV23"/>
  <c r="AC23"/>
  <c r="H23"/>
  <c r="G23" s="1"/>
  <c r="BT22"/>
  <c r="BS22"/>
  <c r="BR22"/>
  <c r="BQ22"/>
  <c r="BP22"/>
  <c r="BO22"/>
  <c r="BN22"/>
  <c r="BL22" s="1"/>
  <c r="BM22"/>
  <c r="BK22"/>
  <c r="BJ22"/>
  <c r="BI22"/>
  <c r="BH22"/>
  <c r="BG22"/>
  <c r="BF22"/>
  <c r="BE22"/>
  <c r="BD22"/>
  <c r="BC22"/>
  <c r="BB22"/>
  <c r="BA22" s="1"/>
  <c r="AX22"/>
  <c r="AW22"/>
  <c r="AV22"/>
  <c r="AC22"/>
  <c r="H22"/>
  <c r="G22" s="1"/>
  <c r="BT21"/>
  <c r="BS21"/>
  <c r="BR21"/>
  <c r="BQ21"/>
  <c r="BP21"/>
  <c r="BO21"/>
  <c r="BN21"/>
  <c r="BM21"/>
  <c r="BL21"/>
  <c r="BK21"/>
  <c r="BJ21"/>
  <c r="BI21"/>
  <c r="BH21"/>
  <c r="BG21"/>
  <c r="BF21"/>
  <c r="BE21"/>
  <c r="BD21"/>
  <c r="BC21"/>
  <c r="BB21"/>
  <c r="AX21"/>
  <c r="AW21"/>
  <c r="AV21"/>
  <c r="AC21"/>
  <c r="G21"/>
  <c r="H21"/>
  <c r="BT20"/>
  <c r="BS20"/>
  <c r="BR20"/>
  <c r="BQ20"/>
  <c r="BP20"/>
  <c r="BO20"/>
  <c r="BL20"/>
  <c r="BN20"/>
  <c r="BM20"/>
  <c r="BK20"/>
  <c r="BJ20"/>
  <c r="BI20"/>
  <c r="BH20"/>
  <c r="BG20"/>
  <c r="BF20"/>
  <c r="BE20"/>
  <c r="BD20"/>
  <c r="BC20"/>
  <c r="BA20"/>
  <c r="BB20"/>
  <c r="AX20"/>
  <c r="AW20"/>
  <c r="AV20"/>
  <c r="AC20"/>
  <c r="H20"/>
  <c r="G20" s="1"/>
  <c r="BT19"/>
  <c r="BS19"/>
  <c r="BR19"/>
  <c r="BQ19"/>
  <c r="BP19"/>
  <c r="BO19"/>
  <c r="BN19"/>
  <c r="BM19"/>
  <c r="BL19"/>
  <c r="BK19"/>
  <c r="BJ19"/>
  <c r="BI19"/>
  <c r="BH19"/>
  <c r="BG19"/>
  <c r="BF19"/>
  <c r="BE19"/>
  <c r="BD19"/>
  <c r="BC19"/>
  <c r="BB19"/>
  <c r="BA19" s="1"/>
  <c r="AX19"/>
  <c r="AW19"/>
  <c r="AV19"/>
  <c r="AC19"/>
  <c r="G19"/>
  <c r="H19"/>
  <c r="BT18"/>
  <c r="BS18"/>
  <c r="BR18"/>
  <c r="BQ18"/>
  <c r="BP18"/>
  <c r="BO18"/>
  <c r="BN18"/>
  <c r="BL18" s="1"/>
  <c r="BM18"/>
  <c r="BK18"/>
  <c r="BJ18"/>
  <c r="BI18"/>
  <c r="BH18"/>
  <c r="BG18"/>
  <c r="BF18"/>
  <c r="BE18"/>
  <c r="BD18"/>
  <c r="BC18"/>
  <c r="BB18"/>
  <c r="BA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c r="AX206"/>
  <c r="AW206"/>
  <c r="AV206"/>
  <c r="AC206"/>
  <c r="G206" s="1"/>
  <c r="H206"/>
  <c r="BT205"/>
  <c r="BS205"/>
  <c r="BR205"/>
  <c r="BQ205"/>
  <c r="BP205"/>
  <c r="BO205"/>
  <c r="BN205"/>
  <c r="BM205"/>
  <c r="BK205"/>
  <c r="BJ205"/>
  <c r="BI205"/>
  <c r="BH205"/>
  <c r="BG205"/>
  <c r="BF205"/>
  <c r="BE205"/>
  <c r="BD205"/>
  <c r="BC205"/>
  <c r="BA205" s="1"/>
  <c r="BB205"/>
  <c r="AX205"/>
  <c r="AW205"/>
  <c r="AV205"/>
  <c r="AC205"/>
  <c r="H205"/>
  <c r="G205" s="1"/>
  <c r="BT204"/>
  <c r="BS204"/>
  <c r="BR204"/>
  <c r="BQ204"/>
  <c r="BP204"/>
  <c r="BO204"/>
  <c r="BN204"/>
  <c r="BM204"/>
  <c r="BK204"/>
  <c r="BJ204"/>
  <c r="BI204"/>
  <c r="BH204"/>
  <c r="BG204"/>
  <c r="BF204"/>
  <c r="BE204"/>
  <c r="BD204"/>
  <c r="BC204"/>
  <c r="BB204"/>
  <c r="BA204"/>
  <c r="AX204"/>
  <c r="AW204"/>
  <c r="AV204"/>
  <c r="AC204"/>
  <c r="G204" s="1"/>
  <c r="H204"/>
  <c r="BT203"/>
  <c r="BS203"/>
  <c r="BR203"/>
  <c r="BQ203"/>
  <c r="BP203"/>
  <c r="BO203"/>
  <c r="BL203" s="1"/>
  <c r="BN203"/>
  <c r="BM203"/>
  <c r="BK203"/>
  <c r="BJ203"/>
  <c r="BI203"/>
  <c r="BH203"/>
  <c r="BG203"/>
  <c r="BF203"/>
  <c r="BE203"/>
  <c r="BD203"/>
  <c r="BC203"/>
  <c r="BB203"/>
  <c r="AX203"/>
  <c r="AW203"/>
  <c r="AV203"/>
  <c r="AC203"/>
  <c r="H203"/>
  <c r="G203" s="1"/>
  <c r="BT202"/>
  <c r="BS202"/>
  <c r="BR202"/>
  <c r="BQ202"/>
  <c r="BP202"/>
  <c r="BO202"/>
  <c r="BL202" s="1"/>
  <c r="BN202"/>
  <c r="BM202"/>
  <c r="BK202"/>
  <c r="BJ202"/>
  <c r="BI202"/>
  <c r="BH202"/>
  <c r="BG202"/>
  <c r="BF202"/>
  <c r="BE202"/>
  <c r="BD202"/>
  <c r="BA202"/>
  <c r="BC202"/>
  <c r="BB202"/>
  <c r="AX202"/>
  <c r="AW202"/>
  <c r="AV202"/>
  <c r="AC202"/>
  <c r="H202"/>
  <c r="G202"/>
  <c r="BT201"/>
  <c r="BS201"/>
  <c r="BR201"/>
  <c r="BQ201"/>
  <c r="BP201"/>
  <c r="BO201"/>
  <c r="BN201"/>
  <c r="BL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L198"/>
  <c r="BM198"/>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A197"/>
  <c r="BC197"/>
  <c r="BB197"/>
  <c r="AX197"/>
  <c r="AW197"/>
  <c r="AV197"/>
  <c r="AC197"/>
  <c r="H197"/>
  <c r="BT196"/>
  <c r="BS196"/>
  <c r="BR196"/>
  <c r="BQ196"/>
  <c r="BP196"/>
  <c r="BO196"/>
  <c r="BN196"/>
  <c r="BM196"/>
  <c r="BK196"/>
  <c r="BJ196"/>
  <c r="BI196"/>
  <c r="BH196"/>
  <c r="BG196"/>
  <c r="BF196"/>
  <c r="BE196"/>
  <c r="BD196"/>
  <c r="BA196"/>
  <c r="BC196"/>
  <c r="BB196"/>
  <c r="AX196"/>
  <c r="AW196"/>
  <c r="AV196"/>
  <c r="AC196"/>
  <c r="H196"/>
  <c r="G196"/>
  <c r="BT195"/>
  <c r="BS195"/>
  <c r="BR195"/>
  <c r="BQ195"/>
  <c r="BP195"/>
  <c r="BO195"/>
  <c r="BN195"/>
  <c r="BL195"/>
  <c r="BM195"/>
  <c r="BK195"/>
  <c r="BJ195"/>
  <c r="BI195"/>
  <c r="BH195"/>
  <c r="BG195"/>
  <c r="BF195"/>
  <c r="BE195"/>
  <c r="BD195"/>
  <c r="BC195"/>
  <c r="BB195"/>
  <c r="AX195"/>
  <c r="AW195"/>
  <c r="AV195"/>
  <c r="AC195"/>
  <c r="G195"/>
  <c r="H195"/>
  <c r="BT194"/>
  <c r="BS194"/>
  <c r="BR194"/>
  <c r="BQ194"/>
  <c r="BP194"/>
  <c r="BO194"/>
  <c r="BL194"/>
  <c r="BN194"/>
  <c r="BM194"/>
  <c r="BK194"/>
  <c r="BJ194"/>
  <c r="BI194"/>
  <c r="BH194"/>
  <c r="BG194"/>
  <c r="BF194"/>
  <c r="BE194"/>
  <c r="BD194"/>
  <c r="BC194"/>
  <c r="BA194"/>
  <c r="BB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L189" s="1"/>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A178" s="1"/>
  <c r="BB178"/>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L170" s="1"/>
  <c r="BM170"/>
  <c r="BK170"/>
  <c r="BJ170"/>
  <c r="BI170"/>
  <c r="BH170"/>
  <c r="BG170"/>
  <c r="BF170"/>
  <c r="BE170"/>
  <c r="BD170"/>
  <c r="BC170"/>
  <c r="BB170"/>
  <c r="BA170" s="1"/>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A168" s="1"/>
  <c r="BC168"/>
  <c r="BB168"/>
  <c r="AX168"/>
  <c r="AW168"/>
  <c r="AV168"/>
  <c r="AC168"/>
  <c r="H168"/>
  <c r="G168" s="1"/>
  <c r="BT167"/>
  <c r="BS167"/>
  <c r="BR167"/>
  <c r="BQ167"/>
  <c r="BP167"/>
  <c r="BO167"/>
  <c r="BN167"/>
  <c r="BL167" s="1"/>
  <c r="BM167"/>
  <c r="BK167"/>
  <c r="BJ167"/>
  <c r="BI167"/>
  <c r="BH167"/>
  <c r="BG167"/>
  <c r="BF167"/>
  <c r="BE167"/>
  <c r="BD167"/>
  <c r="BC167"/>
  <c r="BB167"/>
  <c r="AX167"/>
  <c r="AW167"/>
  <c r="AV167"/>
  <c r="AC167"/>
  <c r="G167" s="1"/>
  <c r="H167"/>
  <c r="BT166"/>
  <c r="BS166"/>
  <c r="BR166"/>
  <c r="BQ166"/>
  <c r="BP166"/>
  <c r="BO166"/>
  <c r="BL166" s="1"/>
  <c r="BN166"/>
  <c r="BM166"/>
  <c r="BK166"/>
  <c r="BJ166"/>
  <c r="BI166"/>
  <c r="BH166"/>
  <c r="BG166"/>
  <c r="BF166"/>
  <c r="BE166"/>
  <c r="BD166"/>
  <c r="BC166"/>
  <c r="BA166" s="1"/>
  <c r="BB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BA164" s="1"/>
  <c r="AX164"/>
  <c r="AW164"/>
  <c r="AV164"/>
  <c r="AC164"/>
  <c r="G164" s="1"/>
  <c r="H164"/>
  <c r="BT163"/>
  <c r="BS163"/>
  <c r="BR163"/>
  <c r="BQ163"/>
  <c r="BP163"/>
  <c r="BO163"/>
  <c r="BL163" s="1"/>
  <c r="BN163"/>
  <c r="BM163"/>
  <c r="BK163"/>
  <c r="BJ163"/>
  <c r="BI163"/>
  <c r="BH163"/>
  <c r="BG163"/>
  <c r="BF163"/>
  <c r="BE163"/>
  <c r="BD163"/>
  <c r="BC163"/>
  <c r="BB163"/>
  <c r="AX163"/>
  <c r="AW163"/>
  <c r="AV163"/>
  <c r="AC163"/>
  <c r="G163" s="1"/>
  <c r="H163"/>
  <c r="BT162"/>
  <c r="BS162"/>
  <c r="BR162"/>
  <c r="BQ162"/>
  <c r="BP162"/>
  <c r="BO162"/>
  <c r="BN162"/>
  <c r="BM162"/>
  <c r="BL162" s="1"/>
  <c r="BK162"/>
  <c r="BJ162"/>
  <c r="BI162"/>
  <c r="BH162"/>
  <c r="BG162"/>
  <c r="BF162"/>
  <c r="BE162"/>
  <c r="BD162"/>
  <c r="BC162"/>
  <c r="BA162" s="1"/>
  <c r="BB162"/>
  <c r="AX162"/>
  <c r="AW162"/>
  <c r="AV162"/>
  <c r="AC162"/>
  <c r="H162"/>
  <c r="G162" s="1"/>
  <c r="BT161"/>
  <c r="BS161"/>
  <c r="BR161"/>
  <c r="BQ161"/>
  <c r="BP161"/>
  <c r="BO161"/>
  <c r="BN161"/>
  <c r="BM161"/>
  <c r="BL161" s="1"/>
  <c r="BK161"/>
  <c r="BJ161"/>
  <c r="BI161"/>
  <c r="BH161"/>
  <c r="BG161"/>
  <c r="BF161"/>
  <c r="BE161"/>
  <c r="BD161"/>
  <c r="BC161"/>
  <c r="BB161"/>
  <c r="BA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L159" s="1"/>
  <c r="BM159"/>
  <c r="BK159"/>
  <c r="BJ159"/>
  <c r="BI159"/>
  <c r="BH159"/>
  <c r="BG159"/>
  <c r="BF159"/>
  <c r="BE159"/>
  <c r="BD159"/>
  <c r="BC159"/>
  <c r="BB159"/>
  <c r="AX159"/>
  <c r="AW159"/>
  <c r="AV159"/>
  <c r="AC159"/>
  <c r="G159" s="1"/>
  <c r="H159"/>
  <c r="BT158"/>
  <c r="BS158"/>
  <c r="BR158"/>
  <c r="BQ158"/>
  <c r="BP158"/>
  <c r="BO158"/>
  <c r="BN158"/>
  <c r="BM158"/>
  <c r="BL158"/>
  <c r="BK158"/>
  <c r="BJ158"/>
  <c r="BI158"/>
  <c r="BH158"/>
  <c r="BG158"/>
  <c r="BF158"/>
  <c r="BE158"/>
  <c r="BD158"/>
  <c r="BC158"/>
  <c r="BA158" s="1"/>
  <c r="BB158"/>
  <c r="AX158"/>
  <c r="AW158"/>
  <c r="AV158"/>
  <c r="AC158"/>
  <c r="G158"/>
  <c r="H158"/>
  <c r="BT157"/>
  <c r="BS157"/>
  <c r="BR157"/>
  <c r="BQ157"/>
  <c r="BP157"/>
  <c r="BO157"/>
  <c r="BL157"/>
  <c r="BN157"/>
  <c r="BM157"/>
  <c r="BK157"/>
  <c r="BJ157"/>
  <c r="BI157"/>
  <c r="BH157"/>
  <c r="BG157"/>
  <c r="BF157"/>
  <c r="BE157"/>
  <c r="BD157"/>
  <c r="BC157"/>
  <c r="BA157"/>
  <c r="BB157"/>
  <c r="AX157"/>
  <c r="AW157"/>
  <c r="AV157"/>
  <c r="AC157"/>
  <c r="H157"/>
  <c r="BT156"/>
  <c r="BS156"/>
  <c r="BR156"/>
  <c r="BQ156"/>
  <c r="BP156"/>
  <c r="BO156"/>
  <c r="BN156"/>
  <c r="BM156"/>
  <c r="BK156"/>
  <c r="BJ156"/>
  <c r="BI156"/>
  <c r="BH156"/>
  <c r="BG156"/>
  <c r="BF156"/>
  <c r="BE156"/>
  <c r="BD156"/>
  <c r="BC156"/>
  <c r="BA156"/>
  <c r="BB156"/>
  <c r="AX156"/>
  <c r="AW156"/>
  <c r="AV156"/>
  <c r="AC156"/>
  <c r="G156" s="1"/>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L154"/>
  <c r="BM154"/>
  <c r="BK154"/>
  <c r="BJ154"/>
  <c r="BI154"/>
  <c r="BH154"/>
  <c r="BG154"/>
  <c r="BF154"/>
  <c r="BE154"/>
  <c r="BD154"/>
  <c r="BC154"/>
  <c r="BB154"/>
  <c r="BA154"/>
  <c r="AX154"/>
  <c r="AW154"/>
  <c r="AV154"/>
  <c r="AC154"/>
  <c r="H154"/>
  <c r="BT153"/>
  <c r="BS153"/>
  <c r="BR153"/>
  <c r="BQ153"/>
  <c r="BP153"/>
  <c r="BO153"/>
  <c r="BN153"/>
  <c r="BL153" s="1"/>
  <c r="BM153"/>
  <c r="BK153"/>
  <c r="BJ153"/>
  <c r="BI153"/>
  <c r="BH153"/>
  <c r="BG153"/>
  <c r="BF153"/>
  <c r="BE153"/>
  <c r="BD153"/>
  <c r="BC153"/>
  <c r="BB153"/>
  <c r="BA153" s="1"/>
  <c r="AX153"/>
  <c r="AW153"/>
  <c r="AV153"/>
  <c r="AC153"/>
  <c r="H153"/>
  <c r="BT152"/>
  <c r="BS152"/>
  <c r="BR152"/>
  <c r="BQ152"/>
  <c r="BP152"/>
  <c r="BO152"/>
  <c r="BN152"/>
  <c r="BM152"/>
  <c r="BK152"/>
  <c r="BJ152"/>
  <c r="BI152"/>
  <c r="BH152"/>
  <c r="BG152"/>
  <c r="BF152"/>
  <c r="BE152"/>
  <c r="BD152"/>
  <c r="BC152"/>
  <c r="BA152" s="1"/>
  <c r="BB152"/>
  <c r="AX152"/>
  <c r="AW152"/>
  <c r="AV152"/>
  <c r="AC152"/>
  <c r="H152"/>
  <c r="G152" s="1"/>
  <c r="BT151"/>
  <c r="BS151"/>
  <c r="BR151"/>
  <c r="BQ151"/>
  <c r="BP151"/>
  <c r="BO151"/>
  <c r="BN151"/>
  <c r="BL151" s="1"/>
  <c r="BM15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A150" s="1"/>
  <c r="BC150"/>
  <c r="BB150"/>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s="1"/>
  <c r="BT147"/>
  <c r="BS147"/>
  <c r="BR147"/>
  <c r="BQ147"/>
  <c r="BP147"/>
  <c r="BO147"/>
  <c r="BN147"/>
  <c r="BM147"/>
  <c r="BK147"/>
  <c r="BJ147"/>
  <c r="BI147"/>
  <c r="BH147"/>
  <c r="BG147"/>
  <c r="BF147"/>
  <c r="BE147"/>
  <c r="BD147"/>
  <c r="BC147"/>
  <c r="BB147"/>
  <c r="AX147"/>
  <c r="AW147"/>
  <c r="AV147"/>
  <c r="AC147"/>
  <c r="H147"/>
  <c r="BT146"/>
  <c r="BS146"/>
  <c r="BR146"/>
  <c r="BQ146"/>
  <c r="BP146"/>
  <c r="BO146"/>
  <c r="BN146"/>
  <c r="BL146" s="1"/>
  <c r="BM146"/>
  <c r="BK146"/>
  <c r="BJ146"/>
  <c r="BI146"/>
  <c r="BH146"/>
  <c r="BG146"/>
  <c r="BF146"/>
  <c r="BE146"/>
  <c r="BD146"/>
  <c r="BC146"/>
  <c r="BB146"/>
  <c r="AX146"/>
  <c r="AW146"/>
  <c r="AV146"/>
  <c r="AC146"/>
  <c r="G146"/>
  <c r="H146"/>
  <c r="BT145"/>
  <c r="BS145"/>
  <c r="BR145"/>
  <c r="BQ145"/>
  <c r="BP145"/>
  <c r="BO145"/>
  <c r="BN145"/>
  <c r="BM145"/>
  <c r="BL145" s="1"/>
  <c r="BK145"/>
  <c r="BJ145"/>
  <c r="BI145"/>
  <c r="BH145"/>
  <c r="BG145"/>
  <c r="BF145"/>
  <c r="BE145"/>
  <c r="BD145"/>
  <c r="BA145" s="1"/>
  <c r="BC145"/>
  <c r="BB145"/>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BA142" s="1"/>
  <c r="AX142"/>
  <c r="AW142"/>
  <c r="AV142"/>
  <c r="AC142"/>
  <c r="H142"/>
  <c r="G142" s="1"/>
  <c r="BT141"/>
  <c r="BS141"/>
  <c r="BR141"/>
  <c r="BQ141"/>
  <c r="BP141"/>
  <c r="BO141"/>
  <c r="BN141"/>
  <c r="BM141"/>
  <c r="BK141"/>
  <c r="BJ141"/>
  <c r="BI141"/>
  <c r="BH141"/>
  <c r="BG141"/>
  <c r="BF141"/>
  <c r="BE141"/>
  <c r="BD141"/>
  <c r="BC141"/>
  <c r="BB141"/>
  <c r="BA141" s="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L139" s="1"/>
  <c r="BM139"/>
  <c r="BK139"/>
  <c r="BJ139"/>
  <c r="BI139"/>
  <c r="BH139"/>
  <c r="BG139"/>
  <c r="BF139"/>
  <c r="BE139"/>
  <c r="BD139"/>
  <c r="BC139"/>
  <c r="BB139"/>
  <c r="AX139"/>
  <c r="AW139"/>
  <c r="AV139"/>
  <c r="AC139"/>
  <c r="G139" s="1"/>
  <c r="H139"/>
  <c r="BT138"/>
  <c r="BS138"/>
  <c r="BR138"/>
  <c r="BQ138"/>
  <c r="BP138"/>
  <c r="BO138"/>
  <c r="BN138"/>
  <c r="BM138"/>
  <c r="BL138" s="1"/>
  <c r="BK138"/>
  <c r="BJ138"/>
  <c r="BI138"/>
  <c r="BH138"/>
  <c r="BG138"/>
  <c r="BF138"/>
  <c r="BE138"/>
  <c r="BD138"/>
  <c r="BC138"/>
  <c r="BA138" s="1"/>
  <c r="BB138"/>
  <c r="AX138"/>
  <c r="AW138"/>
  <c r="AV138"/>
  <c r="AC138"/>
  <c r="H138"/>
  <c r="G138" s="1"/>
  <c r="BT137"/>
  <c r="BS137"/>
  <c r="BR137"/>
  <c r="BQ137"/>
  <c r="BP137"/>
  <c r="BO137"/>
  <c r="BN137"/>
  <c r="BL137" s="1"/>
  <c r="BM137"/>
  <c r="BK137"/>
  <c r="BJ137"/>
  <c r="BI137"/>
  <c r="BH137"/>
  <c r="BG137"/>
  <c r="BF137"/>
  <c r="BE137"/>
  <c r="BD137"/>
  <c r="BC137"/>
  <c r="BB137"/>
  <c r="BA137" s="1"/>
  <c r="AX137"/>
  <c r="AW137"/>
  <c r="AV137"/>
  <c r="AC137"/>
  <c r="H137"/>
  <c r="BT136"/>
  <c r="BS136"/>
  <c r="BR136"/>
  <c r="BQ136"/>
  <c r="BP136"/>
  <c r="BO136"/>
  <c r="BN136"/>
  <c r="BM136"/>
  <c r="BK136"/>
  <c r="BJ136"/>
  <c r="BI136"/>
  <c r="BH136"/>
  <c r="BG136"/>
  <c r="BF136"/>
  <c r="BE136"/>
  <c r="BD136"/>
  <c r="BC136"/>
  <c r="BB136"/>
  <c r="BA136" s="1"/>
  <c r="AX136"/>
  <c r="AW136"/>
  <c r="AV136"/>
  <c r="AC136"/>
  <c r="G136" s="1"/>
  <c r="H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s="1"/>
  <c r="BT133"/>
  <c r="BS133"/>
  <c r="BR133"/>
  <c r="BQ133"/>
  <c r="BP133"/>
  <c r="BO133"/>
  <c r="BL133" s="1"/>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s="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BA130" s="1"/>
  <c r="AX130"/>
  <c r="AW130"/>
  <c r="AV130"/>
  <c r="AC130"/>
  <c r="H130"/>
  <c r="G130" s="1"/>
  <c r="BT129"/>
  <c r="BS129"/>
  <c r="BR129"/>
  <c r="BQ129"/>
  <c r="BP129"/>
  <c r="BO129"/>
  <c r="BN129"/>
  <c r="BL129" s="1"/>
  <c r="BM129"/>
  <c r="BK129"/>
  <c r="BJ129"/>
  <c r="BI129"/>
  <c r="BH129"/>
  <c r="BG129"/>
  <c r="BF129"/>
  <c r="BE129"/>
  <c r="BD129"/>
  <c r="BC129"/>
  <c r="BB129"/>
  <c r="BA129" s="1"/>
  <c r="AX129"/>
  <c r="AW129"/>
  <c r="AV129"/>
  <c r="AC129"/>
  <c r="H129"/>
  <c r="BT128"/>
  <c r="BS128"/>
  <c r="BR128"/>
  <c r="BQ128"/>
  <c r="BP128"/>
  <c r="BO128"/>
  <c r="BN128"/>
  <c r="BM128"/>
  <c r="BK128"/>
  <c r="BJ128"/>
  <c r="BI128"/>
  <c r="BH128"/>
  <c r="BG128"/>
  <c r="BF128"/>
  <c r="BE128"/>
  <c r="BD128"/>
  <c r="BC128"/>
  <c r="BA128" s="1"/>
  <c r="BB128"/>
  <c r="AX128"/>
  <c r="AW128"/>
  <c r="AV128"/>
  <c r="AC128"/>
  <c r="H128"/>
  <c r="G128" s="1"/>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L126" s="1"/>
  <c r="BM126"/>
  <c r="BK126"/>
  <c r="BJ126"/>
  <c r="BI126"/>
  <c r="BH126"/>
  <c r="BG126"/>
  <c r="BF126"/>
  <c r="BE126"/>
  <c r="BD126"/>
  <c r="BC126"/>
  <c r="BB126"/>
  <c r="BA126" s="1"/>
  <c r="AX126"/>
  <c r="AW126"/>
  <c r="AV126"/>
  <c r="AC126"/>
  <c r="H126"/>
  <c r="G126" s="1"/>
  <c r="BT125"/>
  <c r="BS125"/>
  <c r="BR125"/>
  <c r="BQ125"/>
  <c r="BP125"/>
  <c r="BO125"/>
  <c r="BN125"/>
  <c r="BM125"/>
  <c r="BL125" s="1"/>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G120" s="1"/>
  <c r="H120"/>
  <c r="BT119"/>
  <c r="BS119"/>
  <c r="BR119"/>
  <c r="BQ119"/>
  <c r="BP119"/>
  <c r="BO119"/>
  <c r="BL119" s="1"/>
  <c r="BN119"/>
  <c r="BM119"/>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G118" s="1"/>
  <c r="H118"/>
  <c r="BT117"/>
  <c r="BS117"/>
  <c r="BR117"/>
  <c r="BQ117"/>
  <c r="BP117"/>
  <c r="BO117"/>
  <c r="BL117" s="1"/>
  <c r="BN117"/>
  <c r="BM117"/>
  <c r="BK117"/>
  <c r="BJ117"/>
  <c r="BI117"/>
  <c r="BH117"/>
  <c r="BG117"/>
  <c r="BF117"/>
  <c r="BE117"/>
  <c r="BD117"/>
  <c r="BC117"/>
  <c r="BA117" s="1"/>
  <c r="BB117"/>
  <c r="AX117"/>
  <c r="AW117"/>
  <c r="AV117"/>
  <c r="AC117"/>
  <c r="H117"/>
  <c r="BT116"/>
  <c r="BS116"/>
  <c r="BR116"/>
  <c r="BQ116"/>
  <c r="BP116"/>
  <c r="BO116"/>
  <c r="BN116"/>
  <c r="BM116"/>
  <c r="BK116"/>
  <c r="BJ116"/>
  <c r="BI116"/>
  <c r="BH116"/>
  <c r="BG116"/>
  <c r="BF116"/>
  <c r="BE116"/>
  <c r="BD116"/>
  <c r="BC116"/>
  <c r="BA116" s="1"/>
  <c r="BB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L114" s="1"/>
  <c r="BM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L302" s="1"/>
  <c r="BM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X301"/>
  <c r="AW301"/>
  <c r="AV301"/>
  <c r="AC301"/>
  <c r="H301"/>
  <c r="G301" s="1"/>
  <c r="BT300"/>
  <c r="BS300"/>
  <c r="BR300"/>
  <c r="BQ300"/>
  <c r="BP300"/>
  <c r="BO300"/>
  <c r="BN300"/>
  <c r="BM300"/>
  <c r="BL300" s="1"/>
  <c r="BK300"/>
  <c r="BJ300"/>
  <c r="BI300"/>
  <c r="BH300"/>
  <c r="BG300"/>
  <c r="BF300"/>
  <c r="BE300"/>
  <c r="BD300"/>
  <c r="BC300"/>
  <c r="BB300"/>
  <c r="BA300" s="1"/>
  <c r="AX300"/>
  <c r="AW300"/>
  <c r="AV300"/>
  <c r="AC300"/>
  <c r="G300"/>
  <c r="H300"/>
  <c r="BT299"/>
  <c r="BS299"/>
  <c r="BR299"/>
  <c r="BQ299"/>
  <c r="BP299"/>
  <c r="BO299"/>
  <c r="BN299"/>
  <c r="BM299"/>
  <c r="BL299" s="1"/>
  <c r="BK299"/>
  <c r="BJ299"/>
  <c r="BI299"/>
  <c r="BH299"/>
  <c r="BG299"/>
  <c r="BF299"/>
  <c r="BE299"/>
  <c r="BD299"/>
  <c r="BC299"/>
  <c r="BA299"/>
  <c r="BB299"/>
  <c r="AX299"/>
  <c r="AW299"/>
  <c r="AV299"/>
  <c r="AC299"/>
  <c r="H299"/>
  <c r="G299" s="1"/>
  <c r="BT298"/>
  <c r="BS298"/>
  <c r="BR298"/>
  <c r="BQ298"/>
  <c r="BP298"/>
  <c r="BO298"/>
  <c r="BN298"/>
  <c r="BM298"/>
  <c r="BL298"/>
  <c r="BK298"/>
  <c r="BJ298"/>
  <c r="BI298"/>
  <c r="BH298"/>
  <c r="BG298"/>
  <c r="BF298"/>
  <c r="BE298"/>
  <c r="BD298"/>
  <c r="BC298"/>
  <c r="BB298"/>
  <c r="BA298" s="1"/>
  <c r="AX298"/>
  <c r="AW298"/>
  <c r="AV298"/>
  <c r="AC298"/>
  <c r="H298"/>
  <c r="G298" s="1"/>
  <c r="BT297"/>
  <c r="BS297"/>
  <c r="BR297"/>
  <c r="BQ297"/>
  <c r="BP297"/>
  <c r="BO297"/>
  <c r="BN297"/>
  <c r="BM297"/>
  <c r="BL297" s="1"/>
  <c r="BK297"/>
  <c r="BJ297"/>
  <c r="BI297"/>
  <c r="BH297"/>
  <c r="BG297"/>
  <c r="BF297"/>
  <c r="BE297"/>
  <c r="BD297"/>
  <c r="BC297"/>
  <c r="BB297"/>
  <c r="BA297" s="1"/>
  <c r="AX297"/>
  <c r="AW297"/>
  <c r="AV297"/>
  <c r="AC297"/>
  <c r="H297"/>
  <c r="G297" s="1"/>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L295" s="1"/>
  <c r="BK295"/>
  <c r="BJ295"/>
  <c r="BI295"/>
  <c r="BH295"/>
  <c r="BG295"/>
  <c r="BF295"/>
  <c r="BE295"/>
  <c r="BD295"/>
  <c r="BC295"/>
  <c r="BB295"/>
  <c r="BA295" s="1"/>
  <c r="AX295"/>
  <c r="AW295"/>
  <c r="AV295"/>
  <c r="AC295"/>
  <c r="H295"/>
  <c r="G295" s="1"/>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G292" s="1"/>
  <c r="H292"/>
  <c r="BT291"/>
  <c r="BS291"/>
  <c r="BR291"/>
  <c r="BQ291"/>
  <c r="BP291"/>
  <c r="BO291"/>
  <c r="BN291"/>
  <c r="BM291"/>
  <c r="BL291"/>
  <c r="BK291"/>
  <c r="BJ291"/>
  <c r="BI291"/>
  <c r="BH291"/>
  <c r="BG291"/>
  <c r="BF291"/>
  <c r="BE291"/>
  <c r="BD291"/>
  <c r="BC291"/>
  <c r="BA291" s="1"/>
  <c r="BB29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s="1"/>
  <c r="BK289"/>
  <c r="BJ289"/>
  <c r="BI289"/>
  <c r="BH289"/>
  <c r="BG289"/>
  <c r="BF289"/>
  <c r="BE289"/>
  <c r="BD289"/>
  <c r="BC289"/>
  <c r="BB289"/>
  <c r="BA289"/>
  <c r="AX289"/>
  <c r="AW289"/>
  <c r="AV289"/>
  <c r="AC289"/>
  <c r="G289" s="1"/>
  <c r="H289"/>
  <c r="BT288"/>
  <c r="BS288"/>
  <c r="BR288"/>
  <c r="BQ288"/>
  <c r="BP288"/>
  <c r="BO288"/>
  <c r="BN288"/>
  <c r="BM288"/>
  <c r="BL288"/>
  <c r="BK288"/>
  <c r="BJ288"/>
  <c r="BI288"/>
  <c r="BH288"/>
  <c r="BG288"/>
  <c r="BF288"/>
  <c r="BE288"/>
  <c r="BD288"/>
  <c r="BC288"/>
  <c r="BA288" s="1"/>
  <c r="BB288"/>
  <c r="AX288"/>
  <c r="AW288"/>
  <c r="AV288"/>
  <c r="AC288"/>
  <c r="H288"/>
  <c r="G288" s="1"/>
  <c r="BT287"/>
  <c r="BS287"/>
  <c r="BR287"/>
  <c r="BQ287"/>
  <c r="BP287"/>
  <c r="BO287"/>
  <c r="BN287"/>
  <c r="BM287"/>
  <c r="BL287" s="1"/>
  <c r="BK287"/>
  <c r="BJ287"/>
  <c r="BI287"/>
  <c r="BH287"/>
  <c r="BG287"/>
  <c r="BF287"/>
  <c r="BE287"/>
  <c r="BD287"/>
  <c r="BC287"/>
  <c r="BB287"/>
  <c r="BA287" s="1"/>
  <c r="AX287"/>
  <c r="AW287"/>
  <c r="AV287"/>
  <c r="AC287"/>
  <c r="G287" s="1"/>
  <c r="H287"/>
  <c r="BT286"/>
  <c r="BS286"/>
  <c r="BR286"/>
  <c r="BQ286"/>
  <c r="BP286"/>
  <c r="BO286"/>
  <c r="BL286" s="1"/>
  <c r="BN286"/>
  <c r="BM286"/>
  <c r="BK286"/>
  <c r="BJ286"/>
  <c r="BI286"/>
  <c r="BH286"/>
  <c r="BG286"/>
  <c r="BF286"/>
  <c r="BE286"/>
  <c r="BD286"/>
  <c r="BC286"/>
  <c r="BA286" s="1"/>
  <c r="BB286"/>
  <c r="AX286"/>
  <c r="AW286"/>
  <c r="AV286"/>
  <c r="AC286"/>
  <c r="H286"/>
  <c r="G286" s="1"/>
  <c r="BT285"/>
  <c r="BS285"/>
  <c r="BR285"/>
  <c r="BQ285"/>
  <c r="BP285"/>
  <c r="BO285"/>
  <c r="BN285"/>
  <c r="BM285"/>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A284" s="1"/>
  <c r="AZ284" s="1"/>
  <c r="BC284"/>
  <c r="BB284"/>
  <c r="AX284"/>
  <c r="AW284"/>
  <c r="AV284"/>
  <c r="AC284"/>
  <c r="G284" s="1"/>
  <c r="H284"/>
  <c r="BT283"/>
  <c r="BS283"/>
  <c r="BR283"/>
  <c r="BQ283"/>
  <c r="BP283"/>
  <c r="BO283"/>
  <c r="BL283" s="1"/>
  <c r="BN283"/>
  <c r="BM283"/>
  <c r="BK283"/>
  <c r="BJ283"/>
  <c r="BI283"/>
  <c r="BH283"/>
  <c r="BG283"/>
  <c r="BF283"/>
  <c r="BE283"/>
  <c r="BD283"/>
  <c r="BC283"/>
  <c r="BA283" s="1"/>
  <c r="BB283"/>
  <c r="AX283"/>
  <c r="AW283"/>
  <c r="AV283"/>
  <c r="AC283"/>
  <c r="H283"/>
  <c r="G283" s="1"/>
  <c r="BT282"/>
  <c r="BS282"/>
  <c r="BR282"/>
  <c r="BQ282"/>
  <c r="BP282"/>
  <c r="BO282"/>
  <c r="BN282"/>
  <c r="BM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L280" s="1"/>
  <c r="BM280"/>
  <c r="BK280"/>
  <c r="BJ280"/>
  <c r="BI280"/>
  <c r="BH280"/>
  <c r="BG280"/>
  <c r="BF280"/>
  <c r="BE280"/>
  <c r="BD280"/>
  <c r="BC280"/>
  <c r="BB280"/>
  <c r="AX280"/>
  <c r="AW280"/>
  <c r="AV280"/>
  <c r="AC280"/>
  <c r="H280"/>
  <c r="G280"/>
  <c r="BT279"/>
  <c r="BS279"/>
  <c r="BR279"/>
  <c r="BQ279"/>
  <c r="BP279"/>
  <c r="BO279"/>
  <c r="BN279"/>
  <c r="BM279"/>
  <c r="BL279"/>
  <c r="BK279"/>
  <c r="BJ279"/>
  <c r="BI279"/>
  <c r="BH279"/>
  <c r="BG279"/>
  <c r="BF279"/>
  <c r="BE279"/>
  <c r="BD279"/>
  <c r="BA279" s="1"/>
  <c r="BC279"/>
  <c r="BB279"/>
  <c r="AX279"/>
  <c r="AW279"/>
  <c r="AV279"/>
  <c r="AC279"/>
  <c r="H279"/>
  <c r="G279" s="1"/>
  <c r="BT278"/>
  <c r="BS278"/>
  <c r="BR278"/>
  <c r="BQ278"/>
  <c r="BP278"/>
  <c r="BO278"/>
  <c r="BN278"/>
  <c r="BL278" s="1"/>
  <c r="BM278"/>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L276" s="1"/>
  <c r="BN276"/>
  <c r="BM276"/>
  <c r="BK276"/>
  <c r="BJ276"/>
  <c r="BI276"/>
  <c r="BH276"/>
  <c r="BG276"/>
  <c r="BF276"/>
  <c r="BE276"/>
  <c r="BD276"/>
  <c r="BC276"/>
  <c r="BB276"/>
  <c r="BA276" s="1"/>
  <c r="AZ276" s="1"/>
  <c r="AX276"/>
  <c r="AW276"/>
  <c r="AV276"/>
  <c r="AC276"/>
  <c r="G276" s="1"/>
  <c r="H276"/>
  <c r="BT275"/>
  <c r="BS275"/>
  <c r="BR275"/>
  <c r="BQ275"/>
  <c r="BP275"/>
  <c r="BO275"/>
  <c r="BN275"/>
  <c r="BM275"/>
  <c r="BK275"/>
  <c r="BJ275"/>
  <c r="BI275"/>
  <c r="BH275"/>
  <c r="BG275"/>
  <c r="BF275"/>
  <c r="BE275"/>
  <c r="BD275"/>
  <c r="BC275"/>
  <c r="BA275" s="1"/>
  <c r="BB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K273"/>
  <c r="BJ273"/>
  <c r="BI273"/>
  <c r="BH273"/>
  <c r="BG273"/>
  <c r="BF273"/>
  <c r="BE273"/>
  <c r="BD273"/>
  <c r="BC273"/>
  <c r="BB273"/>
  <c r="BA273" s="1"/>
  <c r="AX273"/>
  <c r="AW273"/>
  <c r="AV273"/>
  <c r="AC273"/>
  <c r="G273" s="1"/>
  <c r="H273"/>
  <c r="BT272"/>
  <c r="BS272"/>
  <c r="BR272"/>
  <c r="BQ272"/>
  <c r="BP272"/>
  <c r="BO272"/>
  <c r="BN272"/>
  <c r="BM272"/>
  <c r="BL272" s="1"/>
  <c r="BK272"/>
  <c r="BJ272"/>
  <c r="BI272"/>
  <c r="BH272"/>
  <c r="BG272"/>
  <c r="BF272"/>
  <c r="BE272"/>
  <c r="BD272"/>
  <c r="BC272"/>
  <c r="BA272" s="1"/>
  <c r="BB272"/>
  <c r="AX272"/>
  <c r="AW272"/>
  <c r="AV272"/>
  <c r="AC272"/>
  <c r="H272"/>
  <c r="G272" s="1"/>
  <c r="BT271"/>
  <c r="BS271"/>
  <c r="BR271"/>
  <c r="BQ271"/>
  <c r="BP271"/>
  <c r="BO271"/>
  <c r="BN271"/>
  <c r="BL271" s="1"/>
  <c r="BM271"/>
  <c r="BK271"/>
  <c r="BJ271"/>
  <c r="BI271"/>
  <c r="BH271"/>
  <c r="BG271"/>
  <c r="BF271"/>
  <c r="BE271"/>
  <c r="BD271"/>
  <c r="BC271"/>
  <c r="BB271"/>
  <c r="BA271" s="1"/>
  <c r="AX271"/>
  <c r="AW271"/>
  <c r="AV271"/>
  <c r="AC271"/>
  <c r="G271"/>
  <c r="H271"/>
  <c r="BT270"/>
  <c r="BS270"/>
  <c r="BR270"/>
  <c r="BQ270"/>
  <c r="BP270"/>
  <c r="BO270"/>
  <c r="BN270"/>
  <c r="BL270" s="1"/>
  <c r="BM270"/>
  <c r="BK270"/>
  <c r="BJ270"/>
  <c r="BI270"/>
  <c r="BH270"/>
  <c r="BG270"/>
  <c r="BF270"/>
  <c r="BE270"/>
  <c r="BD270"/>
  <c r="BC270"/>
  <c r="BA270"/>
  <c r="BB270"/>
  <c r="AX270"/>
  <c r="AW270"/>
  <c r="AV270"/>
  <c r="AC270"/>
  <c r="H270"/>
  <c r="G270" s="1"/>
  <c r="BT269"/>
  <c r="BS269"/>
  <c r="BR269"/>
  <c r="BQ269"/>
  <c r="BP269"/>
  <c r="BO269"/>
  <c r="BN269"/>
  <c r="BM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L267"/>
  <c r="BM267"/>
  <c r="BK267"/>
  <c r="BJ267"/>
  <c r="BI267"/>
  <c r="BH267"/>
  <c r="BG267"/>
  <c r="BF267"/>
  <c r="BE267"/>
  <c r="BD267"/>
  <c r="BC267"/>
  <c r="BB267"/>
  <c r="BA267"/>
  <c r="AZ267" s="1"/>
  <c r="AX267"/>
  <c r="AW267"/>
  <c r="AV267"/>
  <c r="AC267"/>
  <c r="H267"/>
  <c r="G267" s="1"/>
  <c r="BT266"/>
  <c r="BS266"/>
  <c r="BR266"/>
  <c r="BQ266"/>
  <c r="BP266"/>
  <c r="BO266"/>
  <c r="BL266" s="1"/>
  <c r="BN266"/>
  <c r="BM266"/>
  <c r="BK266"/>
  <c r="BJ266"/>
  <c r="BI266"/>
  <c r="BH266"/>
  <c r="BG266"/>
  <c r="BF266"/>
  <c r="BE266"/>
  <c r="BD266"/>
  <c r="BC266"/>
  <c r="BB266"/>
  <c r="BA266" s="1"/>
  <c r="AX266"/>
  <c r="AW266"/>
  <c r="AV266"/>
  <c r="AC266"/>
  <c r="H266"/>
  <c r="G266" s="1"/>
  <c r="BT265"/>
  <c r="BS265"/>
  <c r="BR265"/>
  <c r="BQ265"/>
  <c r="BP265"/>
  <c r="BO265"/>
  <c r="BN265"/>
  <c r="BM265"/>
  <c r="BL265" s="1"/>
  <c r="BK265"/>
  <c r="BJ265"/>
  <c r="BI265"/>
  <c r="BH265"/>
  <c r="BG265"/>
  <c r="BF265"/>
  <c r="BE265"/>
  <c r="BD265"/>
  <c r="BC265"/>
  <c r="BB265"/>
  <c r="BA265" s="1"/>
  <c r="AX265"/>
  <c r="AW265"/>
  <c r="AV265"/>
  <c r="AC265"/>
  <c r="H265"/>
  <c r="G265" s="1"/>
  <c r="BT264"/>
  <c r="BS264"/>
  <c r="BR264"/>
  <c r="BQ264"/>
  <c r="BP264"/>
  <c r="BO264"/>
  <c r="BL264" s="1"/>
  <c r="BN264"/>
  <c r="BM264"/>
  <c r="BK264"/>
  <c r="BJ264"/>
  <c r="BI264"/>
  <c r="BH264"/>
  <c r="BG264"/>
  <c r="BF264"/>
  <c r="BE264"/>
  <c r="BD264"/>
  <c r="BC264"/>
  <c r="BB264"/>
  <c r="BA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s="1"/>
  <c r="BT262"/>
  <c r="BS262"/>
  <c r="BR262"/>
  <c r="BQ262"/>
  <c r="BP262"/>
  <c r="BO262"/>
  <c r="BN262"/>
  <c r="BM262"/>
  <c r="BL262" s="1"/>
  <c r="BK262"/>
  <c r="BJ262"/>
  <c r="BI262"/>
  <c r="BH262"/>
  <c r="BG262"/>
  <c r="BF262"/>
  <c r="BE262"/>
  <c r="BD262"/>
  <c r="BC262"/>
  <c r="BB262"/>
  <c r="BA262" s="1"/>
  <c r="AX262"/>
  <c r="AW262"/>
  <c r="AV262"/>
  <c r="AC262"/>
  <c r="H262"/>
  <c r="G262" s="1"/>
  <c r="BT261"/>
  <c r="BS261"/>
  <c r="BR261"/>
  <c r="BQ261"/>
  <c r="BP261"/>
  <c r="BO261"/>
  <c r="BN261"/>
  <c r="BM261"/>
  <c r="BL261" s="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L259" s="1"/>
  <c r="BM259"/>
  <c r="BK259"/>
  <c r="BJ259"/>
  <c r="BI259"/>
  <c r="BH259"/>
  <c r="BG259"/>
  <c r="BF259"/>
  <c r="BE259"/>
  <c r="BD259"/>
  <c r="BC259"/>
  <c r="BB259"/>
  <c r="BA259" s="1"/>
  <c r="AX259"/>
  <c r="AW259"/>
  <c r="AV259"/>
  <c r="AC259"/>
  <c r="H259"/>
  <c r="G259"/>
  <c r="BT258"/>
  <c r="BS258"/>
  <c r="BR258"/>
  <c r="BQ258"/>
  <c r="BP258"/>
  <c r="BO258"/>
  <c r="BN258"/>
  <c r="BM258"/>
  <c r="BL258"/>
  <c r="BK258"/>
  <c r="BJ258"/>
  <c r="BI258"/>
  <c r="BH258"/>
  <c r="BG258"/>
  <c r="BF258"/>
  <c r="BE258"/>
  <c r="BD258"/>
  <c r="BA258" s="1"/>
  <c r="AZ258" s="1"/>
  <c r="BC258"/>
  <c r="BB258"/>
  <c r="AX258"/>
  <c r="AW258"/>
  <c r="AV258"/>
  <c r="AC258"/>
  <c r="G258" s="1"/>
  <c r="H258"/>
  <c r="BT257"/>
  <c r="BS257"/>
  <c r="BR257"/>
  <c r="BQ257"/>
  <c r="BP257"/>
  <c r="BO257"/>
  <c r="BL257" s="1"/>
  <c r="BN257"/>
  <c r="BM257"/>
  <c r="BK257"/>
  <c r="BJ257"/>
  <c r="BI257"/>
  <c r="BH257"/>
  <c r="BG257"/>
  <c r="BF257"/>
  <c r="BE257"/>
  <c r="BD257"/>
  <c r="BC257"/>
  <c r="BA257" s="1"/>
  <c r="BB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L255" s="1"/>
  <c r="BN255"/>
  <c r="BM255"/>
  <c r="BK255"/>
  <c r="BJ255"/>
  <c r="BI255"/>
  <c r="BH255"/>
  <c r="BG255"/>
  <c r="BF255"/>
  <c r="BE255"/>
  <c r="BD255"/>
  <c r="BC255"/>
  <c r="BB255"/>
  <c r="BA255" s="1"/>
  <c r="AX255"/>
  <c r="AW255"/>
  <c r="AV255"/>
  <c r="AC255"/>
  <c r="H255"/>
  <c r="G255"/>
  <c r="BT254"/>
  <c r="BS254"/>
  <c r="BR254"/>
  <c r="BQ254"/>
  <c r="BP254"/>
  <c r="BO254"/>
  <c r="BN254"/>
  <c r="BL254"/>
  <c r="BM254"/>
  <c r="BK254"/>
  <c r="BJ254"/>
  <c r="BI254"/>
  <c r="BH254"/>
  <c r="BG254"/>
  <c r="BF254"/>
  <c r="BE254"/>
  <c r="BD254"/>
  <c r="BC254"/>
  <c r="BB254"/>
  <c r="BA254"/>
  <c r="AX254"/>
  <c r="AW254"/>
  <c r="AV254"/>
  <c r="AC254"/>
  <c r="G254" s="1"/>
  <c r="H254"/>
  <c r="BT253"/>
  <c r="BS253"/>
  <c r="BR253"/>
  <c r="BQ253"/>
  <c r="BP253"/>
  <c r="BO253"/>
  <c r="BL253" s="1"/>
  <c r="BN253"/>
  <c r="BM253"/>
  <c r="BK253"/>
  <c r="BJ253"/>
  <c r="BI253"/>
  <c r="BH253"/>
  <c r="BG253"/>
  <c r="BF253"/>
  <c r="BE253"/>
  <c r="BD253"/>
  <c r="BC253"/>
  <c r="BA253" s="1"/>
  <c r="BB253"/>
  <c r="AX253"/>
  <c r="AW253"/>
  <c r="AV253"/>
  <c r="AC253"/>
  <c r="H253"/>
  <c r="G253"/>
  <c r="BT252"/>
  <c r="BS252"/>
  <c r="BR252"/>
  <c r="BQ252"/>
  <c r="BP252"/>
  <c r="BO252"/>
  <c r="BN252"/>
  <c r="BL252"/>
  <c r="BM252"/>
  <c r="BK252"/>
  <c r="BJ252"/>
  <c r="BI252"/>
  <c r="BH252"/>
  <c r="BG252"/>
  <c r="BF252"/>
  <c r="BE252"/>
  <c r="BD252"/>
  <c r="BC252"/>
  <c r="BB252"/>
  <c r="BA252"/>
  <c r="AZ252" s="1"/>
  <c r="AX252"/>
  <c r="AW252"/>
  <c r="AV252"/>
  <c r="AC252"/>
  <c r="H252"/>
  <c r="G252"/>
  <c r="BT251"/>
  <c r="BS251"/>
  <c r="BR251"/>
  <c r="BQ251"/>
  <c r="BP251"/>
  <c r="BO251"/>
  <c r="BN251"/>
  <c r="BM251"/>
  <c r="BL251"/>
  <c r="BK251"/>
  <c r="BJ251"/>
  <c r="BI251"/>
  <c r="BH251"/>
  <c r="BG251"/>
  <c r="BF251"/>
  <c r="BE251"/>
  <c r="BD251"/>
  <c r="BA251" s="1"/>
  <c r="BC251"/>
  <c r="BB251"/>
  <c r="AX251"/>
  <c r="AW251"/>
  <c r="AV251"/>
  <c r="AC251"/>
  <c r="G251"/>
  <c r="H251"/>
  <c r="BT250"/>
  <c r="BS250"/>
  <c r="BR250"/>
  <c r="BQ250"/>
  <c r="BP250"/>
  <c r="BO250"/>
  <c r="BN250"/>
  <c r="BL250" s="1"/>
  <c r="BM250"/>
  <c r="BK250"/>
  <c r="BJ250"/>
  <c r="BI250"/>
  <c r="BH250"/>
  <c r="BG250"/>
  <c r="BF250"/>
  <c r="BE250"/>
  <c r="BD250"/>
  <c r="BC250"/>
  <c r="BA250"/>
  <c r="BB250"/>
  <c r="AX250"/>
  <c r="AW250"/>
  <c r="AV250"/>
  <c r="AC250"/>
  <c r="H250"/>
  <c r="G250"/>
  <c r="BT249"/>
  <c r="BS249"/>
  <c r="BR249"/>
  <c r="BQ249"/>
  <c r="BP249"/>
  <c r="BO249"/>
  <c r="BN249"/>
  <c r="BM249"/>
  <c r="BL249"/>
  <c r="BK249"/>
  <c r="BJ249"/>
  <c r="BI249"/>
  <c r="BH249"/>
  <c r="BG249"/>
  <c r="BF249"/>
  <c r="BE249"/>
  <c r="BD249"/>
  <c r="BA249" s="1"/>
  <c r="BC249"/>
  <c r="BB249"/>
  <c r="AX249"/>
  <c r="AW249"/>
  <c r="AV249"/>
  <c r="AC249"/>
  <c r="G249" s="1"/>
  <c r="H249"/>
  <c r="BT248"/>
  <c r="BS248"/>
  <c r="BR248"/>
  <c r="BQ248"/>
  <c r="BP248"/>
  <c r="BO248"/>
  <c r="BN248"/>
  <c r="BL248" s="1"/>
  <c r="BM248"/>
  <c r="BK248"/>
  <c r="BJ248"/>
  <c r="BI248"/>
  <c r="BH248"/>
  <c r="BG248"/>
  <c r="BF248"/>
  <c r="BE248"/>
  <c r="BD248"/>
  <c r="BC248"/>
  <c r="BA248" s="1"/>
  <c r="BB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L246" s="1"/>
  <c r="BM246"/>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BA245" s="1"/>
  <c r="AX245"/>
  <c r="AW245"/>
  <c r="AV245"/>
  <c r="AC245"/>
  <c r="G245" s="1"/>
  <c r="H245"/>
  <c r="BT244"/>
  <c r="BS244"/>
  <c r="BR244"/>
  <c r="BQ244"/>
  <c r="BP244"/>
  <c r="BO244"/>
  <c r="BL244" s="1"/>
  <c r="BN244"/>
  <c r="BM244"/>
  <c r="BK244"/>
  <c r="BJ244"/>
  <c r="BI244"/>
  <c r="BH244"/>
  <c r="BG244"/>
  <c r="BF244"/>
  <c r="BE244"/>
  <c r="BD244"/>
  <c r="BC244"/>
  <c r="BA244" s="1"/>
  <c r="BB244"/>
  <c r="AX244"/>
  <c r="AW244"/>
  <c r="AV244"/>
  <c r="AC244"/>
  <c r="H244"/>
  <c r="G244"/>
  <c r="BT243"/>
  <c r="BS243"/>
  <c r="BR243"/>
  <c r="BQ243"/>
  <c r="BP243"/>
  <c r="BO243"/>
  <c r="BN243"/>
  <c r="BM243"/>
  <c r="BL243" s="1"/>
  <c r="BK243"/>
  <c r="BJ243"/>
  <c r="BI243"/>
  <c r="BH243"/>
  <c r="BG243"/>
  <c r="BF243"/>
  <c r="BE243"/>
  <c r="BD243"/>
  <c r="BC243"/>
  <c r="BB243"/>
  <c r="BA243"/>
  <c r="AX243"/>
  <c r="AW243"/>
  <c r="AV243"/>
  <c r="AC243"/>
  <c r="G243" s="1"/>
  <c r="H243"/>
  <c r="BT242"/>
  <c r="BS242"/>
  <c r="BR242"/>
  <c r="BQ242"/>
  <c r="BP242"/>
  <c r="BO242"/>
  <c r="BN242"/>
  <c r="BM242"/>
  <c r="BL242" s="1"/>
  <c r="BK242"/>
  <c r="BJ242"/>
  <c r="BI242"/>
  <c r="BH242"/>
  <c r="BG242"/>
  <c r="BF242"/>
  <c r="BE242"/>
  <c r="BD242"/>
  <c r="BC242"/>
  <c r="BA242" s="1"/>
  <c r="BB242"/>
  <c r="AX242"/>
  <c r="AW242"/>
  <c r="AV242"/>
  <c r="AC242"/>
  <c r="H242"/>
  <c r="G242" s="1"/>
  <c r="BT241"/>
  <c r="BS241"/>
  <c r="BR241"/>
  <c r="BQ241"/>
  <c r="BP241"/>
  <c r="BO241"/>
  <c r="BN241"/>
  <c r="BL241" s="1"/>
  <c r="BM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s="1"/>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BC238"/>
  <c r="BB238"/>
  <c r="AX238"/>
  <c r="AW238"/>
  <c r="AV238"/>
  <c r="AC238"/>
  <c r="H238"/>
  <c r="G238" s="1"/>
  <c r="BT237"/>
  <c r="BS237"/>
  <c r="BR237"/>
  <c r="BQ237"/>
  <c r="BP237"/>
  <c r="BO237"/>
  <c r="BN237"/>
  <c r="BL237" s="1"/>
  <c r="BM237"/>
  <c r="BK237"/>
  <c r="BJ237"/>
  <c r="BI237"/>
  <c r="BH237"/>
  <c r="BG237"/>
  <c r="BF237"/>
  <c r="BE237"/>
  <c r="BD237"/>
  <c r="BC237"/>
  <c r="BB237"/>
  <c r="BA237" s="1"/>
  <c r="AX237"/>
  <c r="AW237"/>
  <c r="AV237"/>
  <c r="AC237"/>
  <c r="H237"/>
  <c r="G237"/>
  <c r="BT236"/>
  <c r="BS236"/>
  <c r="BR236"/>
  <c r="BQ236"/>
  <c r="BP236"/>
  <c r="BO236"/>
  <c r="BN236"/>
  <c r="BM236"/>
  <c r="BL236"/>
  <c r="BK236"/>
  <c r="BJ236"/>
  <c r="BI236"/>
  <c r="BH236"/>
  <c r="BG236"/>
  <c r="BF236"/>
  <c r="BE236"/>
  <c r="BD236"/>
  <c r="BA236" s="1"/>
  <c r="AZ236" s="1"/>
  <c r="BC236"/>
  <c r="BB236"/>
  <c r="AX236"/>
  <c r="AW236"/>
  <c r="AV236"/>
  <c r="AC236"/>
  <c r="H236"/>
  <c r="G236" s="1"/>
  <c r="BT235"/>
  <c r="BS235"/>
  <c r="BR235"/>
  <c r="BQ235"/>
  <c r="BP235"/>
  <c r="BO235"/>
  <c r="BL235" s="1"/>
  <c r="BN235"/>
  <c r="BM235"/>
  <c r="BK235"/>
  <c r="BJ235"/>
  <c r="BI235"/>
  <c r="BH235"/>
  <c r="BG235"/>
  <c r="BF235"/>
  <c r="BE235"/>
  <c r="BD235"/>
  <c r="BC235"/>
  <c r="BB235"/>
  <c r="BA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L233" s="1"/>
  <c r="BN233"/>
  <c r="BM233"/>
  <c r="BK233"/>
  <c r="BJ233"/>
  <c r="BI233"/>
  <c r="BH233"/>
  <c r="BG233"/>
  <c r="BF233"/>
  <c r="BE233"/>
  <c r="BD233"/>
  <c r="BC233"/>
  <c r="BB233"/>
  <c r="BA233" s="1"/>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s="1"/>
  <c r="BK231"/>
  <c r="BJ231"/>
  <c r="BI231"/>
  <c r="BH231"/>
  <c r="BG231"/>
  <c r="BF231"/>
  <c r="BE231"/>
  <c r="BD231"/>
  <c r="BC231"/>
  <c r="BB231"/>
  <c r="BA231" s="1"/>
  <c r="AZ231" s="1"/>
  <c r="AX231"/>
  <c r="AW231"/>
  <c r="AV231"/>
  <c r="AC231"/>
  <c r="H231"/>
  <c r="G231" s="1"/>
  <c r="BT230"/>
  <c r="BS230"/>
  <c r="BR230"/>
  <c r="BQ230"/>
  <c r="BP230"/>
  <c r="BO230"/>
  <c r="BN230"/>
  <c r="BM230"/>
  <c r="BL230" s="1"/>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s="1"/>
  <c r="BT228"/>
  <c r="BS228"/>
  <c r="BR228"/>
  <c r="BQ228"/>
  <c r="BP228"/>
  <c r="BO228"/>
  <c r="BN228"/>
  <c r="BM228"/>
  <c r="BL228" s="1"/>
  <c r="BK228"/>
  <c r="BJ228"/>
  <c r="BI228"/>
  <c r="BH228"/>
  <c r="BG228"/>
  <c r="BF228"/>
  <c r="BE228"/>
  <c r="BD228"/>
  <c r="BC228"/>
  <c r="BB228"/>
  <c r="BA228" s="1"/>
  <c r="AX228"/>
  <c r="AW228"/>
  <c r="AV228"/>
  <c r="AC228"/>
  <c r="G228" s="1"/>
  <c r="H228"/>
  <c r="BT227"/>
  <c r="BS227"/>
  <c r="BR227"/>
  <c r="BQ227"/>
  <c r="BP227"/>
  <c r="BO227"/>
  <c r="BL227" s="1"/>
  <c r="BN227"/>
  <c r="BM227"/>
  <c r="BK227"/>
  <c r="BJ227"/>
  <c r="BI227"/>
  <c r="BH227"/>
  <c r="BG227"/>
  <c r="BF227"/>
  <c r="BE227"/>
  <c r="BD227"/>
  <c r="BC227"/>
  <c r="BA227" s="1"/>
  <c r="BB227"/>
  <c r="AX227"/>
  <c r="AW227"/>
  <c r="AV227"/>
  <c r="AC227"/>
  <c r="H227"/>
  <c r="G227"/>
  <c r="BT226"/>
  <c r="BS226"/>
  <c r="BR226"/>
  <c r="BQ226"/>
  <c r="BP226"/>
  <c r="BO226"/>
  <c r="BN226"/>
  <c r="BM226"/>
  <c r="BL226" s="1"/>
  <c r="BK226"/>
  <c r="BJ226"/>
  <c r="BI226"/>
  <c r="BH226"/>
  <c r="BG226"/>
  <c r="BF226"/>
  <c r="BE226"/>
  <c r="BD226"/>
  <c r="BC226"/>
  <c r="BB226"/>
  <c r="BA226"/>
  <c r="AX226"/>
  <c r="AW226"/>
  <c r="AV226"/>
  <c r="AC226"/>
  <c r="G226"/>
  <c r="H226"/>
  <c r="BT225"/>
  <c r="BS225"/>
  <c r="BR225"/>
  <c r="BQ225"/>
  <c r="BP225"/>
  <c r="BO225"/>
  <c r="BN225"/>
  <c r="BM225"/>
  <c r="BL225"/>
  <c r="BK225"/>
  <c r="BJ225"/>
  <c r="BI225"/>
  <c r="BH225"/>
  <c r="BG225"/>
  <c r="BF225"/>
  <c r="BE225"/>
  <c r="BD225"/>
  <c r="BA225" s="1"/>
  <c r="BC225"/>
  <c r="BB225"/>
  <c r="AX225"/>
  <c r="AW225"/>
  <c r="AV225"/>
  <c r="AC225"/>
  <c r="H225"/>
  <c r="G225" s="1"/>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s="1"/>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s="1"/>
  <c r="BT220"/>
  <c r="BS220"/>
  <c r="BR220"/>
  <c r="BQ220"/>
  <c r="BP220"/>
  <c r="BO220"/>
  <c r="BN220"/>
  <c r="BM220"/>
  <c r="BL220" s="1"/>
  <c r="BK220"/>
  <c r="BJ220"/>
  <c r="BI220"/>
  <c r="BH220"/>
  <c r="BG220"/>
  <c r="BF220"/>
  <c r="BE220"/>
  <c r="BD220"/>
  <c r="BC220"/>
  <c r="BA220" s="1"/>
  <c r="AZ220" s="1"/>
  <c r="BB220"/>
  <c r="AX220"/>
  <c r="AW220"/>
  <c r="AV220"/>
  <c r="AC220"/>
  <c r="H220"/>
  <c r="G220" s="1"/>
  <c r="BT219"/>
  <c r="BS219"/>
  <c r="BR219"/>
  <c r="BQ219"/>
  <c r="BP219"/>
  <c r="BO219"/>
  <c r="BN219"/>
  <c r="BM219"/>
  <c r="BL219" s="1"/>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s="1"/>
  <c r="BK217"/>
  <c r="BJ217"/>
  <c r="BI217"/>
  <c r="BH217"/>
  <c r="BG217"/>
  <c r="BF217"/>
  <c r="BE217"/>
  <c r="BD217"/>
  <c r="BC217"/>
  <c r="BB217"/>
  <c r="BA217" s="1"/>
  <c r="AX217"/>
  <c r="AW217"/>
  <c r="AV217"/>
  <c r="AC217"/>
  <c r="G217" s="1"/>
  <c r="H217"/>
  <c r="BT216"/>
  <c r="BS216"/>
  <c r="BR216"/>
  <c r="BQ216"/>
  <c r="BP216"/>
  <c r="BO216"/>
  <c r="BL216" s="1"/>
  <c r="BN216"/>
  <c r="BM216"/>
  <c r="BK216"/>
  <c r="BJ216"/>
  <c r="BI216"/>
  <c r="BH216"/>
  <c r="BG216"/>
  <c r="BF216"/>
  <c r="BE216"/>
  <c r="BD216"/>
  <c r="BC216"/>
  <c r="BA216" s="1"/>
  <c r="BB216"/>
  <c r="AX216"/>
  <c r="AW216"/>
  <c r="AV216"/>
  <c r="AC216"/>
  <c r="G216" s="1"/>
  <c r="H216"/>
  <c r="BT215"/>
  <c r="BS215"/>
  <c r="BR215"/>
  <c r="BQ215"/>
  <c r="BP215"/>
  <c r="BO215"/>
  <c r="BN215"/>
  <c r="BM215"/>
  <c r="BL215" s="1"/>
  <c r="BK215"/>
  <c r="BJ215"/>
  <c r="BI215"/>
  <c r="BH215"/>
  <c r="BG215"/>
  <c r="BF215"/>
  <c r="BE215"/>
  <c r="BD215"/>
  <c r="BC215"/>
  <c r="BA215" s="1"/>
  <c r="BB215"/>
  <c r="AX215"/>
  <c r="AW215"/>
  <c r="AV215"/>
  <c r="AC215"/>
  <c r="H215"/>
  <c r="G215" s="1"/>
  <c r="BT214"/>
  <c r="BS214"/>
  <c r="BR214"/>
  <c r="BQ214"/>
  <c r="BP214"/>
  <c r="BO214"/>
  <c r="BN214"/>
  <c r="BM214"/>
  <c r="BL214" s="1"/>
  <c r="BK214"/>
  <c r="BJ214"/>
  <c r="BI214"/>
  <c r="BH214"/>
  <c r="BG214"/>
  <c r="BF214"/>
  <c r="BE214"/>
  <c r="BD214"/>
  <c r="BC214"/>
  <c r="BB214"/>
  <c r="BA214" s="1"/>
  <c r="AX214"/>
  <c r="AW214"/>
  <c r="AV214"/>
  <c r="AC214"/>
  <c r="G214" s="1"/>
  <c r="H214"/>
  <c r="BT213"/>
  <c r="BS213"/>
  <c r="BR213"/>
  <c r="BQ213"/>
  <c r="BP213"/>
  <c r="BO213"/>
  <c r="BN213"/>
  <c r="BM213"/>
  <c r="BL213" s="1"/>
  <c r="BK213"/>
  <c r="BJ213"/>
  <c r="BI213"/>
  <c r="BH213"/>
  <c r="BG213"/>
  <c r="BF213"/>
  <c r="BE213"/>
  <c r="BD213"/>
  <c r="BC213"/>
  <c r="BA213" s="1"/>
  <c r="BB213"/>
  <c r="AX213"/>
  <c r="AW213"/>
  <c r="AV213"/>
  <c r="AC213"/>
  <c r="H213"/>
  <c r="G213" s="1"/>
  <c r="BT212"/>
  <c r="BS212"/>
  <c r="BR212"/>
  <c r="BQ212"/>
  <c r="BP212"/>
  <c r="BO212"/>
  <c r="BN212"/>
  <c r="BM212"/>
  <c r="BL212" s="1"/>
  <c r="BK212"/>
  <c r="BJ212"/>
  <c r="BI212"/>
  <c r="BH212"/>
  <c r="BG212"/>
  <c r="BF212"/>
  <c r="BE212"/>
  <c r="BD212"/>
  <c r="BC212"/>
  <c r="BB212"/>
  <c r="BA212" s="1"/>
  <c r="AZ212" s="1"/>
  <c r="AX212"/>
  <c r="AW212"/>
  <c r="AV212"/>
  <c r="AC212"/>
  <c r="H212"/>
  <c r="G212" s="1"/>
  <c r="BT211"/>
  <c r="BS211"/>
  <c r="BR211"/>
  <c r="BQ211"/>
  <c r="BP211"/>
  <c r="BO211"/>
  <c r="BN211"/>
  <c r="BM211"/>
  <c r="BL211" s="1"/>
  <c r="BK211"/>
  <c r="BJ211"/>
  <c r="BI211"/>
  <c r="BH211"/>
  <c r="BG211"/>
  <c r="BF211"/>
  <c r="BE211"/>
  <c r="BD211"/>
  <c r="BC211"/>
  <c r="BB211"/>
  <c r="BA211" s="1"/>
  <c r="AZ211" s="1"/>
  <c r="AX211"/>
  <c r="AW211"/>
  <c r="AV211"/>
  <c r="AC211"/>
  <c r="G211" s="1"/>
  <c r="H211"/>
  <c r="BT210"/>
  <c r="BS210"/>
  <c r="BR210"/>
  <c r="BQ210"/>
  <c r="BP210"/>
  <c r="BO210"/>
  <c r="BN210"/>
  <c r="BM210"/>
  <c r="BL210" s="1"/>
  <c r="BK210"/>
  <c r="BJ210"/>
  <c r="BI210"/>
  <c r="BH210"/>
  <c r="BG210"/>
  <c r="BF210"/>
  <c r="BE210"/>
  <c r="BD210"/>
  <c r="BC210"/>
  <c r="BA210" s="1"/>
  <c r="BB210"/>
  <c r="AX210"/>
  <c r="AW210"/>
  <c r="AV210"/>
  <c r="AC210"/>
  <c r="H210"/>
  <c r="G210"/>
  <c r="BT209"/>
  <c r="BS209"/>
  <c r="BR209"/>
  <c r="BQ209"/>
  <c r="BP209"/>
  <c r="BO209"/>
  <c r="BN209"/>
  <c r="BM209"/>
  <c r="BL209" s="1"/>
  <c r="BK209"/>
  <c r="BJ209"/>
  <c r="BI209"/>
  <c r="BH209"/>
  <c r="BG209"/>
  <c r="BF209"/>
  <c r="BE209"/>
  <c r="BD209"/>
  <c r="BC209"/>
  <c r="BB209"/>
  <c r="BA209"/>
  <c r="AX209"/>
  <c r="AW209"/>
  <c r="AV209"/>
  <c r="AC209"/>
  <c r="G209" s="1"/>
  <c r="H209"/>
  <c r="BT208"/>
  <c r="BS208"/>
  <c r="BR208"/>
  <c r="BQ208"/>
  <c r="BP208"/>
  <c r="BO208"/>
  <c r="BL208" s="1"/>
  <c r="BN208"/>
  <c r="BM208"/>
  <c r="BK208"/>
  <c r="BJ208"/>
  <c r="BI208"/>
  <c r="BH208"/>
  <c r="BG208"/>
  <c r="BF208"/>
  <c r="BE208"/>
  <c r="BD208"/>
  <c r="BC208"/>
  <c r="BA208" s="1"/>
  <c r="AZ208" s="1"/>
  <c r="BB208"/>
  <c r="AX208"/>
  <c r="AW208"/>
  <c r="AV208"/>
  <c r="AC208"/>
  <c r="H208"/>
  <c r="G208" s="1"/>
  <c r="BT397"/>
  <c r="BS397"/>
  <c r="BR397"/>
  <c r="BQ397"/>
  <c r="BP397"/>
  <c r="BO397"/>
  <c r="BN397"/>
  <c r="BL397" s="1"/>
  <c r="BM397"/>
  <c r="BK397"/>
  <c r="BJ397"/>
  <c r="BI397"/>
  <c r="BH397"/>
  <c r="BG397"/>
  <c r="BF397"/>
  <c r="BE397"/>
  <c r="BD397"/>
  <c r="BC397"/>
  <c r="BB397"/>
  <c r="BA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s="1"/>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A388" s="1"/>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s="1"/>
  <c r="AX385"/>
  <c r="AW385"/>
  <c r="AV385"/>
  <c r="AC385"/>
  <c r="H385"/>
  <c r="BT384"/>
  <c r="BS384"/>
  <c r="BR384"/>
  <c r="BQ384"/>
  <c r="BP384"/>
  <c r="BO384"/>
  <c r="BN384"/>
  <c r="BM384"/>
  <c r="BK384"/>
  <c r="BJ384"/>
  <c r="BI384"/>
  <c r="BH384"/>
  <c r="BG384"/>
  <c r="BF384"/>
  <c r="BE384"/>
  <c r="BD384"/>
  <c r="BC384"/>
  <c r="BA384" s="1"/>
  <c r="BB384"/>
  <c r="AX384"/>
  <c r="AW384"/>
  <c r="AV384"/>
  <c r="AC384"/>
  <c r="G384" s="1"/>
  <c r="H384"/>
  <c r="BT383"/>
  <c r="BS383"/>
  <c r="BR383"/>
  <c r="BQ383"/>
  <c r="BP383"/>
  <c r="BO383"/>
  <c r="BL383" s="1"/>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G382" s="1"/>
  <c r="H382"/>
  <c r="BT381"/>
  <c r="BS381"/>
  <c r="BR381"/>
  <c r="BQ381"/>
  <c r="BP381"/>
  <c r="BO381"/>
  <c r="BL381" s="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G380" s="1"/>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A374" s="1"/>
  <c r="BB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A370" s="1"/>
  <c r="BB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L368" s="1"/>
  <c r="BM368"/>
  <c r="BK368"/>
  <c r="BJ368"/>
  <c r="BI368"/>
  <c r="BH368"/>
  <c r="BG368"/>
  <c r="BF368"/>
  <c r="BE368"/>
  <c r="BD368"/>
  <c r="BC368"/>
  <c r="BB368"/>
  <c r="BA368" s="1"/>
  <c r="AX368"/>
  <c r="AW368"/>
  <c r="AV368"/>
  <c r="AC368"/>
  <c r="H368"/>
  <c r="BT367"/>
  <c r="BS367"/>
  <c r="BR367"/>
  <c r="BQ367"/>
  <c r="BP367"/>
  <c r="BO367"/>
  <c r="BN367"/>
  <c r="BL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G366" s="1"/>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G364" s="1"/>
  <c r="H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G362" s="1"/>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L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G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A354" s="1"/>
  <c r="BB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L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L348" s="1"/>
  <c r="BK348"/>
  <c r="BJ348"/>
  <c r="BI348"/>
  <c r="BH348"/>
  <c r="BG348"/>
  <c r="BF348"/>
  <c r="BE348"/>
  <c r="BD348"/>
  <c r="BC348"/>
  <c r="BA348" s="1"/>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G343" s="1"/>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L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G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A335"/>
  <c r="BB335"/>
  <c r="AX335"/>
  <c r="AW335"/>
  <c r="AV335"/>
  <c r="AC335"/>
  <c r="H335"/>
  <c r="BT334"/>
  <c r="BS334"/>
  <c r="BR334"/>
  <c r="BQ334"/>
  <c r="BP334"/>
  <c r="BO334"/>
  <c r="BN334"/>
  <c r="BM334"/>
  <c r="BK334"/>
  <c r="BJ334"/>
  <c r="BI334"/>
  <c r="BH334"/>
  <c r="BG334"/>
  <c r="BF334"/>
  <c r="BE334"/>
  <c r="BD334"/>
  <c r="BC334"/>
  <c r="BB334"/>
  <c r="AX334"/>
  <c r="AW334"/>
  <c r="AV334"/>
  <c r="AC334"/>
  <c r="G334" s="1"/>
  <c r="H334"/>
  <c r="BT333"/>
  <c r="BS333"/>
  <c r="BR333"/>
  <c r="BQ333"/>
  <c r="BP333"/>
  <c r="BO333"/>
  <c r="BN333"/>
  <c r="BM333"/>
  <c r="BL333" s="1"/>
  <c r="BK333"/>
  <c r="BJ333"/>
  <c r="BI333"/>
  <c r="BH333"/>
  <c r="BG333"/>
  <c r="BF333"/>
  <c r="BE333"/>
  <c r="BD333"/>
  <c r="BC333"/>
  <c r="BA333" s="1"/>
  <c r="BB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G331" s="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G329" s="1"/>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L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G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A319"/>
  <c r="BB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L317" s="1"/>
  <c r="BM317"/>
  <c r="BK317"/>
  <c r="BJ317"/>
  <c r="BI317"/>
  <c r="BH317"/>
  <c r="BG317"/>
  <c r="BF317"/>
  <c r="BE317"/>
  <c r="BD317"/>
  <c r="BC317"/>
  <c r="BB317"/>
  <c r="BA317" s="1"/>
  <c r="AX317"/>
  <c r="AW317"/>
  <c r="AV317"/>
  <c r="AC317"/>
  <c r="H317"/>
  <c r="BT316"/>
  <c r="BS316"/>
  <c r="BR316"/>
  <c r="BQ316"/>
  <c r="BP316"/>
  <c r="BO316"/>
  <c r="BN316"/>
  <c r="BM316"/>
  <c r="BL316"/>
  <c r="BK316"/>
  <c r="BJ316"/>
  <c r="BI316"/>
  <c r="BH316"/>
  <c r="BG316"/>
  <c r="BF316"/>
  <c r="BE316"/>
  <c r="BD316"/>
  <c r="BC316"/>
  <c r="BA316" s="1"/>
  <c r="BB316"/>
  <c r="AX316"/>
  <c r="AW316"/>
  <c r="AV316"/>
  <c r="AC316"/>
  <c r="H316"/>
  <c r="BT315"/>
  <c r="BS315"/>
  <c r="BR315"/>
  <c r="BQ315"/>
  <c r="BP315"/>
  <c r="BO315"/>
  <c r="BN315"/>
  <c r="BM315"/>
  <c r="BK315"/>
  <c r="BJ315"/>
  <c r="BI315"/>
  <c r="BH315"/>
  <c r="BG315"/>
  <c r="BF315"/>
  <c r="BE315"/>
  <c r="BD315"/>
  <c r="BA315" s="1"/>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s="1"/>
  <c r="AZ492" s="1"/>
  <c r="AX492"/>
  <c r="AW492"/>
  <c r="AV492"/>
  <c r="AC492"/>
  <c r="H492"/>
  <c r="G492" s="1"/>
  <c r="BT491"/>
  <c r="BS491"/>
  <c r="BR491"/>
  <c r="BQ491"/>
  <c r="BP491"/>
  <c r="BO491"/>
  <c r="BN491"/>
  <c r="BM491"/>
  <c r="BK491"/>
  <c r="BJ491"/>
  <c r="BI491"/>
  <c r="BH491"/>
  <c r="BG491"/>
  <c r="BF491"/>
  <c r="BE491"/>
  <c r="BD491"/>
  <c r="BC491"/>
  <c r="BB491"/>
  <c r="BA491" s="1"/>
  <c r="AX491"/>
  <c r="AW491"/>
  <c r="AV491"/>
  <c r="AC491"/>
  <c r="H491"/>
  <c r="G491" s="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K489"/>
  <c r="BJ489"/>
  <c r="BI489"/>
  <c r="BH489"/>
  <c r="BG489"/>
  <c r="BF489"/>
  <c r="BE489"/>
  <c r="BD489"/>
  <c r="BC489"/>
  <c r="BA489" s="1"/>
  <c r="BB489"/>
  <c r="AX489"/>
  <c r="AW489"/>
  <c r="AV489"/>
  <c r="AC489"/>
  <c r="H489"/>
  <c r="G489"/>
  <c r="BT488"/>
  <c r="BS488"/>
  <c r="BR488"/>
  <c r="BQ488"/>
  <c r="BP488"/>
  <c r="BO488"/>
  <c r="BN488"/>
  <c r="BL488"/>
  <c r="BM488"/>
  <c r="BK488"/>
  <c r="BJ488"/>
  <c r="BI488"/>
  <c r="BH488"/>
  <c r="BG488"/>
  <c r="BF488"/>
  <c r="BE488"/>
  <c r="BD488"/>
  <c r="BC488"/>
  <c r="BB488"/>
  <c r="BA488"/>
  <c r="AZ488" s="1"/>
  <c r="AX488"/>
  <c r="AW488"/>
  <c r="AV488"/>
  <c r="AC488"/>
  <c r="H488"/>
  <c r="G488"/>
  <c r="BT487"/>
  <c r="BS487"/>
  <c r="BR487"/>
  <c r="BQ487"/>
  <c r="BP487"/>
  <c r="BO487"/>
  <c r="BN487"/>
  <c r="BM487"/>
  <c r="BL487"/>
  <c r="BK487"/>
  <c r="BJ487"/>
  <c r="BI487"/>
  <c r="BH487"/>
  <c r="BG487"/>
  <c r="BF487"/>
  <c r="BE487"/>
  <c r="BD487"/>
  <c r="BA487" s="1"/>
  <c r="BC487"/>
  <c r="BB487"/>
  <c r="AX487"/>
  <c r="AW487"/>
  <c r="AV487"/>
  <c r="AC487"/>
  <c r="H487"/>
  <c r="G487" s="1"/>
  <c r="BT486"/>
  <c r="BS486"/>
  <c r="BR486"/>
  <c r="BQ486"/>
  <c r="BP486"/>
  <c r="BO486"/>
  <c r="BN486"/>
  <c r="BL486" s="1"/>
  <c r="BM486"/>
  <c r="BK486"/>
  <c r="BJ486"/>
  <c r="BI486"/>
  <c r="BH486"/>
  <c r="BG486"/>
  <c r="BF486"/>
  <c r="BE486"/>
  <c r="BD486"/>
  <c r="BC486"/>
  <c r="BB486"/>
  <c r="AX486"/>
  <c r="AW486"/>
  <c r="AV486"/>
  <c r="AC486"/>
  <c r="H486"/>
  <c r="G486" s="1"/>
  <c r="BT485"/>
  <c r="BS485"/>
  <c r="BR485"/>
  <c r="BQ485"/>
  <c r="BP485"/>
  <c r="BO485"/>
  <c r="BL485" s="1"/>
  <c r="BN485"/>
  <c r="BM485"/>
  <c r="BK485"/>
  <c r="BJ485"/>
  <c r="BI485"/>
  <c r="BH485"/>
  <c r="BG485"/>
  <c r="BF485"/>
  <c r="BE485"/>
  <c r="BD485"/>
  <c r="BC485"/>
  <c r="BB485"/>
  <c r="BA485" s="1"/>
  <c r="AX485"/>
  <c r="AW485"/>
  <c r="AV485"/>
  <c r="AC485"/>
  <c r="H485"/>
  <c r="G485"/>
  <c r="BT484"/>
  <c r="BS484"/>
  <c r="BR484"/>
  <c r="BQ484"/>
  <c r="BP484"/>
  <c r="BO484"/>
  <c r="BN484"/>
  <c r="BL484"/>
  <c r="BM484"/>
  <c r="BK484"/>
  <c r="BJ484"/>
  <c r="BI484"/>
  <c r="BH484"/>
  <c r="BG484"/>
  <c r="BF484"/>
  <c r="BE484"/>
  <c r="BD484"/>
  <c r="BC484"/>
  <c r="BB484"/>
  <c r="BA484"/>
  <c r="AX484"/>
  <c r="AW484"/>
  <c r="AV484"/>
  <c r="AC484"/>
  <c r="G484" s="1"/>
  <c r="H484"/>
  <c r="BT483"/>
  <c r="BS483"/>
  <c r="BR483"/>
  <c r="BQ483"/>
  <c r="BP483"/>
  <c r="BO483"/>
  <c r="BL483" s="1"/>
  <c r="BN483"/>
  <c r="BM483"/>
  <c r="BK483"/>
  <c r="BJ483"/>
  <c r="BI483"/>
  <c r="BH483"/>
  <c r="BG483"/>
  <c r="BF483"/>
  <c r="BE483"/>
  <c r="BD483"/>
  <c r="BC483"/>
  <c r="BB483"/>
  <c r="BA483" s="1"/>
  <c r="AZ483" s="1"/>
  <c r="AX483"/>
  <c r="AW483"/>
  <c r="AV483"/>
  <c r="AC483"/>
  <c r="H483"/>
  <c r="G483" s="1"/>
  <c r="BT482"/>
  <c r="BS482"/>
  <c r="BR482"/>
  <c r="BQ482"/>
  <c r="BP482"/>
  <c r="BO482"/>
  <c r="BN482"/>
  <c r="BL482" s="1"/>
  <c r="BM482"/>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s="1"/>
  <c r="AX481"/>
  <c r="AW481"/>
  <c r="AV481"/>
  <c r="AC481"/>
  <c r="H481"/>
  <c r="G481"/>
  <c r="BT480"/>
  <c r="BS480"/>
  <c r="BR480"/>
  <c r="BQ480"/>
  <c r="BP480"/>
  <c r="BO480"/>
  <c r="BN480"/>
  <c r="BM480"/>
  <c r="BL480" s="1"/>
  <c r="BK480"/>
  <c r="BJ480"/>
  <c r="BI480"/>
  <c r="BH480"/>
  <c r="BG480"/>
  <c r="BF480"/>
  <c r="BE480"/>
  <c r="BD480"/>
  <c r="BA480" s="1"/>
  <c r="BC480"/>
  <c r="BB480"/>
  <c r="AX480"/>
  <c r="AW480"/>
  <c r="AV480"/>
  <c r="AC480"/>
  <c r="H480"/>
  <c r="G480" s="1"/>
  <c r="BT479"/>
  <c r="BS479"/>
  <c r="BR479"/>
  <c r="BQ479"/>
  <c r="BP479"/>
  <c r="BO479"/>
  <c r="BN479"/>
  <c r="BL479" s="1"/>
  <c r="BM479"/>
  <c r="BK479"/>
  <c r="BJ479"/>
  <c r="BI479"/>
  <c r="BH479"/>
  <c r="BG479"/>
  <c r="BF479"/>
  <c r="BE479"/>
  <c r="BD479"/>
  <c r="BC479"/>
  <c r="BA479"/>
  <c r="AZ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G478"/>
  <c r="H478"/>
  <c r="BT477"/>
  <c r="BS477"/>
  <c r="BR477"/>
  <c r="BQ477"/>
  <c r="BP477"/>
  <c r="BO477"/>
  <c r="BN477"/>
  <c r="BM477"/>
  <c r="BK477"/>
  <c r="BJ477"/>
  <c r="BI477"/>
  <c r="BH477"/>
  <c r="BG477"/>
  <c r="BF477"/>
  <c r="BE477"/>
  <c r="BD477"/>
  <c r="BC477"/>
  <c r="BB477"/>
  <c r="BA477"/>
  <c r="AX477"/>
  <c r="AW477"/>
  <c r="AV477"/>
  <c r="AC477"/>
  <c r="G477" s="1"/>
  <c r="H477"/>
  <c r="BT476"/>
  <c r="BS476"/>
  <c r="BR476"/>
  <c r="BQ476"/>
  <c r="BP476"/>
  <c r="BO476"/>
  <c r="BN476"/>
  <c r="BM476"/>
  <c r="BL476" s="1"/>
  <c r="BK476"/>
  <c r="BJ476"/>
  <c r="BI476"/>
  <c r="BH476"/>
  <c r="BG476"/>
  <c r="BF476"/>
  <c r="BE476"/>
  <c r="BD476"/>
  <c r="BC476"/>
  <c r="BA476" s="1"/>
  <c r="BB476"/>
  <c r="AX476"/>
  <c r="AW476"/>
  <c r="AV476"/>
  <c r="AC476"/>
  <c r="H476"/>
  <c r="G476"/>
  <c r="BT475"/>
  <c r="BS475"/>
  <c r="BR475"/>
  <c r="BQ475"/>
  <c r="BP475"/>
  <c r="BO475"/>
  <c r="BN475"/>
  <c r="BM475"/>
  <c r="BL475" s="1"/>
  <c r="BK475"/>
  <c r="BJ475"/>
  <c r="BI475"/>
  <c r="BH475"/>
  <c r="BG475"/>
  <c r="BF475"/>
  <c r="BE475"/>
  <c r="BA475" s="1"/>
  <c r="AZ475" s="1"/>
  <c r="BD475"/>
  <c r="BC475"/>
  <c r="BB475"/>
  <c r="AX475"/>
  <c r="AW475"/>
  <c r="AV475"/>
  <c r="AC475"/>
  <c r="H475"/>
  <c r="G475"/>
  <c r="BT474"/>
  <c r="BS474"/>
  <c r="BR474"/>
  <c r="BQ474"/>
  <c r="BP474"/>
  <c r="BO474"/>
  <c r="BN474"/>
  <c r="BM474"/>
  <c r="BL474"/>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A473" s="1"/>
  <c r="BC473"/>
  <c r="BB473"/>
  <c r="AX473"/>
  <c r="AW473"/>
  <c r="AV473"/>
  <c r="AC473"/>
  <c r="G473"/>
  <c r="H473"/>
  <c r="BT472"/>
  <c r="BS472"/>
  <c r="BR472"/>
  <c r="BQ472"/>
  <c r="BP472"/>
  <c r="BO472"/>
  <c r="BN472"/>
  <c r="BM472"/>
  <c r="BK472"/>
  <c r="BJ472"/>
  <c r="BI472"/>
  <c r="BH472"/>
  <c r="BG472"/>
  <c r="BF472"/>
  <c r="BE472"/>
  <c r="BD472"/>
  <c r="BC472"/>
  <c r="BB472"/>
  <c r="BA472" s="1"/>
  <c r="AX472"/>
  <c r="AW472"/>
  <c r="AV472"/>
  <c r="AC472"/>
  <c r="G472" s="1"/>
  <c r="H472"/>
  <c r="BT471"/>
  <c r="BS471"/>
  <c r="BR471"/>
  <c r="BQ471"/>
  <c r="BP471"/>
  <c r="BO471"/>
  <c r="BL471" s="1"/>
  <c r="BN471"/>
  <c r="BM471"/>
  <c r="BK471"/>
  <c r="BJ471"/>
  <c r="BI471"/>
  <c r="BH471"/>
  <c r="BG471"/>
  <c r="BF471"/>
  <c r="BE471"/>
  <c r="BD471"/>
  <c r="BC471"/>
  <c r="BB471"/>
  <c r="AX471"/>
  <c r="AW471"/>
  <c r="AV471"/>
  <c r="AC471"/>
  <c r="H471"/>
  <c r="G471" s="1"/>
  <c r="BT470"/>
  <c r="BS470"/>
  <c r="BR470"/>
  <c r="BQ470"/>
  <c r="BP470"/>
  <c r="BO470"/>
  <c r="BN470"/>
  <c r="BM470"/>
  <c r="BK470"/>
  <c r="BJ470"/>
  <c r="BI470"/>
  <c r="BH470"/>
  <c r="BG470"/>
  <c r="BF470"/>
  <c r="BE470"/>
  <c r="BD470"/>
  <c r="BC470"/>
  <c r="BB470"/>
  <c r="BA470" s="1"/>
  <c r="AX470"/>
  <c r="AW470"/>
  <c r="AV470"/>
  <c r="AC470"/>
  <c r="H470"/>
  <c r="G470"/>
  <c r="BT469"/>
  <c r="BS469"/>
  <c r="BR469"/>
  <c r="BQ469"/>
  <c r="BP469"/>
  <c r="BO469"/>
  <c r="BN469"/>
  <c r="BL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A468"/>
  <c r="BB468"/>
  <c r="AX468"/>
  <c r="AW468"/>
  <c r="AV468"/>
  <c r="AC468"/>
  <c r="H468"/>
  <c r="G468"/>
  <c r="BT467"/>
  <c r="BS467"/>
  <c r="BR467"/>
  <c r="BQ467"/>
  <c r="BP467"/>
  <c r="BO467"/>
  <c r="BN467"/>
  <c r="BM467"/>
  <c r="BL467"/>
  <c r="BK467"/>
  <c r="BJ467"/>
  <c r="BI467"/>
  <c r="BH467"/>
  <c r="BG467"/>
  <c r="BF467"/>
  <c r="BE467"/>
  <c r="BD467"/>
  <c r="BC467"/>
  <c r="BB467"/>
  <c r="AX467"/>
  <c r="AW467"/>
  <c r="AV467"/>
  <c r="AC467"/>
  <c r="H467"/>
  <c r="G467" s="1"/>
  <c r="BT466"/>
  <c r="BS466"/>
  <c r="BR466"/>
  <c r="BQ466"/>
  <c r="BP466"/>
  <c r="BO466"/>
  <c r="BN466"/>
  <c r="BM466"/>
  <c r="BK466"/>
  <c r="BJ466"/>
  <c r="BI466"/>
  <c r="BH466"/>
  <c r="BG466"/>
  <c r="BF466"/>
  <c r="BE466"/>
  <c r="BD466"/>
  <c r="BA466" s="1"/>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G465"/>
  <c r="BT464"/>
  <c r="BS464"/>
  <c r="BR464"/>
  <c r="BQ464"/>
  <c r="BP464"/>
  <c r="BL464" s="1"/>
  <c r="BO464"/>
  <c r="BN464"/>
  <c r="BM464"/>
  <c r="BK464"/>
  <c r="BJ464"/>
  <c r="BI464"/>
  <c r="BH464"/>
  <c r="BG464"/>
  <c r="BF464"/>
  <c r="BE464"/>
  <c r="BD464"/>
  <c r="BC464"/>
  <c r="BB464"/>
  <c r="BA464"/>
  <c r="AX464"/>
  <c r="AW464"/>
  <c r="AV464"/>
  <c r="AC464"/>
  <c r="H464"/>
  <c r="G464" s="1"/>
  <c r="BT463"/>
  <c r="BS463"/>
  <c r="BR463"/>
  <c r="BQ463"/>
  <c r="BP463"/>
  <c r="BO463"/>
  <c r="BN463"/>
  <c r="BM463"/>
  <c r="BK463"/>
  <c r="BJ463"/>
  <c r="BI463"/>
  <c r="BH463"/>
  <c r="BG463"/>
  <c r="BF463"/>
  <c r="BE463"/>
  <c r="BD463"/>
  <c r="BC463"/>
  <c r="BA463"/>
  <c r="BB463"/>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G462" s="1"/>
  <c r="H462"/>
  <c r="BT461"/>
  <c r="BS461"/>
  <c r="BR461"/>
  <c r="BQ461"/>
  <c r="BP461"/>
  <c r="BO461"/>
  <c r="BN461"/>
  <c r="BM461"/>
  <c r="BK461"/>
  <c r="BJ461"/>
  <c r="BI461"/>
  <c r="BH461"/>
  <c r="BG461"/>
  <c r="BF461"/>
  <c r="BE461"/>
  <c r="BD461"/>
  <c r="BC461"/>
  <c r="BB461"/>
  <c r="BA461" s="1"/>
  <c r="AX461"/>
  <c r="AW461"/>
  <c r="AV461"/>
  <c r="AC461"/>
  <c r="H461"/>
  <c r="G461"/>
  <c r="BT460"/>
  <c r="BS460"/>
  <c r="BR460"/>
  <c r="BQ460"/>
  <c r="BP460"/>
  <c r="BO460"/>
  <c r="BN460"/>
  <c r="BM460"/>
  <c r="BL460"/>
  <c r="BK460"/>
  <c r="BJ460"/>
  <c r="BI460"/>
  <c r="BH460"/>
  <c r="BG460"/>
  <c r="BF460"/>
  <c r="BE460"/>
  <c r="BD460"/>
  <c r="BA460" s="1"/>
  <c r="BC460"/>
  <c r="BB460"/>
  <c r="AX460"/>
  <c r="AW460"/>
  <c r="AV460"/>
  <c r="AC460"/>
  <c r="G460"/>
  <c r="H460"/>
  <c r="BT459"/>
  <c r="BS459"/>
  <c r="BR459"/>
  <c r="BQ459"/>
  <c r="BP459"/>
  <c r="BO459"/>
  <c r="BN459"/>
  <c r="BL459" s="1"/>
  <c r="BM459"/>
  <c r="BK459"/>
  <c r="BJ459"/>
  <c r="BI459"/>
  <c r="BH459"/>
  <c r="BG459"/>
  <c r="BF459"/>
  <c r="BE459"/>
  <c r="BD459"/>
  <c r="BC459"/>
  <c r="BB459"/>
  <c r="BA459" s="1"/>
  <c r="AZ459" s="1"/>
  <c r="AX459"/>
  <c r="AW459"/>
  <c r="AV459"/>
  <c r="AC459"/>
  <c r="H459"/>
  <c r="BT458"/>
  <c r="BS458"/>
  <c r="BR458"/>
  <c r="BQ458"/>
  <c r="BP458"/>
  <c r="BO458"/>
  <c r="BN458"/>
  <c r="BM458"/>
  <c r="BL458"/>
  <c r="BK458"/>
  <c r="BJ458"/>
  <c r="BI458"/>
  <c r="BH458"/>
  <c r="BG458"/>
  <c r="BF458"/>
  <c r="BE458"/>
  <c r="BD458"/>
  <c r="BA458" s="1"/>
  <c r="AZ458" s="1"/>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s="1"/>
  <c r="BK455"/>
  <c r="BJ455"/>
  <c r="BI455"/>
  <c r="BH455"/>
  <c r="BG455"/>
  <c r="BF455"/>
  <c r="BE455"/>
  <c r="BD455"/>
  <c r="BC455"/>
  <c r="BB455"/>
  <c r="BA455" s="1"/>
  <c r="AX455"/>
  <c r="AW455"/>
  <c r="AV455"/>
  <c r="AC455"/>
  <c r="H455"/>
  <c r="G455"/>
  <c r="BT454"/>
  <c r="BS454"/>
  <c r="BR454"/>
  <c r="BQ454"/>
  <c r="BP454"/>
  <c r="BO454"/>
  <c r="BN454"/>
  <c r="BM454"/>
  <c r="BK454"/>
  <c r="BJ454"/>
  <c r="BI454"/>
  <c r="BH454"/>
  <c r="BG454"/>
  <c r="BF454"/>
  <c r="BE454"/>
  <c r="BD454"/>
  <c r="BC454"/>
  <c r="BB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s="1"/>
  <c r="BK452"/>
  <c r="BJ452"/>
  <c r="BI452"/>
  <c r="BH452"/>
  <c r="BG452"/>
  <c r="BF452"/>
  <c r="BE452"/>
  <c r="BD452"/>
  <c r="BC452"/>
  <c r="BB452"/>
  <c r="BA452" s="1"/>
  <c r="AX452"/>
  <c r="AW452"/>
  <c r="AV452"/>
  <c r="AC452"/>
  <c r="G452"/>
  <c r="H452"/>
  <c r="BT451"/>
  <c r="BS451"/>
  <c r="BR451"/>
  <c r="BQ451"/>
  <c r="BP451"/>
  <c r="BO451"/>
  <c r="BN451"/>
  <c r="BL451" s="1"/>
  <c r="BM451"/>
  <c r="BK451"/>
  <c r="BJ451"/>
  <c r="BI451"/>
  <c r="BH451"/>
  <c r="BG451"/>
  <c r="BF451"/>
  <c r="BE451"/>
  <c r="BD451"/>
  <c r="BC451"/>
  <c r="BB451"/>
  <c r="BA451" s="1"/>
  <c r="AX451"/>
  <c r="AW451"/>
  <c r="AV451"/>
  <c r="AC451"/>
  <c r="H451"/>
  <c r="G451" s="1"/>
  <c r="BT450"/>
  <c r="BS450"/>
  <c r="BR450"/>
  <c r="BQ450"/>
  <c r="BP450"/>
  <c r="BO450"/>
  <c r="BN450"/>
  <c r="BM450"/>
  <c r="BL450" s="1"/>
  <c r="BK450"/>
  <c r="BJ450"/>
  <c r="BI450"/>
  <c r="BH450"/>
  <c r="BG450"/>
  <c r="BF450"/>
  <c r="BE450"/>
  <c r="BD450"/>
  <c r="BC450"/>
  <c r="BB450"/>
  <c r="BA450" s="1"/>
  <c r="AX450"/>
  <c r="AW450"/>
  <c r="AV450"/>
  <c r="AC450"/>
  <c r="G450" s="1"/>
  <c r="H450"/>
  <c r="BT449"/>
  <c r="BS449"/>
  <c r="BR449"/>
  <c r="BQ449"/>
  <c r="BP449"/>
  <c r="BO449"/>
  <c r="BL449" s="1"/>
  <c r="BN449"/>
  <c r="BM449"/>
  <c r="BK449"/>
  <c r="BJ449"/>
  <c r="BI449"/>
  <c r="BH449"/>
  <c r="BG449"/>
  <c r="BF449"/>
  <c r="BE449"/>
  <c r="BD449"/>
  <c r="BC449"/>
  <c r="BA449" s="1"/>
  <c r="BB449"/>
  <c r="AX449"/>
  <c r="AW449"/>
  <c r="AV449"/>
  <c r="AC449"/>
  <c r="H449"/>
  <c r="G449"/>
  <c r="BT448"/>
  <c r="BS448"/>
  <c r="BR448"/>
  <c r="BQ448"/>
  <c r="BP448"/>
  <c r="BO448"/>
  <c r="BN448"/>
  <c r="BL448"/>
  <c r="BM448"/>
  <c r="BK448"/>
  <c r="BJ448"/>
  <c r="BI448"/>
  <c r="BH448"/>
  <c r="BG448"/>
  <c r="BF448"/>
  <c r="BE448"/>
  <c r="BD448"/>
  <c r="BC448"/>
  <c r="BB448"/>
  <c r="BA448"/>
  <c r="AX448"/>
  <c r="AW448"/>
  <c r="AV448"/>
  <c r="AC448"/>
  <c r="H448"/>
  <c r="G448" s="1"/>
  <c r="BT447"/>
  <c r="BS447"/>
  <c r="BR447"/>
  <c r="BQ447"/>
  <c r="BP447"/>
  <c r="BO447"/>
  <c r="BN447"/>
  <c r="BM447"/>
  <c r="BL447" s="1"/>
  <c r="BK447"/>
  <c r="BJ447"/>
  <c r="BI447"/>
  <c r="BH447"/>
  <c r="BG447"/>
  <c r="BF447"/>
  <c r="BE447"/>
  <c r="BD447"/>
  <c r="BC447"/>
  <c r="BB447"/>
  <c r="BA447" s="1"/>
  <c r="AX447"/>
  <c r="AW447"/>
  <c r="AV447"/>
  <c r="AC447"/>
  <c r="H447"/>
  <c r="G447" s="1"/>
  <c r="BT446"/>
  <c r="BS446"/>
  <c r="BR446"/>
  <c r="BQ446"/>
  <c r="BP446"/>
  <c r="BO446"/>
  <c r="BN446"/>
  <c r="BM446"/>
  <c r="BL446" s="1"/>
  <c r="BK446"/>
  <c r="BJ446"/>
  <c r="BI446"/>
  <c r="BH446"/>
  <c r="BG446"/>
  <c r="BF446"/>
  <c r="BE446"/>
  <c r="BD446"/>
  <c r="BC446"/>
  <c r="BA446"/>
  <c r="BB446"/>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G445" s="1"/>
  <c r="H445"/>
  <c r="BT444"/>
  <c r="BS444"/>
  <c r="BR444"/>
  <c r="BQ444"/>
  <c r="BP444"/>
  <c r="BO444"/>
  <c r="BL444" s="1"/>
  <c r="BN444"/>
  <c r="BM444"/>
  <c r="BK444"/>
  <c r="BJ444"/>
  <c r="BI444"/>
  <c r="BH444"/>
  <c r="BG444"/>
  <c r="BF444"/>
  <c r="BE444"/>
  <c r="BD444"/>
  <c r="BC444"/>
  <c r="BA444" s="1"/>
  <c r="BB444"/>
  <c r="AX444"/>
  <c r="AW444"/>
  <c r="AV444"/>
  <c r="AC444"/>
  <c r="H444"/>
  <c r="G444" s="1"/>
  <c r="BT443"/>
  <c r="BS443"/>
  <c r="BR443"/>
  <c r="BQ443"/>
  <c r="BP443"/>
  <c r="BO443"/>
  <c r="BN443"/>
  <c r="BM443"/>
  <c r="BL443" s="1"/>
  <c r="BK443"/>
  <c r="BJ443"/>
  <c r="BI443"/>
  <c r="BH443"/>
  <c r="BG443"/>
  <c r="BF443"/>
  <c r="BE443"/>
  <c r="BD443"/>
  <c r="BC443"/>
  <c r="BB443"/>
  <c r="BA443"/>
  <c r="AX443"/>
  <c r="AW443"/>
  <c r="AV443"/>
  <c r="AC443"/>
  <c r="G443" s="1"/>
  <c r="H443"/>
  <c r="BT442"/>
  <c r="BS442"/>
  <c r="BR442"/>
  <c r="BQ442"/>
  <c r="BP442"/>
  <c r="BO442"/>
  <c r="BL442" s="1"/>
  <c r="BN442"/>
  <c r="BM442"/>
  <c r="BK442"/>
  <c r="BJ442"/>
  <c r="BI442"/>
  <c r="BH442"/>
  <c r="BG442"/>
  <c r="BF442"/>
  <c r="BE442"/>
  <c r="BD442"/>
  <c r="BC442"/>
  <c r="BB442"/>
  <c r="BA442" s="1"/>
  <c r="AZ442" s="1"/>
  <c r="AX442"/>
  <c r="AW442"/>
  <c r="AV442"/>
  <c r="AC442"/>
  <c r="H442"/>
  <c r="G442" s="1"/>
  <c r="BT441"/>
  <c r="BS441"/>
  <c r="BR441"/>
  <c r="BQ441"/>
  <c r="BP441"/>
  <c r="BO441"/>
  <c r="BN441"/>
  <c r="BL441" s="1"/>
  <c r="BM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G440" s="1"/>
  <c r="H440"/>
  <c r="BT439"/>
  <c r="BS439"/>
  <c r="BR439"/>
  <c r="BQ439"/>
  <c r="BP439"/>
  <c r="BO439"/>
  <c r="BN439"/>
  <c r="BM439"/>
  <c r="BL439" s="1"/>
  <c r="BK439"/>
  <c r="BJ439"/>
  <c r="BI439"/>
  <c r="BH439"/>
  <c r="BG439"/>
  <c r="BF439"/>
  <c r="BE439"/>
  <c r="BD439"/>
  <c r="BC439"/>
  <c r="BA439" s="1"/>
  <c r="BB439"/>
  <c r="AX439"/>
  <c r="AW439"/>
  <c r="AV439"/>
  <c r="AC439"/>
  <c r="H439"/>
  <c r="G439" s="1"/>
  <c r="BT438"/>
  <c r="BS438"/>
  <c r="BR438"/>
  <c r="BQ438"/>
  <c r="BP438"/>
  <c r="BO438"/>
  <c r="BN438"/>
  <c r="BL438" s="1"/>
  <c r="BM438"/>
  <c r="BK438"/>
  <c r="BJ438"/>
  <c r="BI438"/>
  <c r="BH438"/>
  <c r="BG438"/>
  <c r="BF438"/>
  <c r="BE438"/>
  <c r="BD438"/>
  <c r="BC438"/>
  <c r="BB438"/>
  <c r="BA438" s="1"/>
  <c r="AX438"/>
  <c r="AW438"/>
  <c r="AV438"/>
  <c r="AC438"/>
  <c r="H438"/>
  <c r="G438"/>
  <c r="BT437"/>
  <c r="BS437"/>
  <c r="BR437"/>
  <c r="BQ437"/>
  <c r="BP437"/>
  <c r="BO437"/>
  <c r="BN437"/>
  <c r="BM437"/>
  <c r="BL437" s="1"/>
  <c r="BK437"/>
  <c r="BJ437"/>
  <c r="BI437"/>
  <c r="BH437"/>
  <c r="BG437"/>
  <c r="BF437"/>
  <c r="BE437"/>
  <c r="BD437"/>
  <c r="BC437"/>
  <c r="BB437"/>
  <c r="BA437"/>
  <c r="AX437"/>
  <c r="AW437"/>
  <c r="AV437"/>
  <c r="AC437"/>
  <c r="G437" s="1"/>
  <c r="H437"/>
  <c r="BT436"/>
  <c r="BS436"/>
  <c r="BR436"/>
  <c r="BQ436"/>
  <c r="BP436"/>
  <c r="BO436"/>
  <c r="BN436"/>
  <c r="BM436"/>
  <c r="BL436" s="1"/>
  <c r="BK436"/>
  <c r="BJ436"/>
  <c r="BI436"/>
  <c r="BH436"/>
  <c r="BG436"/>
  <c r="BF436"/>
  <c r="BE436"/>
  <c r="BD436"/>
  <c r="BC436"/>
  <c r="BA436" s="1"/>
  <c r="BB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G434"/>
  <c r="H434"/>
  <c r="BT433"/>
  <c r="BS433"/>
  <c r="BR433"/>
  <c r="BQ433"/>
  <c r="BP433"/>
  <c r="BO433"/>
  <c r="BN433"/>
  <c r="BL433" s="1"/>
  <c r="BM433"/>
  <c r="BK433"/>
  <c r="BJ433"/>
  <c r="BI433"/>
  <c r="BH433"/>
  <c r="BG433"/>
  <c r="BF433"/>
  <c r="BE433"/>
  <c r="BD433"/>
  <c r="BC433"/>
  <c r="BA433"/>
  <c r="BB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s="1"/>
  <c r="BT431"/>
  <c r="BS431"/>
  <c r="BR431"/>
  <c r="BQ431"/>
  <c r="BP431"/>
  <c r="BO431"/>
  <c r="BN431"/>
  <c r="BM431"/>
  <c r="BL431" s="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A429" s="1"/>
  <c r="BC429"/>
  <c r="BB429"/>
  <c r="AX429"/>
  <c r="AW429"/>
  <c r="AV429"/>
  <c r="AC429"/>
  <c r="G429"/>
  <c r="H429"/>
  <c r="BT428"/>
  <c r="BS428"/>
  <c r="BR428"/>
  <c r="BQ428"/>
  <c r="BP428"/>
  <c r="BO428"/>
  <c r="BN428"/>
  <c r="BM428"/>
  <c r="BL428" s="1"/>
  <c r="BK428"/>
  <c r="BJ428"/>
  <c r="BI428"/>
  <c r="BH428"/>
  <c r="BG428"/>
  <c r="BF428"/>
  <c r="BE428"/>
  <c r="BD428"/>
  <c r="BC428"/>
  <c r="BA428"/>
  <c r="BB428"/>
  <c r="AX428"/>
  <c r="AW428"/>
  <c r="AV428"/>
  <c r="AC428"/>
  <c r="H428"/>
  <c r="G428"/>
  <c r="BT427"/>
  <c r="BS427"/>
  <c r="BR427"/>
  <c r="BQ427"/>
  <c r="BP427"/>
  <c r="BO427"/>
  <c r="BN427"/>
  <c r="BM427"/>
  <c r="BL427"/>
  <c r="BK427"/>
  <c r="BJ427"/>
  <c r="BI427"/>
  <c r="BH427"/>
  <c r="BG427"/>
  <c r="BF427"/>
  <c r="BE427"/>
  <c r="BD427"/>
  <c r="BA427" s="1"/>
  <c r="BC427"/>
  <c r="BB427"/>
  <c r="AX427"/>
  <c r="AW427"/>
  <c r="AV427"/>
  <c r="AC427"/>
  <c r="H427"/>
  <c r="G427" s="1"/>
  <c r="BT426"/>
  <c r="BS426"/>
  <c r="BR426"/>
  <c r="BQ426"/>
  <c r="BP426"/>
  <c r="BO426"/>
  <c r="BN426"/>
  <c r="BM426"/>
  <c r="BL426" s="1"/>
  <c r="BK426"/>
  <c r="BJ426"/>
  <c r="BI426"/>
  <c r="BH426"/>
  <c r="BG426"/>
  <c r="BF426"/>
  <c r="BE426"/>
  <c r="BD426"/>
  <c r="BC426"/>
  <c r="BB426"/>
  <c r="BA426" s="1"/>
  <c r="AX426"/>
  <c r="AW426"/>
  <c r="AV426"/>
  <c r="AC426"/>
  <c r="H426"/>
  <c r="G426"/>
  <c r="BT425"/>
  <c r="BS425"/>
  <c r="BR425"/>
  <c r="BQ425"/>
  <c r="BP425"/>
  <c r="BO425"/>
  <c r="BN425"/>
  <c r="BM425"/>
  <c r="BL425"/>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BA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L422" s="1"/>
  <c r="BN422"/>
  <c r="BM422"/>
  <c r="BK422"/>
  <c r="BJ422"/>
  <c r="BI422"/>
  <c r="BH422"/>
  <c r="BG422"/>
  <c r="BF422"/>
  <c r="BE422"/>
  <c r="BD422"/>
  <c r="BC422"/>
  <c r="BB422"/>
  <c r="BA422" s="1"/>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A420" s="1"/>
  <c r="AZ420" s="1"/>
  <c r="BC420"/>
  <c r="BB420"/>
  <c r="AX420"/>
  <c r="AW420"/>
  <c r="AV420"/>
  <c r="AC420"/>
  <c r="H420"/>
  <c r="G420" s="1"/>
  <c r="BT419"/>
  <c r="BS419"/>
  <c r="BR419"/>
  <c r="BQ419"/>
  <c r="BP419"/>
  <c r="BO419"/>
  <c r="BL419" s="1"/>
  <c r="BN419"/>
  <c r="BM419"/>
  <c r="BK419"/>
  <c r="BJ419"/>
  <c r="BI419"/>
  <c r="BH419"/>
  <c r="BG419"/>
  <c r="BF419"/>
  <c r="BE419"/>
  <c r="BD419"/>
  <c r="BC419"/>
  <c r="BB419"/>
  <c r="BA419" s="1"/>
  <c r="AZ419" s="1"/>
  <c r="AX419"/>
  <c r="AW419"/>
  <c r="AV419"/>
  <c r="AC419"/>
  <c r="H419"/>
  <c r="G419" s="1"/>
  <c r="BT418"/>
  <c r="BS418"/>
  <c r="BR418"/>
  <c r="BQ418"/>
  <c r="BP418"/>
  <c r="BO418"/>
  <c r="BN418"/>
  <c r="BM418"/>
  <c r="BL418" s="1"/>
  <c r="BK418"/>
  <c r="BJ418"/>
  <c r="BI418"/>
  <c r="BH418"/>
  <c r="BG418"/>
  <c r="BF418"/>
  <c r="BE418"/>
  <c r="BD418"/>
  <c r="BC418"/>
  <c r="BB418"/>
  <c r="BA418" s="1"/>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G417" s="1"/>
  <c r="BT416"/>
  <c r="BS416"/>
  <c r="BR416"/>
  <c r="BQ416"/>
  <c r="BP416"/>
  <c r="BO416"/>
  <c r="BL416" s="1"/>
  <c r="BN416"/>
  <c r="BM416"/>
  <c r="BK416"/>
  <c r="BJ416"/>
  <c r="BI416"/>
  <c r="BH416"/>
  <c r="BG416"/>
  <c r="BF416"/>
  <c r="BE416"/>
  <c r="BD416"/>
  <c r="BC416"/>
  <c r="BB416"/>
  <c r="BA416" s="1"/>
  <c r="AZ416" s="1"/>
  <c r="AX416"/>
  <c r="AW416"/>
  <c r="AV416"/>
  <c r="AC416"/>
  <c r="H416"/>
  <c r="G416" s="1"/>
  <c r="BT415"/>
  <c r="BS415"/>
  <c r="BR415"/>
  <c r="BQ415"/>
  <c r="BP415"/>
  <c r="BO415"/>
  <c r="BN415"/>
  <c r="BM415"/>
  <c r="BL415" s="1"/>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s="1"/>
  <c r="AZ414" s="1"/>
  <c r="AX414"/>
  <c r="AW414"/>
  <c r="AV414"/>
  <c r="AC414"/>
  <c r="H414"/>
  <c r="G414"/>
  <c r="BT413"/>
  <c r="BS413"/>
  <c r="BR413"/>
  <c r="BQ413"/>
  <c r="BP413"/>
  <c r="BO413"/>
  <c r="BN413"/>
  <c r="BM413"/>
  <c r="BL413" s="1"/>
  <c r="BK413"/>
  <c r="BJ413"/>
  <c r="BI413"/>
  <c r="BH413"/>
  <c r="BG413"/>
  <c r="BF413"/>
  <c r="BE413"/>
  <c r="BD413"/>
  <c r="BA413" s="1"/>
  <c r="AZ413" s="1"/>
  <c r="BC413"/>
  <c r="BB413"/>
  <c r="AX413"/>
  <c r="AW413"/>
  <c r="AV413"/>
  <c r="AC413"/>
  <c r="H413"/>
  <c r="G413" s="1"/>
  <c r="BT412"/>
  <c r="BS412"/>
  <c r="BR412"/>
  <c r="BQ412"/>
  <c r="BP412"/>
  <c r="BO412"/>
  <c r="BL412" s="1"/>
  <c r="BN412"/>
  <c r="BM412"/>
  <c r="BK412"/>
  <c r="BJ412"/>
  <c r="BI412"/>
  <c r="BH412"/>
  <c r="BG412"/>
  <c r="BF412"/>
  <c r="BE412"/>
  <c r="BD412"/>
  <c r="BC412"/>
  <c r="BB412"/>
  <c r="BA412" s="1"/>
  <c r="AX412"/>
  <c r="AW412"/>
  <c r="AV412"/>
  <c r="AC412"/>
  <c r="H412"/>
  <c r="G412"/>
  <c r="BT411"/>
  <c r="BS411"/>
  <c r="BR411"/>
  <c r="BQ411"/>
  <c r="BP411"/>
  <c r="BO411"/>
  <c r="BN411"/>
  <c r="BM411"/>
  <c r="BL411" s="1"/>
  <c r="BK411"/>
  <c r="BJ411"/>
  <c r="BI411"/>
  <c r="BH411"/>
  <c r="BG411"/>
  <c r="BF411"/>
  <c r="BE411"/>
  <c r="BD411"/>
  <c r="BC411"/>
  <c r="BB411"/>
  <c r="BA411" s="1"/>
  <c r="AX411"/>
  <c r="AW411"/>
  <c r="AV411"/>
  <c r="AC411"/>
  <c r="H411"/>
  <c r="G411"/>
  <c r="BT410"/>
  <c r="BS410"/>
  <c r="BR410"/>
  <c r="BQ410"/>
  <c r="BP410"/>
  <c r="BO410"/>
  <c r="BN410"/>
  <c r="BM410"/>
  <c r="BL410" s="1"/>
  <c r="BK410"/>
  <c r="BJ410"/>
  <c r="BI410"/>
  <c r="BH410"/>
  <c r="BG410"/>
  <c r="BF410"/>
  <c r="BE410"/>
  <c r="BD410"/>
  <c r="BA410" s="1"/>
  <c r="AZ410" s="1"/>
  <c r="BC410"/>
  <c r="BB410"/>
  <c r="AX410"/>
  <c r="AW410"/>
  <c r="AV410"/>
  <c r="AC410"/>
  <c r="H410"/>
  <c r="G410" s="1"/>
  <c r="BT409"/>
  <c r="BS409"/>
  <c r="BR409"/>
  <c r="BQ409"/>
  <c r="BP409"/>
  <c r="BO409"/>
  <c r="BL409" s="1"/>
  <c r="BN409"/>
  <c r="BM409"/>
  <c r="BK409"/>
  <c r="BJ409"/>
  <c r="BI409"/>
  <c r="BH409"/>
  <c r="BG409"/>
  <c r="BF409"/>
  <c r="BE409"/>
  <c r="BD409"/>
  <c r="BC409"/>
  <c r="BB409"/>
  <c r="BA409" s="1"/>
  <c r="AZ409" s="1"/>
  <c r="AX409"/>
  <c r="AW409"/>
  <c r="AV409"/>
  <c r="AC409"/>
  <c r="H409"/>
  <c r="G409" s="1"/>
  <c r="BT408"/>
  <c r="BS408"/>
  <c r="BR408"/>
  <c r="BQ408"/>
  <c r="BP408"/>
  <c r="BO408"/>
  <c r="BN408"/>
  <c r="BM408"/>
  <c r="BL408" s="1"/>
  <c r="BK408"/>
  <c r="BJ408"/>
  <c r="BI408"/>
  <c r="BH408"/>
  <c r="BG408"/>
  <c r="BF408"/>
  <c r="BE408"/>
  <c r="BD408"/>
  <c r="BC408"/>
  <c r="BB408"/>
  <c r="BA408" s="1"/>
  <c r="AX408"/>
  <c r="AW408"/>
  <c r="AV408"/>
  <c r="AC408"/>
  <c r="H408"/>
  <c r="G408"/>
  <c r="BT407"/>
  <c r="BS407"/>
  <c r="BR407"/>
  <c r="BQ407"/>
  <c r="BP407"/>
  <c r="BO407"/>
  <c r="BN407"/>
  <c r="BM407"/>
  <c r="BL407" s="1"/>
  <c r="BK407"/>
  <c r="BJ407"/>
  <c r="BI407"/>
  <c r="BH407"/>
  <c r="BG407"/>
  <c r="BF407"/>
  <c r="BE407"/>
  <c r="BD407"/>
  <c r="BA407" s="1"/>
  <c r="AZ407" s="1"/>
  <c r="BC407"/>
  <c r="BB407"/>
  <c r="AX407"/>
  <c r="AW407"/>
  <c r="AV407"/>
  <c r="AC407"/>
  <c r="H407"/>
  <c r="G407" s="1"/>
  <c r="BT406"/>
  <c r="BS406"/>
  <c r="BR406"/>
  <c r="BQ406"/>
  <c r="BP406"/>
  <c r="BO406"/>
  <c r="BL406" s="1"/>
  <c r="BN406"/>
  <c r="BM406"/>
  <c r="BK406"/>
  <c r="BJ406"/>
  <c r="BI406"/>
  <c r="BH406"/>
  <c r="BG406"/>
  <c r="BF406"/>
  <c r="BE406"/>
  <c r="BD406"/>
  <c r="BC406"/>
  <c r="BB406"/>
  <c r="BA406" s="1"/>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L404" s="1"/>
  <c r="BN404"/>
  <c r="BM404"/>
  <c r="BK404"/>
  <c r="BJ404"/>
  <c r="BI404"/>
  <c r="BH404"/>
  <c r="BG404"/>
  <c r="BF404"/>
  <c r="BE404"/>
  <c r="BD404"/>
  <c r="BA404"/>
  <c r="BC404"/>
  <c r="BB404"/>
  <c r="AX404"/>
  <c r="AW404"/>
  <c r="AV404"/>
  <c r="AC404"/>
  <c r="H404"/>
  <c r="G404" s="1"/>
  <c r="BT403"/>
  <c r="BS403"/>
  <c r="BR403"/>
  <c r="BQ403"/>
  <c r="BP403"/>
  <c r="BO403"/>
  <c r="BL403"/>
  <c r="BN403"/>
  <c r="BM403"/>
  <c r="BK403"/>
  <c r="BJ403"/>
  <c r="BI403"/>
  <c r="BH403"/>
  <c r="BG403"/>
  <c r="BF403"/>
  <c r="BE403"/>
  <c r="BD403"/>
  <c r="BC403"/>
  <c r="BA403" s="1"/>
  <c r="BB403"/>
  <c r="AX403"/>
  <c r="AW403"/>
  <c r="AV403"/>
  <c r="AC403"/>
  <c r="H403"/>
  <c r="G403"/>
  <c r="BT402"/>
  <c r="BS402"/>
  <c r="BR402"/>
  <c r="BQ402"/>
  <c r="BP402"/>
  <c r="BO402"/>
  <c r="BN402"/>
  <c r="BM402"/>
  <c r="BL402"/>
  <c r="BK402"/>
  <c r="BJ402"/>
  <c r="BI402"/>
  <c r="BH402"/>
  <c r="BG402"/>
  <c r="BF402"/>
  <c r="BE402"/>
  <c r="BD402"/>
  <c r="BA402" s="1"/>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G401"/>
  <c r="BT400"/>
  <c r="BS400"/>
  <c r="BR400"/>
  <c r="BQ400"/>
  <c r="BP400"/>
  <c r="BO400"/>
  <c r="BN400"/>
  <c r="BM400"/>
  <c r="BK400"/>
  <c r="BJ400"/>
  <c r="BI400"/>
  <c r="BH400"/>
  <c r="BG400"/>
  <c r="BF400"/>
  <c r="BE400"/>
  <c r="BD400"/>
  <c r="BA400" s="1"/>
  <c r="BC400"/>
  <c r="BB400"/>
  <c r="AX400"/>
  <c r="AW400"/>
  <c r="AV400"/>
  <c r="AC400"/>
  <c r="H400"/>
  <c r="BT399"/>
  <c r="BS399"/>
  <c r="BR399"/>
  <c r="BQ399"/>
  <c r="BP399"/>
  <c r="BO399"/>
  <c r="BL399" s="1"/>
  <c r="BN399"/>
  <c r="BM399"/>
  <c r="BK399"/>
  <c r="BJ399"/>
  <c r="BI399"/>
  <c r="BH399"/>
  <c r="BG399"/>
  <c r="BF399"/>
  <c r="BE399"/>
  <c r="BD399"/>
  <c r="BC399"/>
  <c r="BB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H60" i="40"/>
  <c r="I60"/>
  <c r="C60" s="1"/>
  <c r="H59"/>
  <c r="I59"/>
  <c r="C59"/>
  <c r="H58"/>
  <c r="I58" s="1"/>
  <c r="C58" s="1"/>
  <c r="H57"/>
  <c r="I57" s="1"/>
  <c r="C57" s="1"/>
  <c r="H56"/>
  <c r="I56"/>
  <c r="C56" s="1"/>
  <c r="H55"/>
  <c r="I55"/>
  <c r="C55"/>
  <c r="H54"/>
  <c r="I54" s="1"/>
  <c r="C54" s="1"/>
  <c r="H53"/>
  <c r="I53" s="1"/>
  <c r="C53" s="1"/>
  <c r="H52"/>
  <c r="I52"/>
  <c r="C52" s="1"/>
  <c r="H65" i="39"/>
  <c r="I65"/>
  <c r="C65" s="1"/>
  <c r="H64"/>
  <c r="I64" s="1"/>
  <c r="C64" s="1"/>
  <c r="H60"/>
  <c r="I60" s="1"/>
  <c r="C60" s="1"/>
  <c r="H59"/>
  <c r="I59"/>
  <c r="C59" s="1"/>
  <c r="H58"/>
  <c r="I58"/>
  <c r="C58" s="1"/>
  <c r="H57"/>
  <c r="I57" s="1"/>
  <c r="C57" s="1"/>
  <c r="H61"/>
  <c r="I61" s="1"/>
  <c r="C61" s="1"/>
  <c r="H63"/>
  <c r="I63"/>
  <c r="C63" s="1"/>
  <c r="H62"/>
  <c r="I62"/>
  <c r="C62" s="1"/>
  <c r="C145" i="21"/>
  <c r="K139" s="1"/>
  <c r="J142"/>
  <c r="J140"/>
  <c r="M87"/>
  <c r="L87"/>
  <c r="K87"/>
  <c r="J87"/>
  <c r="I87"/>
  <c r="H87"/>
  <c r="G87"/>
  <c r="F87"/>
  <c r="E87"/>
  <c r="D87"/>
  <c r="G2" i="43"/>
  <c r="F36"/>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s="1"/>
  <c r="R258"/>
  <c r="R259"/>
  <c r="S259" s="1"/>
  <c r="R260"/>
  <c r="R261"/>
  <c r="S261"/>
  <c r="R262"/>
  <c r="R263"/>
  <c r="S263"/>
  <c r="R264"/>
  <c r="R265"/>
  <c r="S265" s="1"/>
  <c r="R266"/>
  <c r="R267"/>
  <c r="S267" s="1"/>
  <c r="R268"/>
  <c r="R269"/>
  <c r="S269"/>
  <c r="R270"/>
  <c r="R271"/>
  <c r="S271"/>
  <c r="R272"/>
  <c r="R273"/>
  <c r="S273" s="1"/>
  <c r="R274"/>
  <c r="R275"/>
  <c r="S275" s="1"/>
  <c r="R276"/>
  <c r="R277"/>
  <c r="S277"/>
  <c r="R278"/>
  <c r="R279"/>
  <c r="S279"/>
  <c r="R280"/>
  <c r="R281"/>
  <c r="S281" s="1"/>
  <c r="R282"/>
  <c r="R283"/>
  <c r="S283" s="1"/>
  <c r="R284"/>
  <c r="R285"/>
  <c r="S285"/>
  <c r="R286"/>
  <c r="R287"/>
  <c r="S287"/>
  <c r="R288"/>
  <c r="R289"/>
  <c r="S289" s="1"/>
  <c r="R290"/>
  <c r="R291"/>
  <c r="S291" s="1"/>
  <c r="R292"/>
  <c r="R293"/>
  <c r="S293"/>
  <c r="R294"/>
  <c r="R295"/>
  <c r="S295"/>
  <c r="R296"/>
  <c r="R297"/>
  <c r="S297" s="1"/>
  <c r="R298"/>
  <c r="R299"/>
  <c r="S299" s="1"/>
  <c r="R300"/>
  <c r="R301"/>
  <c r="S301"/>
  <c r="R302"/>
  <c r="R303"/>
  <c r="S303"/>
  <c r="R304"/>
  <c r="R305"/>
  <c r="S305" s="1"/>
  <c r="R306"/>
  <c r="R307"/>
  <c r="S307" s="1"/>
  <c r="R308"/>
  <c r="R309"/>
  <c r="S309"/>
  <c r="R310"/>
  <c r="R311"/>
  <c r="S311"/>
  <c r="R312"/>
  <c r="R313"/>
  <c r="S313" s="1"/>
  <c r="R314"/>
  <c r="R315"/>
  <c r="S315" s="1"/>
  <c r="R316"/>
  <c r="R317"/>
  <c r="S317"/>
  <c r="R318"/>
  <c r="R319"/>
  <c r="S319"/>
  <c r="R320"/>
  <c r="R321"/>
  <c r="S321" s="1"/>
  <c r="R322"/>
  <c r="R323"/>
  <c r="S323" s="1"/>
  <c r="R324"/>
  <c r="R325"/>
  <c r="S325"/>
  <c r="R326"/>
  <c r="R327"/>
  <c r="S327"/>
  <c r="R328"/>
  <c r="R329"/>
  <c r="S329" s="1"/>
  <c r="R330"/>
  <c r="R331"/>
  <c r="S331" s="1"/>
  <c r="R332"/>
  <c r="R333"/>
  <c r="S333"/>
  <c r="R334"/>
  <c r="R335"/>
  <c r="S335"/>
  <c r="R336"/>
  <c r="R337"/>
  <c r="S337" s="1"/>
  <c r="R338"/>
  <c r="R339"/>
  <c r="S339" s="1"/>
  <c r="R340"/>
  <c r="R341"/>
  <c r="S341"/>
  <c r="R342"/>
  <c r="R343"/>
  <c r="S343"/>
  <c r="R344"/>
  <c r="R345"/>
  <c r="S345" s="1"/>
  <c r="R346"/>
  <c r="R347"/>
  <c r="S347" s="1"/>
  <c r="R348"/>
  <c r="R349"/>
  <c r="S349"/>
  <c r="R350"/>
  <c r="R351"/>
  <c r="S351"/>
  <c r="R352"/>
  <c r="R353"/>
  <c r="S353" s="1"/>
  <c r="R354"/>
  <c r="R355"/>
  <c r="S355" s="1"/>
  <c r="R356"/>
  <c r="R357"/>
  <c r="S357"/>
  <c r="R358"/>
  <c r="R359"/>
  <c r="S359"/>
  <c r="R360"/>
  <c r="R361"/>
  <c r="S361" s="1"/>
  <c r="R362"/>
  <c r="R363"/>
  <c r="S363" s="1"/>
  <c r="R364"/>
  <c r="R365"/>
  <c r="S365"/>
  <c r="R366"/>
  <c r="R367"/>
  <c r="S367"/>
  <c r="R368"/>
  <c r="R369"/>
  <c r="S369" s="1"/>
  <c r="R370"/>
  <c r="R371"/>
  <c r="S371" s="1"/>
  <c r="R372"/>
  <c r="R373"/>
  <c r="S373"/>
  <c r="R374"/>
  <c r="R375"/>
  <c r="S375"/>
  <c r="R376"/>
  <c r="R377"/>
  <c r="S377" s="1"/>
  <c r="R378"/>
  <c r="R379"/>
  <c r="S379" s="1"/>
  <c r="R380"/>
  <c r="R381"/>
  <c r="S381"/>
  <c r="R382"/>
  <c r="R383"/>
  <c r="S383"/>
  <c r="R384"/>
  <c r="R385"/>
  <c r="S385" s="1"/>
  <c r="R386"/>
  <c r="R387"/>
  <c r="S387" s="1"/>
  <c r="R388"/>
  <c r="R389"/>
  <c r="S389"/>
  <c r="R390"/>
  <c r="R391"/>
  <c r="S391"/>
  <c r="R392"/>
  <c r="R393"/>
  <c r="S393" s="1"/>
  <c r="R394"/>
  <c r="R395"/>
  <c r="S395" s="1"/>
  <c r="R396"/>
  <c r="R397"/>
  <c r="S397"/>
  <c r="R398"/>
  <c r="R399"/>
  <c r="S399"/>
  <c r="R400"/>
  <c r="R401"/>
  <c r="S401" s="1"/>
  <c r="R402"/>
  <c r="R403"/>
  <c r="S403" s="1"/>
  <c r="R404"/>
  <c r="R405"/>
  <c r="S405"/>
  <c r="R406"/>
  <c r="R407"/>
  <c r="S407"/>
  <c r="R408"/>
  <c r="R409"/>
  <c r="S409" s="1"/>
  <c r="R410"/>
  <c r="R411"/>
  <c r="S411" s="1"/>
  <c r="R412"/>
  <c r="R413"/>
  <c r="S413"/>
  <c r="R414"/>
  <c r="R415"/>
  <c r="S415"/>
  <c r="R416"/>
  <c r="R417"/>
  <c r="S417" s="1"/>
  <c r="R418"/>
  <c r="R419"/>
  <c r="S419" s="1"/>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K4" i="9"/>
  <c r="L22" i="4"/>
  <c r="L20"/>
  <c r="A5" i="62"/>
  <c r="B72" i="72"/>
  <c r="A4" i="62"/>
  <c r="B70" i="72" s="1"/>
  <c r="F33" i="9"/>
  <c r="B13" i="53"/>
  <c r="B29" i="72" s="1"/>
  <c r="R35" i="4"/>
  <c r="Q35"/>
  <c r="P35"/>
  <c r="O35"/>
  <c r="N35"/>
  <c r="M35"/>
  <c r="L35"/>
  <c r="K34"/>
  <c r="T34" s="1"/>
  <c r="G13" i="1"/>
  <c r="I15" i="4"/>
  <c r="H15"/>
  <c r="G15"/>
  <c r="E15"/>
  <c r="D15"/>
  <c r="F7" i="1"/>
  <c r="G7" s="1"/>
  <c r="L21" i="4"/>
  <c r="F19"/>
  <c r="F2" i="52"/>
  <c r="B50" i="72" s="1"/>
  <c r="D2" i="52"/>
  <c r="B46" i="72"/>
  <c r="B8" i="53"/>
  <c r="B23" i="72" s="1"/>
  <c r="L4" i="9"/>
  <c r="B17" i="72"/>
  <c r="B15"/>
  <c r="A3" i="51"/>
  <c r="C8" i="11"/>
  <c r="B2" i="49"/>
  <c r="B4" s="1"/>
  <c r="B40" i="48"/>
  <c r="B3" i="72" s="1"/>
  <c r="I2" i="43"/>
  <c r="N3"/>
  <c r="F35" i="4"/>
  <c r="J55" i="39" s="1"/>
  <c r="H34" i="43"/>
  <c r="H35"/>
  <c r="H36"/>
  <c r="H37"/>
  <c r="H38"/>
  <c r="H39"/>
  <c r="H33"/>
  <c r="J20"/>
  <c r="C18"/>
  <c r="F15"/>
  <c r="E15"/>
  <c r="D15"/>
  <c r="C15"/>
  <c r="C10"/>
  <c r="C11" s="1"/>
  <c r="C9"/>
  <c r="A7"/>
  <c r="F33" i="15"/>
  <c r="F61" s="1"/>
  <c r="M19"/>
  <c r="BR13" i="3"/>
  <c r="B22" i="1"/>
  <c r="B23"/>
  <c r="B24"/>
  <c r="F34" i="68" s="1"/>
  <c r="B43" i="1"/>
  <c r="D93" i="9"/>
  <c r="BQ13" i="3"/>
  <c r="BQ14"/>
  <c r="BQ15"/>
  <c r="BQ16"/>
  <c r="BQ17"/>
  <c r="BS13"/>
  <c r="BS14"/>
  <c r="BS15"/>
  <c r="BS16"/>
  <c r="BS17"/>
  <c r="BR14"/>
  <c r="BR15"/>
  <c r="BR16"/>
  <c r="BR17"/>
  <c r="BT13"/>
  <c r="BT14"/>
  <c r="BT15"/>
  <c r="BT16"/>
  <c r="BT17"/>
  <c r="BM14"/>
  <c r="BM15"/>
  <c r="BM16"/>
  <c r="BM17"/>
  <c r="BO13"/>
  <c r="BO14"/>
  <c r="BO15"/>
  <c r="BO16"/>
  <c r="BL16" s="1"/>
  <c r="BO17"/>
  <c r="BN13"/>
  <c r="BN14"/>
  <c r="BN15"/>
  <c r="BL15" s="1"/>
  <c r="BN16"/>
  <c r="BN17"/>
  <c r="BP13"/>
  <c r="BP14"/>
  <c r="BP15"/>
  <c r="BP16"/>
  <c r="BP17"/>
  <c r="E19" i="6"/>
  <c r="E20"/>
  <c r="E21"/>
  <c r="K8" i="1"/>
  <c r="M8" s="1"/>
  <c r="F23" i="15"/>
  <c r="D24"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G14" s="1"/>
  <c r="AC14"/>
  <c r="H15"/>
  <c r="AC15"/>
  <c r="H16"/>
  <c r="AC16"/>
  <c r="H17"/>
  <c r="AC17"/>
  <c r="AT5"/>
  <c r="I5"/>
  <c r="AD5"/>
  <c r="AH5"/>
  <c r="AL5"/>
  <c r="AP5"/>
  <c r="F35" i="11"/>
  <c r="F36"/>
  <c r="F38"/>
  <c r="E37"/>
  <c r="F20"/>
  <c r="F21"/>
  <c r="C21" s="1"/>
  <c r="F7"/>
  <c r="C7" s="1"/>
  <c r="C5" s="1"/>
  <c r="F12" i="12"/>
  <c r="F13"/>
  <c r="F15"/>
  <c r="E14"/>
  <c r="BC11" i="3"/>
  <c r="BD11"/>
  <c r="BB11"/>
  <c r="E19" i="12"/>
  <c r="E20"/>
  <c r="E17"/>
  <c r="F22"/>
  <c r="F23"/>
  <c r="C17" i="9"/>
  <c r="D17"/>
  <c r="I55"/>
  <c r="F55"/>
  <c r="O53" s="1"/>
  <c r="D89"/>
  <c r="C89" s="1"/>
  <c r="C87" s="1"/>
  <c r="C92" s="1"/>
  <c r="G12" i="1"/>
  <c r="J55" i="9"/>
  <c r="B31" i="1"/>
  <c r="E19" i="68" s="1"/>
  <c r="B52" i="1"/>
  <c r="M20" i="15" s="1"/>
  <c r="T4" i="1"/>
  <c r="F15" i="15"/>
  <c r="F17"/>
  <c r="F18"/>
  <c r="F20"/>
  <c r="F21"/>
  <c r="D3" i="35"/>
  <c r="E59" i="9"/>
  <c r="N55"/>
  <c r="K55"/>
  <c r="F59"/>
  <c r="O55" s="1"/>
  <c r="N54"/>
  <c r="N53"/>
  <c r="E48"/>
  <c r="N52" s="1"/>
  <c r="F56"/>
  <c r="O54" s="1"/>
  <c r="D101"/>
  <c r="C101"/>
  <c r="H104"/>
  <c r="D10" i="53" s="1"/>
  <c r="B26" i="72" s="1"/>
  <c r="C30" i="40"/>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s="1"/>
  <c r="E48"/>
  <c r="F48"/>
  <c r="I55" i="34"/>
  <c r="J55" s="1"/>
  <c r="G55"/>
  <c r="H55"/>
  <c r="E55"/>
  <c r="F55" s="1"/>
  <c r="I48" i="40"/>
  <c r="J48"/>
  <c r="G48"/>
  <c r="H48" s="1"/>
  <c r="E48"/>
  <c r="F48"/>
  <c r="I53" i="39"/>
  <c r="J53" s="1"/>
  <c r="G53"/>
  <c r="H53"/>
  <c r="E53"/>
  <c r="F53" s="1"/>
  <c r="I42" i="36"/>
  <c r="J42"/>
  <c r="G42"/>
  <c r="H42" s="1"/>
  <c r="E42"/>
  <c r="F42"/>
  <c r="I44" i="35"/>
  <c r="J44" s="1"/>
  <c r="G44"/>
  <c r="H44"/>
  <c r="E44"/>
  <c r="F44" s="1"/>
  <c r="I54" i="33"/>
  <c r="J54"/>
  <c r="G54"/>
  <c r="E54"/>
  <c r="F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G526" s="1"/>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G552" s="1"/>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G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G562" s="1"/>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G566" s="1"/>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G578" s="1"/>
  <c r="AC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H35" s="1"/>
  <c r="AB35" s="1"/>
  <c r="B112"/>
  <c r="J30" i="36"/>
  <c r="H30"/>
  <c r="F30"/>
  <c r="AA30" s="1"/>
  <c r="C26" i="35"/>
  <c r="C79"/>
  <c r="J31"/>
  <c r="H31"/>
  <c r="AB31" s="1"/>
  <c r="F31"/>
  <c r="D87"/>
  <c r="E87" s="1"/>
  <c r="F87" s="1"/>
  <c r="G87" s="1"/>
  <c r="H87"/>
  <c r="I87" s="1"/>
  <c r="J87" s="1"/>
  <c r="K87" s="1"/>
  <c r="L87"/>
  <c r="M87" s="1"/>
  <c r="H34" i="37"/>
  <c r="D101"/>
  <c r="F34"/>
  <c r="D99"/>
  <c r="E99" s="1"/>
  <c r="F99" s="1"/>
  <c r="G99" s="1"/>
  <c r="H99" s="1"/>
  <c r="I99" s="1"/>
  <c r="J99" s="1"/>
  <c r="K99" s="1"/>
  <c r="L99" s="1"/>
  <c r="M99" s="1"/>
  <c r="H42" i="34"/>
  <c r="J42"/>
  <c r="W42" s="1"/>
  <c r="F42"/>
  <c r="J38"/>
  <c r="W38"/>
  <c r="D114"/>
  <c r="F38"/>
  <c r="S38"/>
  <c r="D112"/>
  <c r="E112" s="1"/>
  <c r="F112" s="1"/>
  <c r="G112" s="1"/>
  <c r="H112"/>
  <c r="I112" s="1"/>
  <c r="J112" s="1"/>
  <c r="K112" s="1"/>
  <c r="L112" s="1"/>
  <c r="M112" s="1"/>
  <c r="F40" i="33"/>
  <c r="J41"/>
  <c r="D113"/>
  <c r="F37"/>
  <c r="D111"/>
  <c r="E111"/>
  <c r="F111"/>
  <c r="S515" i="31"/>
  <c r="S516"/>
  <c r="S517"/>
  <c r="S518"/>
  <c r="S519"/>
  <c r="S520"/>
  <c r="S521"/>
  <c r="S522"/>
  <c r="S523"/>
  <c r="S524"/>
  <c r="F41" i="21"/>
  <c r="J41"/>
  <c r="AC41" s="1"/>
  <c r="H41"/>
  <c r="U41"/>
  <c r="D81" i="39"/>
  <c r="E81" s="1"/>
  <c r="F81" s="1"/>
  <c r="G81" s="1"/>
  <c r="H81"/>
  <c r="I81" s="1"/>
  <c r="J81" s="1"/>
  <c r="K81" s="1"/>
  <c r="L81" s="1"/>
  <c r="M81" s="1"/>
  <c r="D76" i="40"/>
  <c r="E76"/>
  <c r="F76"/>
  <c r="G76" s="1"/>
  <c r="H76" s="1"/>
  <c r="I76" s="1"/>
  <c r="J76" s="1"/>
  <c r="K76" s="1"/>
  <c r="L76" s="1"/>
  <c r="M76" s="1"/>
  <c r="B120"/>
  <c r="B118"/>
  <c r="H39" s="1"/>
  <c r="U39" s="1"/>
  <c r="J39"/>
  <c r="B116"/>
  <c r="F38" s="1"/>
  <c r="AA38" s="1"/>
  <c r="D115"/>
  <c r="E115" s="1"/>
  <c r="F115" s="1"/>
  <c r="G115" s="1"/>
  <c r="H115"/>
  <c r="I115" s="1"/>
  <c r="J115" s="1"/>
  <c r="K115" s="1"/>
  <c r="L115"/>
  <c r="M115" s="1"/>
  <c r="D113"/>
  <c r="E113"/>
  <c r="F113"/>
  <c r="G113" s="1"/>
  <c r="H113" s="1"/>
  <c r="I113" s="1"/>
  <c r="J113"/>
  <c r="K113" s="1"/>
  <c r="L113" s="1"/>
  <c r="M113" s="1"/>
  <c r="D111"/>
  <c r="E111" s="1"/>
  <c r="M107"/>
  <c r="L107"/>
  <c r="K107"/>
  <c r="J107"/>
  <c r="H107"/>
  <c r="G107"/>
  <c r="F107"/>
  <c r="E107"/>
  <c r="D107"/>
  <c r="C107"/>
  <c r="B105"/>
  <c r="J33" s="1"/>
  <c r="W33" s="1"/>
  <c r="B103"/>
  <c r="J32"/>
  <c r="AC32" s="1"/>
  <c r="B101"/>
  <c r="J31"/>
  <c r="AC31"/>
  <c r="D100"/>
  <c r="E100" s="1"/>
  <c r="F100" s="1"/>
  <c r="G100"/>
  <c r="H100" s="1"/>
  <c r="I100" s="1"/>
  <c r="J100" s="1"/>
  <c r="K100"/>
  <c r="L100" s="1"/>
  <c r="M100" s="1"/>
  <c r="D98"/>
  <c r="J28"/>
  <c r="AC28" s="1"/>
  <c r="D96"/>
  <c r="E96"/>
  <c r="F96"/>
  <c r="G96" s="1"/>
  <c r="H96" s="1"/>
  <c r="I96" s="1"/>
  <c r="J96"/>
  <c r="K96" s="1"/>
  <c r="L96" s="1"/>
  <c r="M96" s="1"/>
  <c r="B95"/>
  <c r="D92"/>
  <c r="E92" s="1"/>
  <c r="F92" s="1"/>
  <c r="G92" s="1"/>
  <c r="D90"/>
  <c r="E90" s="1"/>
  <c r="F90" s="1"/>
  <c r="G90"/>
  <c r="D88"/>
  <c r="E88" s="1"/>
  <c r="D86"/>
  <c r="E86"/>
  <c r="F86" s="1"/>
  <c r="G86" s="1"/>
  <c r="D84"/>
  <c r="E84"/>
  <c r="F84" s="1"/>
  <c r="G84" s="1"/>
  <c r="B81"/>
  <c r="B79"/>
  <c r="B77"/>
  <c r="J12" s="1"/>
  <c r="M74"/>
  <c r="L74"/>
  <c r="K74"/>
  <c r="J74"/>
  <c r="I74"/>
  <c r="H74"/>
  <c r="G74"/>
  <c r="F74"/>
  <c r="E74"/>
  <c r="D74"/>
  <c r="C74"/>
  <c r="P43"/>
  <c r="P42"/>
  <c r="V41"/>
  <c r="T41"/>
  <c r="R41"/>
  <c r="P41"/>
  <c r="Q40"/>
  <c r="Z40" s="1"/>
  <c r="Q39"/>
  <c r="Z39" s="1"/>
  <c r="Q38"/>
  <c r="Z38" s="1"/>
  <c r="H38"/>
  <c r="AB38" s="1"/>
  <c r="Q37"/>
  <c r="Z37"/>
  <c r="Q36"/>
  <c r="Z36" s="1"/>
  <c r="Q35"/>
  <c r="Z35"/>
  <c r="Q34"/>
  <c r="Z34" s="1"/>
  <c r="J34"/>
  <c r="AC34"/>
  <c r="H34"/>
  <c r="AB34" s="1"/>
  <c r="F34"/>
  <c r="AA34"/>
  <c r="Q33"/>
  <c r="Z33" s="1"/>
  <c r="Q32"/>
  <c r="Z32"/>
  <c r="Q31"/>
  <c r="Z31" s="1"/>
  <c r="Q30"/>
  <c r="Z30"/>
  <c r="Q28"/>
  <c r="Z28" s="1"/>
  <c r="Q27"/>
  <c r="Z27"/>
  <c r="Q23"/>
  <c r="Z23" s="1"/>
  <c r="Q21"/>
  <c r="Z21"/>
  <c r="Q19"/>
  <c r="Z19" s="1"/>
  <c r="Q17"/>
  <c r="Z17"/>
  <c r="Q15"/>
  <c r="Z15" s="1"/>
  <c r="Q14"/>
  <c r="Z14"/>
  <c r="Q13"/>
  <c r="Z13" s="1"/>
  <c r="Q12"/>
  <c r="Z12"/>
  <c r="Q11"/>
  <c r="Z11" s="1"/>
  <c r="Q10"/>
  <c r="Z10"/>
  <c r="Q9"/>
  <c r="Z9" s="1"/>
  <c r="J9"/>
  <c r="W9"/>
  <c r="H9"/>
  <c r="AB9" s="1"/>
  <c r="F9"/>
  <c r="S9"/>
  <c r="J8"/>
  <c r="AC8" s="1"/>
  <c r="H8"/>
  <c r="AB8"/>
  <c r="F8"/>
  <c r="AA8" s="1"/>
  <c r="J38" i="39"/>
  <c r="W38"/>
  <c r="H38"/>
  <c r="AB38" s="1"/>
  <c r="F38"/>
  <c r="AA38"/>
  <c r="D124"/>
  <c r="E124" s="1"/>
  <c r="F124" s="1"/>
  <c r="G124" s="1"/>
  <c r="H124"/>
  <c r="I124" s="1"/>
  <c r="J124" s="1"/>
  <c r="K124" s="1"/>
  <c r="L124" s="1"/>
  <c r="M124" s="1"/>
  <c r="D120"/>
  <c r="E120"/>
  <c r="F120"/>
  <c r="G120" s="1"/>
  <c r="H120" s="1"/>
  <c r="I120" s="1"/>
  <c r="J120" s="1"/>
  <c r="K120" s="1"/>
  <c r="L120" s="1"/>
  <c r="M120" s="1"/>
  <c r="B114"/>
  <c r="J37" s="1"/>
  <c r="D109"/>
  <c r="F34"/>
  <c r="AA34"/>
  <c r="D107"/>
  <c r="E107" s="1"/>
  <c r="D105"/>
  <c r="E105"/>
  <c r="F105" s="1"/>
  <c r="G105" s="1"/>
  <c r="H105" s="1"/>
  <c r="I105" s="1"/>
  <c r="J105" s="1"/>
  <c r="K105" s="1"/>
  <c r="L105" s="1"/>
  <c r="M105" s="1"/>
  <c r="D101"/>
  <c r="D99"/>
  <c r="E99"/>
  <c r="F99"/>
  <c r="G99" s="1"/>
  <c r="Q39"/>
  <c r="Z39"/>
  <c r="Q40"/>
  <c r="Z40" s="1"/>
  <c r="Q41"/>
  <c r="Z41"/>
  <c r="Q42"/>
  <c r="Z42" s="1"/>
  <c r="Q43"/>
  <c r="Z43"/>
  <c r="Q44"/>
  <c r="Z44" s="1"/>
  <c r="Q45"/>
  <c r="Z45"/>
  <c r="Q38"/>
  <c r="Z38" s="1"/>
  <c r="Q36"/>
  <c r="Z36"/>
  <c r="Q37"/>
  <c r="Z37" s="1"/>
  <c r="B131"/>
  <c r="H45"/>
  <c r="B129"/>
  <c r="H44" s="1"/>
  <c r="B127"/>
  <c r="J43"/>
  <c r="D126"/>
  <c r="E126" s="1"/>
  <c r="F126" s="1"/>
  <c r="G126" s="1"/>
  <c r="H126"/>
  <c r="I126" s="1"/>
  <c r="J126" s="1"/>
  <c r="K126" s="1"/>
  <c r="L126" s="1"/>
  <c r="M126" s="1"/>
  <c r="D122"/>
  <c r="E122"/>
  <c r="F122"/>
  <c r="G122" s="1"/>
  <c r="H122" s="1"/>
  <c r="I122" s="1"/>
  <c r="J122" s="1"/>
  <c r="K122" s="1"/>
  <c r="L122" s="1"/>
  <c r="M122" s="1"/>
  <c r="B104"/>
  <c r="D97"/>
  <c r="J23"/>
  <c r="AC23" s="1"/>
  <c r="D95"/>
  <c r="E95"/>
  <c r="F95"/>
  <c r="D93"/>
  <c r="E93" s="1"/>
  <c r="F93" s="1"/>
  <c r="G93"/>
  <c r="D91"/>
  <c r="E91" s="1"/>
  <c r="F91" s="1"/>
  <c r="G91"/>
  <c r="D89"/>
  <c r="E89" s="1"/>
  <c r="F89" s="1"/>
  <c r="G89"/>
  <c r="B86"/>
  <c r="B84"/>
  <c r="B82"/>
  <c r="J12"/>
  <c r="M79"/>
  <c r="L79"/>
  <c r="K79"/>
  <c r="J79"/>
  <c r="I79"/>
  <c r="H79"/>
  <c r="G79"/>
  <c r="F79"/>
  <c r="E79"/>
  <c r="D79"/>
  <c r="C79"/>
  <c r="P48"/>
  <c r="P47"/>
  <c r="V46"/>
  <c r="T46"/>
  <c r="R46"/>
  <c r="P46"/>
  <c r="J40"/>
  <c r="AC40"/>
  <c r="F40"/>
  <c r="AA40" s="1"/>
  <c r="Q35"/>
  <c r="Z35"/>
  <c r="Q34"/>
  <c r="Z34" s="1"/>
  <c r="Q32"/>
  <c r="Z32"/>
  <c r="Q31"/>
  <c r="Z31" s="1"/>
  <c r="Q27"/>
  <c r="Z27"/>
  <c r="Q25"/>
  <c r="Z25" s="1"/>
  <c r="Q23"/>
  <c r="Z23"/>
  <c r="Q21"/>
  <c r="Z21" s="1"/>
  <c r="Q19"/>
  <c r="Z19"/>
  <c r="Q17"/>
  <c r="Z17" s="1"/>
  <c r="Q15"/>
  <c r="Z15"/>
  <c r="Q14"/>
  <c r="Z14" s="1"/>
  <c r="Q13"/>
  <c r="Z13"/>
  <c r="Q12"/>
  <c r="Z12" s="1"/>
  <c r="Q11"/>
  <c r="Z11"/>
  <c r="Q10"/>
  <c r="Z10" s="1"/>
  <c r="Q9"/>
  <c r="Z9"/>
  <c r="J9"/>
  <c r="AC9" s="1"/>
  <c r="H9"/>
  <c r="AB9"/>
  <c r="F9"/>
  <c r="AA9" s="1"/>
  <c r="J8"/>
  <c r="AC8"/>
  <c r="H8"/>
  <c r="U8" s="1"/>
  <c r="F8"/>
  <c r="AA8"/>
  <c r="C20" i="36"/>
  <c r="C20" i="35"/>
  <c r="C16" i="36"/>
  <c r="C16" i="35"/>
  <c r="C14" i="36"/>
  <c r="C14" i="35"/>
  <c r="B80" i="37"/>
  <c r="B110"/>
  <c r="J39"/>
  <c r="AC39" s="1"/>
  <c r="B108"/>
  <c r="C23"/>
  <c r="C19"/>
  <c r="C17"/>
  <c r="C15"/>
  <c r="B112"/>
  <c r="D107"/>
  <c r="E107" s="1"/>
  <c r="D105"/>
  <c r="E105"/>
  <c r="D103"/>
  <c r="J35"/>
  <c r="W35" s="1"/>
  <c r="F97"/>
  <c r="E97"/>
  <c r="D97"/>
  <c r="C97"/>
  <c r="D96"/>
  <c r="E96"/>
  <c r="D94"/>
  <c r="M90"/>
  <c r="L90"/>
  <c r="K90"/>
  <c r="J90"/>
  <c r="I90"/>
  <c r="H90"/>
  <c r="G90"/>
  <c r="F90"/>
  <c r="E90"/>
  <c r="D90"/>
  <c r="C90"/>
  <c r="D89"/>
  <c r="B86"/>
  <c r="B84"/>
  <c r="H27"/>
  <c r="U27" s="1"/>
  <c r="B82"/>
  <c r="D79"/>
  <c r="E79"/>
  <c r="D75"/>
  <c r="E75" s="1"/>
  <c r="D73"/>
  <c r="E73"/>
  <c r="F73" s="1"/>
  <c r="D71"/>
  <c r="H15"/>
  <c r="AB15"/>
  <c r="B68"/>
  <c r="H14" s="1"/>
  <c r="AB14" s="1"/>
  <c r="B66"/>
  <c r="B64"/>
  <c r="D63"/>
  <c r="E63"/>
  <c r="M61"/>
  <c r="L61"/>
  <c r="K61"/>
  <c r="J61"/>
  <c r="I61"/>
  <c r="H61"/>
  <c r="G61"/>
  <c r="F61"/>
  <c r="E61"/>
  <c r="D61"/>
  <c r="C61"/>
  <c r="F60"/>
  <c r="G60"/>
  <c r="C57"/>
  <c r="P43"/>
  <c r="P42"/>
  <c r="V41"/>
  <c r="T41"/>
  <c r="R41"/>
  <c r="P41"/>
  <c r="Q40"/>
  <c r="Z40" s="1"/>
  <c r="Q39"/>
  <c r="Z39"/>
  <c r="Q38"/>
  <c r="Z38" s="1"/>
  <c r="Q37"/>
  <c r="Z37"/>
  <c r="Q36"/>
  <c r="Z36" s="1"/>
  <c r="Q35"/>
  <c r="Z35"/>
  <c r="Q34"/>
  <c r="Z34" s="1"/>
  <c r="Q33"/>
  <c r="Z33"/>
  <c r="Q32"/>
  <c r="Z32" s="1"/>
  <c r="Q31"/>
  <c r="Z31"/>
  <c r="J31"/>
  <c r="AC31" s="1"/>
  <c r="Q30"/>
  <c r="Z30"/>
  <c r="J30"/>
  <c r="AC30" s="1"/>
  <c r="H30"/>
  <c r="AB30"/>
  <c r="F30"/>
  <c r="AA30" s="1"/>
  <c r="Q29"/>
  <c r="Z29"/>
  <c r="H29"/>
  <c r="AB29" s="1"/>
  <c r="Q28"/>
  <c r="Z28"/>
  <c r="Q27"/>
  <c r="Z27" s="1"/>
  <c r="Q26"/>
  <c r="Z26"/>
  <c r="J26"/>
  <c r="AC26" s="1"/>
  <c r="H26"/>
  <c r="AB26"/>
  <c r="F26"/>
  <c r="AA26" s="1"/>
  <c r="Q25"/>
  <c r="Z25"/>
  <c r="J25"/>
  <c r="AC25" s="1"/>
  <c r="Q23"/>
  <c r="Z23"/>
  <c r="Q19"/>
  <c r="Z19" s="1"/>
  <c r="Q17"/>
  <c r="Z17"/>
  <c r="Q15"/>
  <c r="Z15" s="1"/>
  <c r="Q14"/>
  <c r="Z14"/>
  <c r="Q13"/>
  <c r="Z13" s="1"/>
  <c r="Q12"/>
  <c r="Z12"/>
  <c r="Q11"/>
  <c r="Z11" s="1"/>
  <c r="Q10"/>
  <c r="Z10"/>
  <c r="F10"/>
  <c r="AA10" s="1"/>
  <c r="Q9"/>
  <c r="Z9"/>
  <c r="J8"/>
  <c r="W8" s="1"/>
  <c r="H8"/>
  <c r="AB8"/>
  <c r="F8"/>
  <c r="S8" s="1"/>
  <c r="J31" i="36"/>
  <c r="H31"/>
  <c r="AB31"/>
  <c r="F31"/>
  <c r="S31" s="1"/>
  <c r="M86"/>
  <c r="L86"/>
  <c r="K86"/>
  <c r="J86"/>
  <c r="I86"/>
  <c r="H86"/>
  <c r="G86"/>
  <c r="F86"/>
  <c r="E86"/>
  <c r="D86"/>
  <c r="C86"/>
  <c r="D85"/>
  <c r="H29"/>
  <c r="D81"/>
  <c r="E81" s="1"/>
  <c r="F81" s="1"/>
  <c r="G81" s="1"/>
  <c r="H81"/>
  <c r="I81" s="1"/>
  <c r="J81" s="1"/>
  <c r="K81" s="1"/>
  <c r="L81" s="1"/>
  <c r="M81" s="1"/>
  <c r="F79"/>
  <c r="E79"/>
  <c r="D79"/>
  <c r="C79"/>
  <c r="B93"/>
  <c r="H33"/>
  <c r="B91"/>
  <c r="F32" s="1"/>
  <c r="B95"/>
  <c r="H34"/>
  <c r="D83"/>
  <c r="E83" s="1"/>
  <c r="F83" s="1"/>
  <c r="G83" s="1"/>
  <c r="H83"/>
  <c r="I83" s="1"/>
  <c r="J83" s="1"/>
  <c r="K83" s="1"/>
  <c r="L83" s="1"/>
  <c r="M83" s="1"/>
  <c r="D78"/>
  <c r="E78"/>
  <c r="F78"/>
  <c r="G78" s="1"/>
  <c r="H78" s="1"/>
  <c r="I78" s="1"/>
  <c r="J78" s="1"/>
  <c r="K78" s="1"/>
  <c r="L78" s="1"/>
  <c r="M78" s="1"/>
  <c r="B75"/>
  <c r="B73"/>
  <c r="J24" s="1"/>
  <c r="AC24" s="1"/>
  <c r="B71"/>
  <c r="H23" s="1"/>
  <c r="AB23" s="1"/>
  <c r="D70"/>
  <c r="H22"/>
  <c r="AB22"/>
  <c r="D68"/>
  <c r="E68" s="1"/>
  <c r="F68" s="1"/>
  <c r="G68" s="1"/>
  <c r="D64"/>
  <c r="E64" s="1"/>
  <c r="F64" s="1"/>
  <c r="G64" s="1"/>
  <c r="J16"/>
  <c r="W16" s="1"/>
  <c r="D62"/>
  <c r="E62"/>
  <c r="F62"/>
  <c r="G62" s="1"/>
  <c r="B59"/>
  <c r="B57"/>
  <c r="J12"/>
  <c r="B55"/>
  <c r="F54"/>
  <c r="G54"/>
  <c r="H54"/>
  <c r="I54" s="1"/>
  <c r="C51"/>
  <c r="P37"/>
  <c r="P36"/>
  <c r="V35"/>
  <c r="T35"/>
  <c r="R35"/>
  <c r="P35"/>
  <c r="Q34"/>
  <c r="Z34" s="1"/>
  <c r="Q33"/>
  <c r="Z33"/>
  <c r="Q32"/>
  <c r="Z32" s="1"/>
  <c r="Q31"/>
  <c r="Z31"/>
  <c r="Q30"/>
  <c r="Z30" s="1"/>
  <c r="AC30"/>
  <c r="Q29"/>
  <c r="Z29" s="1"/>
  <c r="Q28"/>
  <c r="Z28"/>
  <c r="J28"/>
  <c r="AC28" s="1"/>
  <c r="Q27"/>
  <c r="Z27"/>
  <c r="Q26"/>
  <c r="Z26" s="1"/>
  <c r="H26"/>
  <c r="AB26"/>
  <c r="Q25"/>
  <c r="Z25" s="1"/>
  <c r="Q24"/>
  <c r="Z24"/>
  <c r="H24"/>
  <c r="AB24" s="1"/>
  <c r="Q23"/>
  <c r="Z23"/>
  <c r="F23"/>
  <c r="AA23" s="1"/>
  <c r="Q22"/>
  <c r="Z22"/>
  <c r="J22"/>
  <c r="AC22" s="1"/>
  <c r="Q20"/>
  <c r="Z20"/>
  <c r="Q16"/>
  <c r="Z16" s="1"/>
  <c r="Q14"/>
  <c r="Z14"/>
  <c r="Q13"/>
  <c r="Z13" s="1"/>
  <c r="Q12"/>
  <c r="Z12"/>
  <c r="H12"/>
  <c r="U12" s="1"/>
  <c r="Q11"/>
  <c r="Z11"/>
  <c r="Q10"/>
  <c r="Z10" s="1"/>
  <c r="F10"/>
  <c r="AA10"/>
  <c r="Q9"/>
  <c r="Z9" s="1"/>
  <c r="J9"/>
  <c r="AC9"/>
  <c r="J8"/>
  <c r="AC8" s="1"/>
  <c r="H8"/>
  <c r="U8" s="1"/>
  <c r="F8"/>
  <c r="AA8" s="1"/>
  <c r="D89" i="35"/>
  <c r="M90"/>
  <c r="L90"/>
  <c r="K90"/>
  <c r="J90"/>
  <c r="I90"/>
  <c r="H90"/>
  <c r="G90"/>
  <c r="F90"/>
  <c r="E90"/>
  <c r="D90"/>
  <c r="C90"/>
  <c r="F85"/>
  <c r="E85"/>
  <c r="D85"/>
  <c r="C85"/>
  <c r="J27"/>
  <c r="W27" s="1"/>
  <c r="H27"/>
  <c r="U27" s="1"/>
  <c r="F27"/>
  <c r="AA27" s="1"/>
  <c r="J22"/>
  <c r="AC22" s="1"/>
  <c r="B101"/>
  <c r="B99"/>
  <c r="B97"/>
  <c r="J34" s="1"/>
  <c r="B77"/>
  <c r="B75"/>
  <c r="J24"/>
  <c r="AC24" s="1"/>
  <c r="B73"/>
  <c r="H23" s="1"/>
  <c r="U23" s="1"/>
  <c r="B57"/>
  <c r="B61"/>
  <c r="B59"/>
  <c r="H12"/>
  <c r="U12" s="1"/>
  <c r="B131" i="34"/>
  <c r="B129"/>
  <c r="B127"/>
  <c r="B99"/>
  <c r="B97"/>
  <c r="B95"/>
  <c r="B93"/>
  <c r="B75"/>
  <c r="B73"/>
  <c r="B71"/>
  <c r="J12"/>
  <c r="B130" i="33"/>
  <c r="B128"/>
  <c r="B126"/>
  <c r="B98"/>
  <c r="B96"/>
  <c r="B94"/>
  <c r="B74"/>
  <c r="B72"/>
  <c r="B70"/>
  <c r="J12" s="1"/>
  <c r="D96" i="35"/>
  <c r="E96"/>
  <c r="F96"/>
  <c r="G96" s="1"/>
  <c r="D94"/>
  <c r="E94"/>
  <c r="F94"/>
  <c r="G94" s="1"/>
  <c r="H94" s="1"/>
  <c r="I94"/>
  <c r="J94" s="1"/>
  <c r="K94" s="1"/>
  <c r="L94" s="1"/>
  <c r="M94" s="1"/>
  <c r="D84"/>
  <c r="E84" s="1"/>
  <c r="F84" s="1"/>
  <c r="G84"/>
  <c r="H84" s="1"/>
  <c r="I84" s="1"/>
  <c r="J84" s="1"/>
  <c r="K84" s="1"/>
  <c r="L84" s="1"/>
  <c r="M84" s="1"/>
  <c r="D80"/>
  <c r="E80"/>
  <c r="F80" s="1"/>
  <c r="G80" s="1"/>
  <c r="H80" s="1"/>
  <c r="I80" s="1"/>
  <c r="J80" s="1"/>
  <c r="K80" s="1"/>
  <c r="L80" s="1"/>
  <c r="M80" s="1"/>
  <c r="D72"/>
  <c r="E72" s="1"/>
  <c r="F72" s="1"/>
  <c r="G72"/>
  <c r="D70"/>
  <c r="E70" s="1"/>
  <c r="F70" s="1"/>
  <c r="G70" s="1"/>
  <c r="D66"/>
  <c r="E66" s="1"/>
  <c r="F66" s="1"/>
  <c r="G66"/>
  <c r="D64"/>
  <c r="E64" s="1"/>
  <c r="F64" s="1"/>
  <c r="G64" s="1"/>
  <c r="J14"/>
  <c r="W14" s="1"/>
  <c r="F56"/>
  <c r="G56"/>
  <c r="H56" s="1"/>
  <c r="I56" s="1"/>
  <c r="C53"/>
  <c r="J9"/>
  <c r="P39"/>
  <c r="P38"/>
  <c r="V37"/>
  <c r="T37"/>
  <c r="R37"/>
  <c r="P37"/>
  <c r="Q36"/>
  <c r="Z36"/>
  <c r="Q35"/>
  <c r="Z35" s="1"/>
  <c r="Q34"/>
  <c r="Z34"/>
  <c r="Q33"/>
  <c r="Z33" s="1"/>
  <c r="Q32"/>
  <c r="Z32"/>
  <c r="H32"/>
  <c r="AB32" s="1"/>
  <c r="F32"/>
  <c r="AA32"/>
  <c r="Q31"/>
  <c r="Z31" s="1"/>
  <c r="AA31"/>
  <c r="Q30"/>
  <c r="Z30"/>
  <c r="Q29"/>
  <c r="Z29" s="1"/>
  <c r="Q28"/>
  <c r="Z28" s="1"/>
  <c r="J28"/>
  <c r="AC28" s="1"/>
  <c r="H28"/>
  <c r="AB28"/>
  <c r="F28"/>
  <c r="AA28" s="1"/>
  <c r="Q27"/>
  <c r="Z27" s="1"/>
  <c r="Q26"/>
  <c r="Z26" s="1"/>
  <c r="Q25"/>
  <c r="Z25"/>
  <c r="Q24"/>
  <c r="Z24" s="1"/>
  <c r="Q23"/>
  <c r="Z23" s="1"/>
  <c r="J23"/>
  <c r="AC23" s="1"/>
  <c r="Q22"/>
  <c r="Z22"/>
  <c r="Q20"/>
  <c r="Z20" s="1"/>
  <c r="Q16"/>
  <c r="Z16" s="1"/>
  <c r="Q14"/>
  <c r="Z14" s="1"/>
  <c r="Q13"/>
  <c r="Z13"/>
  <c r="Q12"/>
  <c r="Z12" s="1"/>
  <c r="Q11"/>
  <c r="Z11" s="1"/>
  <c r="Q10"/>
  <c r="Z10" s="1"/>
  <c r="Q9"/>
  <c r="Z9"/>
  <c r="J8"/>
  <c r="W8" s="1"/>
  <c r="H8"/>
  <c r="AB8" s="1"/>
  <c r="F8"/>
  <c r="AA8" s="1"/>
  <c r="D120" i="34"/>
  <c r="E120"/>
  <c r="F120" s="1"/>
  <c r="G120" s="1"/>
  <c r="H120" s="1"/>
  <c r="I120" s="1"/>
  <c r="J120" s="1"/>
  <c r="K120" s="1"/>
  <c r="L120" s="1"/>
  <c r="M120" s="1"/>
  <c r="D90"/>
  <c r="E90" s="1"/>
  <c r="F90"/>
  <c r="G90" s="1"/>
  <c r="H90" s="1"/>
  <c r="I90" s="1"/>
  <c r="J90" s="1"/>
  <c r="K90" s="1"/>
  <c r="L90" s="1"/>
  <c r="M90" s="1"/>
  <c r="C15"/>
  <c r="F67"/>
  <c r="G67"/>
  <c r="D126"/>
  <c r="E126"/>
  <c r="F126" s="1"/>
  <c r="G126" s="1"/>
  <c r="D124"/>
  <c r="E124"/>
  <c r="F124" s="1"/>
  <c r="G124" s="1"/>
  <c r="H124" s="1"/>
  <c r="I124" s="1"/>
  <c r="J124" s="1"/>
  <c r="K124" s="1"/>
  <c r="L124" s="1"/>
  <c r="M124" s="1"/>
  <c r="H43"/>
  <c r="AB43"/>
  <c r="D118"/>
  <c r="E118"/>
  <c r="F118" s="1"/>
  <c r="G118" s="1"/>
  <c r="D116"/>
  <c r="E116"/>
  <c r="F116" s="1"/>
  <c r="G116" s="1"/>
  <c r="H116" s="1"/>
  <c r="I116" s="1"/>
  <c r="J116" s="1"/>
  <c r="K116" s="1"/>
  <c r="L116" s="1"/>
  <c r="M116" s="1"/>
  <c r="F110"/>
  <c r="E110"/>
  <c r="D110"/>
  <c r="C110"/>
  <c r="D109"/>
  <c r="E109"/>
  <c r="F109" s="1"/>
  <c r="G109" s="1"/>
  <c r="H109" s="1"/>
  <c r="I109" s="1"/>
  <c r="J109" s="1"/>
  <c r="K109" s="1"/>
  <c r="L109" s="1"/>
  <c r="M109" s="1"/>
  <c r="D107"/>
  <c r="E107"/>
  <c r="F107" s="1"/>
  <c r="G107" s="1"/>
  <c r="H107" s="1"/>
  <c r="I107" s="1"/>
  <c r="J107" s="1"/>
  <c r="K107" s="1"/>
  <c r="L107" s="1"/>
  <c r="M107" s="1"/>
  <c r="F35"/>
  <c r="AA35"/>
  <c r="M103"/>
  <c r="L103"/>
  <c r="K103"/>
  <c r="J103"/>
  <c r="I103"/>
  <c r="H103"/>
  <c r="G103"/>
  <c r="F103"/>
  <c r="E103"/>
  <c r="D103"/>
  <c r="C103"/>
  <c r="D102"/>
  <c r="E102" s="1"/>
  <c r="F102" s="1"/>
  <c r="G102" s="1"/>
  <c r="H102" s="1"/>
  <c r="I102" s="1"/>
  <c r="J102" s="1"/>
  <c r="K102" s="1"/>
  <c r="L102" s="1"/>
  <c r="M102" s="1"/>
  <c r="D92"/>
  <c r="E92"/>
  <c r="F92" s="1"/>
  <c r="G92" s="1"/>
  <c r="H92" s="1"/>
  <c r="I92" s="1"/>
  <c r="J92" s="1"/>
  <c r="K92" s="1"/>
  <c r="L92" s="1"/>
  <c r="M92" s="1"/>
  <c r="B91"/>
  <c r="B89"/>
  <c r="J27"/>
  <c r="D88"/>
  <c r="E88" s="1"/>
  <c r="F88" s="1"/>
  <c r="G88" s="1"/>
  <c r="H88" s="1"/>
  <c r="I88" s="1"/>
  <c r="J88" s="1"/>
  <c r="K88" s="1"/>
  <c r="L88" s="1"/>
  <c r="M88" s="1"/>
  <c r="D86"/>
  <c r="E86"/>
  <c r="F86"/>
  <c r="G86" s="1"/>
  <c r="D82"/>
  <c r="E82"/>
  <c r="F82"/>
  <c r="G82" s="1"/>
  <c r="D80"/>
  <c r="E80"/>
  <c r="F80"/>
  <c r="G80" s="1"/>
  <c r="D78"/>
  <c r="E78"/>
  <c r="F78"/>
  <c r="G78" s="1"/>
  <c r="D70"/>
  <c r="E70"/>
  <c r="M68"/>
  <c r="L68"/>
  <c r="K68"/>
  <c r="J68"/>
  <c r="I68"/>
  <c r="H68"/>
  <c r="G68"/>
  <c r="F68"/>
  <c r="E68"/>
  <c r="D68"/>
  <c r="C68"/>
  <c r="C64"/>
  <c r="H9" s="1"/>
  <c r="J9"/>
  <c r="AC9" s="1"/>
  <c r="P50"/>
  <c r="P49"/>
  <c r="V48"/>
  <c r="T48"/>
  <c r="R48"/>
  <c r="P48"/>
  <c r="Q47"/>
  <c r="Z47"/>
  <c r="Q46"/>
  <c r="Z46" s="1"/>
  <c r="Q45"/>
  <c r="Z45" s="1"/>
  <c r="Q44"/>
  <c r="Z44" s="1"/>
  <c r="Q43"/>
  <c r="Z43"/>
  <c r="Q42"/>
  <c r="Z42" s="1"/>
  <c r="Q41"/>
  <c r="Z41" s="1"/>
  <c r="Q40"/>
  <c r="Z40" s="1"/>
  <c r="Q39"/>
  <c r="Z39"/>
  <c r="H39"/>
  <c r="AB39" s="1"/>
  <c r="Q38"/>
  <c r="Z38" s="1"/>
  <c r="Q37"/>
  <c r="Z37" s="1"/>
  <c r="Q36"/>
  <c r="Z36"/>
  <c r="Q35"/>
  <c r="Z35" s="1"/>
  <c r="Q34"/>
  <c r="Z34" s="1"/>
  <c r="J34"/>
  <c r="AC34" s="1"/>
  <c r="H34"/>
  <c r="AB34"/>
  <c r="F34"/>
  <c r="AA34" s="1"/>
  <c r="Q33"/>
  <c r="Z33" s="1"/>
  <c r="Q32"/>
  <c r="Z32" s="1"/>
  <c r="Q31"/>
  <c r="Z31"/>
  <c r="Q30"/>
  <c r="Z30" s="1"/>
  <c r="Q29"/>
  <c r="Z29" s="1"/>
  <c r="Q28"/>
  <c r="Z28" s="1"/>
  <c r="Q27"/>
  <c r="Z27"/>
  <c r="Q25"/>
  <c r="Z25" s="1"/>
  <c r="Q23"/>
  <c r="Z23" s="1"/>
  <c r="C23"/>
  <c r="Q19"/>
  <c r="Z19"/>
  <c r="C19"/>
  <c r="Q17"/>
  <c r="Z17" s="1"/>
  <c r="C17"/>
  <c r="Q15"/>
  <c r="Z15" s="1"/>
  <c r="Q14"/>
  <c r="Z14"/>
  <c r="Q13"/>
  <c r="Z13" s="1"/>
  <c r="Q12"/>
  <c r="Z12"/>
  <c r="H12"/>
  <c r="Q11"/>
  <c r="Z11" s="1"/>
  <c r="Q10"/>
  <c r="Z10" s="1"/>
  <c r="F10"/>
  <c r="AA10" s="1"/>
  <c r="Q9"/>
  <c r="Z9"/>
  <c r="F9"/>
  <c r="AA9" s="1"/>
  <c r="J8"/>
  <c r="AC8" s="1"/>
  <c r="H8"/>
  <c r="U8"/>
  <c r="F8"/>
  <c r="D121" i="33"/>
  <c r="E121"/>
  <c r="F109"/>
  <c r="E109"/>
  <c r="D109"/>
  <c r="C109"/>
  <c r="D91"/>
  <c r="E91" s="1"/>
  <c r="B88"/>
  <c r="J26"/>
  <c r="C23"/>
  <c r="C19"/>
  <c r="C17"/>
  <c r="C15"/>
  <c r="C15" i="21"/>
  <c r="D125" i="33"/>
  <c r="D123"/>
  <c r="D117"/>
  <c r="E117"/>
  <c r="F117" s="1"/>
  <c r="G117" s="1"/>
  <c r="D115"/>
  <c r="E115" s="1"/>
  <c r="F115" s="1"/>
  <c r="G115" s="1"/>
  <c r="H115" s="1"/>
  <c r="I115" s="1"/>
  <c r="J115" s="1"/>
  <c r="K115" s="1"/>
  <c r="L115" s="1"/>
  <c r="M115" s="1"/>
  <c r="D108"/>
  <c r="E108" s="1"/>
  <c r="F108" s="1"/>
  <c r="D106"/>
  <c r="E106" s="1"/>
  <c r="F106" s="1"/>
  <c r="M102"/>
  <c r="L102"/>
  <c r="K102"/>
  <c r="J102"/>
  <c r="I102"/>
  <c r="H102"/>
  <c r="G102"/>
  <c r="F102"/>
  <c r="E102"/>
  <c r="D102"/>
  <c r="C102"/>
  <c r="D101"/>
  <c r="E101"/>
  <c r="B92"/>
  <c r="B90"/>
  <c r="D87"/>
  <c r="E87"/>
  <c r="D85"/>
  <c r="E85"/>
  <c r="D81"/>
  <c r="E81"/>
  <c r="D79"/>
  <c r="E79"/>
  <c r="D77"/>
  <c r="E77"/>
  <c r="F77" s="1"/>
  <c r="G77" s="1"/>
  <c r="D69"/>
  <c r="E69"/>
  <c r="F69" s="1"/>
  <c r="G69" s="1"/>
  <c r="H69" s="1"/>
  <c r="I69" s="1"/>
  <c r="J69" s="1"/>
  <c r="K69" s="1"/>
  <c r="L69" s="1"/>
  <c r="M69" s="1"/>
  <c r="M67"/>
  <c r="L67"/>
  <c r="K67"/>
  <c r="J67"/>
  <c r="I67"/>
  <c r="H67"/>
  <c r="G67"/>
  <c r="F67"/>
  <c r="E67"/>
  <c r="D67"/>
  <c r="C67"/>
  <c r="G66"/>
  <c r="H66" s="1"/>
  <c r="C63"/>
  <c r="H9" s="1"/>
  <c r="AB9" s="1"/>
  <c r="H54"/>
  <c r="P49"/>
  <c r="P48"/>
  <c r="V47"/>
  <c r="T47"/>
  <c r="R47"/>
  <c r="P47"/>
  <c r="Q46"/>
  <c r="Z46" s="1"/>
  <c r="Q45"/>
  <c r="Z45" s="1"/>
  <c r="Q44"/>
  <c r="Z44" s="1"/>
  <c r="Q43"/>
  <c r="Z43" s="1"/>
  <c r="Q42"/>
  <c r="Z42" s="1"/>
  <c r="J42"/>
  <c r="AC42" s="1"/>
  <c r="AC41"/>
  <c r="W41"/>
  <c r="Q41"/>
  <c r="Z41" s="1"/>
  <c r="Q40"/>
  <c r="Z40" s="1"/>
  <c r="J40"/>
  <c r="AC40" s="1"/>
  <c r="H40"/>
  <c r="AB40" s="1"/>
  <c r="AA40"/>
  <c r="Q39"/>
  <c r="Z39"/>
  <c r="J39"/>
  <c r="W39"/>
  <c r="Q38"/>
  <c r="Z38"/>
  <c r="J38"/>
  <c r="AC38"/>
  <c r="H38"/>
  <c r="AB38"/>
  <c r="F38"/>
  <c r="AA38"/>
  <c r="Q37"/>
  <c r="Z37"/>
  <c r="Q36"/>
  <c r="Z36"/>
  <c r="Q35"/>
  <c r="Z35"/>
  <c r="H35"/>
  <c r="AB35"/>
  <c r="Q34"/>
  <c r="Z34"/>
  <c r="Q33"/>
  <c r="Z33"/>
  <c r="J33"/>
  <c r="AC33"/>
  <c r="H33"/>
  <c r="U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F9"/>
  <c r="AA9"/>
  <c r="J8"/>
  <c r="AC8"/>
  <c r="H8"/>
  <c r="AB8"/>
  <c r="F8"/>
  <c r="AA8"/>
  <c r="M102" i="21"/>
  <c r="D102"/>
  <c r="E102"/>
  <c r="F102"/>
  <c r="G102"/>
  <c r="H102"/>
  <c r="I102"/>
  <c r="J102"/>
  <c r="K102"/>
  <c r="L102"/>
  <c r="C102"/>
  <c r="C63"/>
  <c r="F9"/>
  <c r="G18" i="20"/>
  <c r="B88" i="43" s="1"/>
  <c r="G19" i="20"/>
  <c r="B85" i="43"/>
  <c r="G16" i="20"/>
  <c r="B82" i="43" s="1"/>
  <c r="G15" i="20"/>
  <c r="B81" i="43"/>
  <c r="C24" i="20"/>
  <c r="B73" i="43" s="1"/>
  <c r="C21" i="20"/>
  <c r="B74" i="43"/>
  <c r="C20" i="20"/>
  <c r="B77" i="43" s="1"/>
  <c r="C18" i="20"/>
  <c r="B71" i="43"/>
  <c r="C17" i="20"/>
  <c r="B59" i="43" s="1"/>
  <c r="C16" i="20"/>
  <c r="C17" i="39"/>
  <c r="C15" i="20"/>
  <c r="B70" i="43" s="1"/>
  <c r="E54" i="21"/>
  <c r="F54"/>
  <c r="I54"/>
  <c r="J54" s="1"/>
  <c r="G54"/>
  <c r="H54"/>
  <c r="D125"/>
  <c r="E125" s="1"/>
  <c r="F125" s="1"/>
  <c r="G125" s="1"/>
  <c r="D123"/>
  <c r="E123" s="1"/>
  <c r="F123" s="1"/>
  <c r="G123" s="1"/>
  <c r="H123" s="1"/>
  <c r="I123" s="1"/>
  <c r="J123" s="1"/>
  <c r="K123" s="1"/>
  <c r="L123" s="1"/>
  <c r="M123" s="1"/>
  <c r="F42"/>
  <c r="AA42"/>
  <c r="D119"/>
  <c r="F40"/>
  <c r="AA40"/>
  <c r="D117"/>
  <c r="E117" s="1"/>
  <c r="F117" s="1"/>
  <c r="G117" s="1"/>
  <c r="D115"/>
  <c r="E115" s="1"/>
  <c r="F115" s="1"/>
  <c r="G115" s="1"/>
  <c r="H115" s="1"/>
  <c r="I115" s="1"/>
  <c r="J115" s="1"/>
  <c r="K115" s="1"/>
  <c r="L115" s="1"/>
  <c r="M115" s="1"/>
  <c r="D113"/>
  <c r="E113"/>
  <c r="F113"/>
  <c r="G113" s="1"/>
  <c r="H113" s="1"/>
  <c r="D110"/>
  <c r="E110"/>
  <c r="F110" s="1"/>
  <c r="G110" s="1"/>
  <c r="H110" s="1"/>
  <c r="I110" s="1"/>
  <c r="J110" s="1"/>
  <c r="K110" s="1"/>
  <c r="L110" s="1"/>
  <c r="M110" s="1"/>
  <c r="J36"/>
  <c r="AC36"/>
  <c r="D108"/>
  <c r="E108"/>
  <c r="F108" s="1"/>
  <c r="G108" s="1"/>
  <c r="H108" s="1"/>
  <c r="I108" s="1"/>
  <c r="J108" s="1"/>
  <c r="K108" s="1"/>
  <c r="L108" s="1"/>
  <c r="M108" s="1"/>
  <c r="D106"/>
  <c r="E106"/>
  <c r="F106"/>
  <c r="G106"/>
  <c r="H106" s="1"/>
  <c r="I106" s="1"/>
  <c r="J106" s="1"/>
  <c r="K106" s="1"/>
  <c r="L106" s="1"/>
  <c r="M106" s="1"/>
  <c r="D101"/>
  <c r="E101"/>
  <c r="F101" s="1"/>
  <c r="G101" s="1"/>
  <c r="H101" s="1"/>
  <c r="D89"/>
  <c r="E89" s="1"/>
  <c r="F89" s="1"/>
  <c r="G89" s="1"/>
  <c r="H89" s="1"/>
  <c r="I89" s="1"/>
  <c r="J89" s="1"/>
  <c r="K89" s="1"/>
  <c r="L89" s="1"/>
  <c r="M89" s="1"/>
  <c r="D67"/>
  <c r="E67"/>
  <c r="F67"/>
  <c r="G67"/>
  <c r="H67"/>
  <c r="I67"/>
  <c r="J67"/>
  <c r="K67"/>
  <c r="L67"/>
  <c r="M67"/>
  <c r="C67"/>
  <c r="D69"/>
  <c r="E69"/>
  <c r="F69"/>
  <c r="G69"/>
  <c r="H69" s="1"/>
  <c r="I69" s="1"/>
  <c r="J69" s="1"/>
  <c r="K69" s="1"/>
  <c r="L69" s="1"/>
  <c r="M69" s="1"/>
  <c r="D66"/>
  <c r="E66"/>
  <c r="F66" s="1"/>
  <c r="G66" s="1"/>
  <c r="H66" s="1"/>
  <c r="I66" s="1"/>
  <c r="D111"/>
  <c r="E111"/>
  <c r="F111"/>
  <c r="C111"/>
  <c r="D79"/>
  <c r="E79"/>
  <c r="F79"/>
  <c r="G79"/>
  <c r="D85"/>
  <c r="F19"/>
  <c r="AA19"/>
  <c r="E81"/>
  <c r="F81" s="1"/>
  <c r="G81" s="1"/>
  <c r="D77"/>
  <c r="E77"/>
  <c r="B130"/>
  <c r="B128"/>
  <c r="J45"/>
  <c r="W45"/>
  <c r="B126"/>
  <c r="B98"/>
  <c r="H31"/>
  <c r="B96"/>
  <c r="B94"/>
  <c r="J29"/>
  <c r="AC29"/>
  <c r="B92"/>
  <c r="B90"/>
  <c r="J27"/>
  <c r="W27"/>
  <c r="B74"/>
  <c r="B72"/>
  <c r="H13"/>
  <c r="B70"/>
  <c r="F12"/>
  <c r="S12"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s="1"/>
  <c r="Q43"/>
  <c r="Z43"/>
  <c r="Q44"/>
  <c r="Z44" s="1"/>
  <c r="Q45"/>
  <c r="Z45"/>
  <c r="Q46"/>
  <c r="Z46" s="1"/>
  <c r="P47"/>
  <c r="R47"/>
  <c r="T47"/>
  <c r="V47"/>
  <c r="P48"/>
  <c r="P49"/>
  <c r="F8"/>
  <c r="AA8" s="1"/>
  <c r="E10" i="11"/>
  <c r="E9"/>
  <c r="C7" i="12"/>
  <c r="BB12" i="3"/>
  <c r="F7" i="12"/>
  <c r="D7"/>
  <c r="E7"/>
  <c r="G7"/>
  <c r="K5" i="3"/>
  <c r="I4" i="6"/>
  <c r="J5" i="3"/>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c r="H587"/>
  <c r="G587" s="1"/>
  <c r="F5"/>
  <c r="G27" i="6"/>
  <c r="F34" i="21"/>
  <c r="AA34" s="1"/>
  <c r="H34"/>
  <c r="AB34"/>
  <c r="F43"/>
  <c r="S43" s="1"/>
  <c r="H38"/>
  <c r="U38"/>
  <c r="H43"/>
  <c r="AB43" s="1"/>
  <c r="F38"/>
  <c r="S38"/>
  <c r="F36"/>
  <c r="S36" s="1"/>
  <c r="F39"/>
  <c r="AA39"/>
  <c r="J40"/>
  <c r="W40" s="1"/>
  <c r="H35"/>
  <c r="AB35"/>
  <c r="J8"/>
  <c r="AC8" s="1"/>
  <c r="H8"/>
  <c r="U8"/>
  <c r="H10"/>
  <c r="AB10" s="1"/>
  <c r="H39"/>
  <c r="U39"/>
  <c r="J34"/>
  <c r="W34" s="1"/>
  <c r="H36"/>
  <c r="U36"/>
  <c r="F35"/>
  <c r="AA35" s="1"/>
  <c r="J10"/>
  <c r="AC10"/>
  <c r="H26"/>
  <c r="AB26" s="1"/>
  <c r="AB19"/>
  <c r="J19"/>
  <c r="W19" s="1"/>
  <c r="J12"/>
  <c r="AC12"/>
  <c r="H12"/>
  <c r="AB12" s="1"/>
  <c r="J26"/>
  <c r="W26"/>
  <c r="F26"/>
  <c r="S26" s="1"/>
  <c r="AB41"/>
  <c r="S41"/>
  <c r="AA41"/>
  <c r="F45" i="39"/>
  <c r="S45" s="1"/>
  <c r="J45"/>
  <c r="W45"/>
  <c r="F36"/>
  <c r="S36" s="1"/>
  <c r="H36"/>
  <c r="AB36"/>
  <c r="J35"/>
  <c r="AC35" s="1"/>
  <c r="F35"/>
  <c r="AA35"/>
  <c r="J36"/>
  <c r="AC36" s="1"/>
  <c r="U9"/>
  <c r="W40"/>
  <c r="W25" i="37"/>
  <c r="U30"/>
  <c r="W31"/>
  <c r="E103"/>
  <c r="F103" s="1"/>
  <c r="G103" s="1"/>
  <c r="H103" s="1"/>
  <c r="I103" s="1"/>
  <c r="J103" s="1"/>
  <c r="K103" s="1"/>
  <c r="L103" s="1"/>
  <c r="M103" s="1"/>
  <c r="F39"/>
  <c r="S39" s="1"/>
  <c r="U14"/>
  <c r="F29" i="36"/>
  <c r="AA29" s="1"/>
  <c r="W8"/>
  <c r="F16"/>
  <c r="AA16"/>
  <c r="W28"/>
  <c r="AA31"/>
  <c r="AC31"/>
  <c r="W31"/>
  <c r="U31"/>
  <c r="J33"/>
  <c r="W33"/>
  <c r="H22" i="35"/>
  <c r="AB22" s="1"/>
  <c r="AC27"/>
  <c r="W28"/>
  <c r="U31"/>
  <c r="W22"/>
  <c r="S31"/>
  <c r="F36" i="34"/>
  <c r="J35"/>
  <c r="S34"/>
  <c r="H39" i="33"/>
  <c r="AB39" s="1"/>
  <c r="F26"/>
  <c r="AA26"/>
  <c r="S9"/>
  <c r="U35"/>
  <c r="S40"/>
  <c r="W33"/>
  <c r="H39" i="37"/>
  <c r="AB39" s="1"/>
  <c r="S27" i="35"/>
  <c r="F11" i="40"/>
  <c r="AA11"/>
  <c r="H11"/>
  <c r="AB11" s="1"/>
  <c r="W8"/>
  <c r="AB39"/>
  <c r="AA9"/>
  <c r="AC9"/>
  <c r="U9"/>
  <c r="S34"/>
  <c r="U38"/>
  <c r="W31"/>
  <c r="U34"/>
  <c r="S38"/>
  <c r="F42" i="39"/>
  <c r="AA42"/>
  <c r="F41"/>
  <c r="S41" s="1"/>
  <c r="H40"/>
  <c r="AB40"/>
  <c r="H39"/>
  <c r="U39" s="1"/>
  <c r="S38"/>
  <c r="S34"/>
  <c r="H34"/>
  <c r="U34" s="1"/>
  <c r="E109"/>
  <c r="H31"/>
  <c r="AB31"/>
  <c r="F31"/>
  <c r="AA31" s="1"/>
  <c r="E101"/>
  <c r="H19"/>
  <c r="AB19" s="1"/>
  <c r="F19"/>
  <c r="AA19"/>
  <c r="H17"/>
  <c r="AB17" s="1"/>
  <c r="F17"/>
  <c r="AA17"/>
  <c r="J23" i="40"/>
  <c r="AC23" s="1"/>
  <c r="F21"/>
  <c r="AA21"/>
  <c r="J21"/>
  <c r="W21" s="1"/>
  <c r="H42" i="39"/>
  <c r="AB42"/>
  <c r="J34"/>
  <c r="AC34" s="1"/>
  <c r="F109"/>
  <c r="G109"/>
  <c r="H109"/>
  <c r="I109" s="1"/>
  <c r="J109" s="1"/>
  <c r="K109" s="1"/>
  <c r="L109" s="1"/>
  <c r="M109" s="1"/>
  <c r="J31"/>
  <c r="F101"/>
  <c r="H27"/>
  <c r="U27" s="1"/>
  <c r="J19"/>
  <c r="AC19"/>
  <c r="J17"/>
  <c r="J27"/>
  <c r="AC27" s="1"/>
  <c r="F27"/>
  <c r="F11" i="21"/>
  <c r="S11" s="1"/>
  <c r="S40"/>
  <c r="U34"/>
  <c r="S34"/>
  <c r="C27" i="39"/>
  <c r="C21"/>
  <c r="H11"/>
  <c r="S40"/>
  <c r="H32" i="33"/>
  <c r="AB32"/>
  <c r="H11" i="21"/>
  <c r="U11" s="1"/>
  <c r="J11"/>
  <c r="W11"/>
  <c r="H37" i="40"/>
  <c r="U37" s="1"/>
  <c r="H36"/>
  <c r="AB36"/>
  <c r="F35"/>
  <c r="AA35" s="1"/>
  <c r="H23"/>
  <c r="AB23"/>
  <c r="H17"/>
  <c r="U17" s="1"/>
  <c r="J15"/>
  <c r="W15"/>
  <c r="J11"/>
  <c r="W11" s="1"/>
  <c r="AB8" i="39"/>
  <c r="AB12" i="33"/>
  <c r="AB12" i="35"/>
  <c r="AB12" i="36"/>
  <c r="W32" i="40"/>
  <c r="F37" i="39"/>
  <c r="AA37" s="1"/>
  <c r="J34" i="36"/>
  <c r="W34"/>
  <c r="U30"/>
  <c r="J30" i="35"/>
  <c r="W30" s="1"/>
  <c r="H30"/>
  <c r="AB30"/>
  <c r="F22"/>
  <c r="AA22" s="1"/>
  <c r="H10"/>
  <c r="U10"/>
  <c r="AC16" i="36"/>
  <c r="F33"/>
  <c r="AA33"/>
  <c r="W30"/>
  <c r="H16"/>
  <c r="AB16" s="1"/>
  <c r="E85"/>
  <c r="F85"/>
  <c r="G85" s="1"/>
  <c r="H85" s="1"/>
  <c r="I85" s="1"/>
  <c r="J85" s="1"/>
  <c r="K85" s="1"/>
  <c r="L85" s="1"/>
  <c r="M85" s="1"/>
  <c r="J29"/>
  <c r="AC29" s="1"/>
  <c r="F12"/>
  <c r="F24"/>
  <c r="AA24"/>
  <c r="F34"/>
  <c r="S34" s="1"/>
  <c r="S10"/>
  <c r="AB8"/>
  <c r="S8"/>
  <c r="U8" i="35"/>
  <c r="F14"/>
  <c r="AA14"/>
  <c r="F23"/>
  <c r="AA23" s="1"/>
  <c r="J32"/>
  <c r="AC32"/>
  <c r="J16"/>
  <c r="AC16" s="1"/>
  <c r="H16"/>
  <c r="U16"/>
  <c r="F16"/>
  <c r="S16" s="1"/>
  <c r="H14"/>
  <c r="AB14"/>
  <c r="J29"/>
  <c r="H33"/>
  <c r="AB33"/>
  <c r="AC8"/>
  <c r="J20"/>
  <c r="W20" s="1"/>
  <c r="F35" i="37"/>
  <c r="S35"/>
  <c r="E101"/>
  <c r="F101" s="1"/>
  <c r="G101" s="1"/>
  <c r="H101" s="1"/>
  <c r="I101" s="1"/>
  <c r="J101" s="1"/>
  <c r="K101" s="1"/>
  <c r="L101" s="1"/>
  <c r="M101" s="1"/>
  <c r="J34"/>
  <c r="W34"/>
  <c r="S10"/>
  <c r="AA39"/>
  <c r="AB34"/>
  <c r="J33"/>
  <c r="AC33"/>
  <c r="U42" i="34"/>
  <c r="H40"/>
  <c r="U40"/>
  <c r="E114"/>
  <c r="F114" s="1"/>
  <c r="G114" s="1"/>
  <c r="H114" s="1"/>
  <c r="I114" s="1"/>
  <c r="J114" s="1"/>
  <c r="K114" s="1"/>
  <c r="L114" s="1"/>
  <c r="M114" s="1"/>
  <c r="H36"/>
  <c r="U36" s="1"/>
  <c r="F37"/>
  <c r="AA37"/>
  <c r="S35"/>
  <c r="F28"/>
  <c r="AA28"/>
  <c r="F27"/>
  <c r="AA27" s="1"/>
  <c r="F25"/>
  <c r="S25"/>
  <c r="H23"/>
  <c r="U23" s="1"/>
  <c r="J23"/>
  <c r="F19"/>
  <c r="H17"/>
  <c r="U17" s="1"/>
  <c r="F15"/>
  <c r="J15"/>
  <c r="H15"/>
  <c r="AB15" s="1"/>
  <c r="S9"/>
  <c r="W8"/>
  <c r="J28"/>
  <c r="W28" s="1"/>
  <c r="F41" i="33"/>
  <c r="AA41"/>
  <c r="S38"/>
  <c r="E113"/>
  <c r="F113" s="1"/>
  <c r="G113" s="1"/>
  <c r="H113" s="1"/>
  <c r="I113" s="1"/>
  <c r="J113" s="1"/>
  <c r="K113" s="1"/>
  <c r="L113" s="1"/>
  <c r="M113" s="1"/>
  <c r="F32"/>
  <c r="AA32"/>
  <c r="J19"/>
  <c r="AC19" s="1"/>
  <c r="J15"/>
  <c r="AC15"/>
  <c r="F11"/>
  <c r="AA11" s="1"/>
  <c r="S26"/>
  <c r="U40"/>
  <c r="W40"/>
  <c r="U8"/>
  <c r="S8"/>
  <c r="F37" i="40"/>
  <c r="AA37" s="1"/>
  <c r="F36"/>
  <c r="AA36"/>
  <c r="H28"/>
  <c r="U28" s="1"/>
  <c r="F23"/>
  <c r="AA23"/>
  <c r="F17"/>
  <c r="AA17" s="1"/>
  <c r="J17"/>
  <c r="W17"/>
  <c r="F15"/>
  <c r="S15" s="1"/>
  <c r="H15"/>
  <c r="AB15"/>
  <c r="AC11"/>
  <c r="S12" i="36"/>
  <c r="AA12"/>
  <c r="AB30"/>
  <c r="AC34"/>
  <c r="U33" i="35"/>
  <c r="F29"/>
  <c r="AA29"/>
  <c r="S29"/>
  <c r="H29"/>
  <c r="AB29" s="1"/>
  <c r="H33" i="37"/>
  <c r="AB33"/>
  <c r="F33"/>
  <c r="AA33" s="1"/>
  <c r="U34"/>
  <c r="W33"/>
  <c r="S34"/>
  <c r="AA34"/>
  <c r="J43" i="34"/>
  <c r="AB42"/>
  <c r="J40"/>
  <c r="H38"/>
  <c r="AB38"/>
  <c r="J36"/>
  <c r="W36" s="1"/>
  <c r="H37"/>
  <c r="U37"/>
  <c r="H25"/>
  <c r="AB25" s="1"/>
  <c r="J25"/>
  <c r="AC25"/>
  <c r="AB23"/>
  <c r="F23"/>
  <c r="AA23" s="1"/>
  <c r="J19"/>
  <c r="AC19"/>
  <c r="F17"/>
  <c r="AA17" s="1"/>
  <c r="J17"/>
  <c r="W17"/>
  <c r="AA15"/>
  <c r="S15"/>
  <c r="S41" i="33"/>
  <c r="H37"/>
  <c r="AB37" s="1"/>
  <c r="H15"/>
  <c r="AB15"/>
  <c r="H11"/>
  <c r="AB11" s="1"/>
  <c r="F28" i="40"/>
  <c r="AA28"/>
  <c r="AA42" i="34"/>
  <c r="S42"/>
  <c r="AC38"/>
  <c r="AA38"/>
  <c r="J37"/>
  <c r="AC37" s="1"/>
  <c r="J11" i="33"/>
  <c r="W11"/>
  <c r="S28" i="34"/>
  <c r="U23" i="40"/>
  <c r="J42" i="21"/>
  <c r="AC42" s="1"/>
  <c r="H42"/>
  <c r="U42"/>
  <c r="J44" i="34"/>
  <c r="F44"/>
  <c r="AA44"/>
  <c r="J10" i="35"/>
  <c r="W10" s="1"/>
  <c r="BL587" i="3"/>
  <c r="J14" i="21"/>
  <c r="W14"/>
  <c r="F14"/>
  <c r="S14" s="1"/>
  <c r="H14"/>
  <c r="U14"/>
  <c r="H28"/>
  <c r="AB28" s="1"/>
  <c r="F28"/>
  <c r="AA28"/>
  <c r="J28"/>
  <c r="W28" s="1"/>
  <c r="H30"/>
  <c r="AB30" s="1"/>
  <c r="U30"/>
  <c r="F30"/>
  <c r="S30" s="1"/>
  <c r="J30"/>
  <c r="AC30"/>
  <c r="J44"/>
  <c r="AC44" s="1"/>
  <c r="H44"/>
  <c r="U44"/>
  <c r="F44"/>
  <c r="AA44" s="1"/>
  <c r="H46"/>
  <c r="U46"/>
  <c r="J46"/>
  <c r="W46" s="1"/>
  <c r="F46"/>
  <c r="AA46"/>
  <c r="E119"/>
  <c r="F119" s="1"/>
  <c r="G119" s="1"/>
  <c r="H119" s="1"/>
  <c r="I119" s="1"/>
  <c r="J119" s="1"/>
  <c r="K119" s="1"/>
  <c r="L119" s="1"/>
  <c r="M119" s="1"/>
  <c r="H26" i="33"/>
  <c r="H28"/>
  <c r="U28"/>
  <c r="F28"/>
  <c r="AA28" s="1"/>
  <c r="J28"/>
  <c r="W28"/>
  <c r="F33" i="35"/>
  <c r="S33" s="1"/>
  <c r="J33"/>
  <c r="AC33"/>
  <c r="F30"/>
  <c r="S30" s="1"/>
  <c r="E89"/>
  <c r="F89"/>
  <c r="G89" s="1"/>
  <c r="H89" s="1"/>
  <c r="I89" s="1"/>
  <c r="J89" s="1"/>
  <c r="K89" s="1"/>
  <c r="L89" s="1"/>
  <c r="M89" s="1"/>
  <c r="H10" i="36"/>
  <c r="AB10" s="1"/>
  <c r="J14"/>
  <c r="AC14"/>
  <c r="H14"/>
  <c r="U14" s="1"/>
  <c r="F28"/>
  <c r="AA28"/>
  <c r="J13" i="21"/>
  <c r="AC13" s="1"/>
  <c r="H27"/>
  <c r="AB27"/>
  <c r="F27"/>
  <c r="AA27" s="1"/>
  <c r="H29"/>
  <c r="U29"/>
  <c r="J31"/>
  <c r="AC31" s="1"/>
  <c r="F31"/>
  <c r="S31"/>
  <c r="F45"/>
  <c r="AA45" s="1"/>
  <c r="F27" i="33"/>
  <c r="AA27"/>
  <c r="J13"/>
  <c r="H13"/>
  <c r="AB13" s="1"/>
  <c r="F13"/>
  <c r="J29"/>
  <c r="H29"/>
  <c r="U29" s="1"/>
  <c r="F29"/>
  <c r="S29"/>
  <c r="J31"/>
  <c r="W31" s="1"/>
  <c r="H31"/>
  <c r="AB31"/>
  <c r="F31"/>
  <c r="H45"/>
  <c r="U45"/>
  <c r="J45"/>
  <c r="W45" s="1"/>
  <c r="F45"/>
  <c r="J14" i="34"/>
  <c r="W14"/>
  <c r="F14"/>
  <c r="S14" s="1"/>
  <c r="H14"/>
  <c r="H30"/>
  <c r="F30"/>
  <c r="S30" s="1"/>
  <c r="J30"/>
  <c r="AC30" s="1"/>
  <c r="W30"/>
  <c r="H32"/>
  <c r="F32"/>
  <c r="J32"/>
  <c r="W32"/>
  <c r="H46"/>
  <c r="U46" s="1"/>
  <c r="F46"/>
  <c r="J46"/>
  <c r="H11" i="35"/>
  <c r="U11" s="1"/>
  <c r="J11"/>
  <c r="F11"/>
  <c r="S11" s="1"/>
  <c r="J26" i="36"/>
  <c r="W26"/>
  <c r="H28"/>
  <c r="U28" s="1"/>
  <c r="H32"/>
  <c r="AB32"/>
  <c r="J32"/>
  <c r="W32" s="1"/>
  <c r="J11"/>
  <c r="AC11"/>
  <c r="H11"/>
  <c r="F11"/>
  <c r="AA11" s="1"/>
  <c r="H13"/>
  <c r="AB13"/>
  <c r="J13"/>
  <c r="AC13" s="1"/>
  <c r="F13"/>
  <c r="S13"/>
  <c r="E89" i="37"/>
  <c r="F89" s="1"/>
  <c r="G89" s="1"/>
  <c r="H89" s="1"/>
  <c r="I89" s="1"/>
  <c r="J89" s="1"/>
  <c r="K89" s="1"/>
  <c r="L89" s="1"/>
  <c r="M89" s="1"/>
  <c r="J29"/>
  <c r="W29"/>
  <c r="F29"/>
  <c r="S29" s="1"/>
  <c r="F105"/>
  <c r="G105" s="1"/>
  <c r="H36"/>
  <c r="AB36"/>
  <c r="F107"/>
  <c r="J37"/>
  <c r="AC37"/>
  <c r="H37"/>
  <c r="U37" s="1"/>
  <c r="H40"/>
  <c r="U40"/>
  <c r="J40"/>
  <c r="F40"/>
  <c r="AA40"/>
  <c r="AC12" i="40"/>
  <c r="W12"/>
  <c r="H14" i="33"/>
  <c r="U14"/>
  <c r="F14"/>
  <c r="J14"/>
  <c r="H30"/>
  <c r="AB30"/>
  <c r="F30"/>
  <c r="J30"/>
  <c r="H44"/>
  <c r="J44"/>
  <c r="AC44"/>
  <c r="F44"/>
  <c r="J46"/>
  <c r="AC46"/>
  <c r="F46"/>
  <c r="AA46"/>
  <c r="H46"/>
  <c r="U46"/>
  <c r="AB46"/>
  <c r="H13" i="34"/>
  <c r="J13"/>
  <c r="W13"/>
  <c r="F13"/>
  <c r="AA13"/>
  <c r="J29"/>
  <c r="F29"/>
  <c r="S29"/>
  <c r="H29"/>
  <c r="AB29" s="1"/>
  <c r="J31"/>
  <c r="AC31"/>
  <c r="H31"/>
  <c r="AB31" s="1"/>
  <c r="F31"/>
  <c r="S31"/>
  <c r="H45"/>
  <c r="U45" s="1"/>
  <c r="J45"/>
  <c r="W45"/>
  <c r="F45"/>
  <c r="S45" s="1"/>
  <c r="H47"/>
  <c r="U47"/>
  <c r="F47"/>
  <c r="S47" s="1"/>
  <c r="J47"/>
  <c r="AC47"/>
  <c r="F13" i="35"/>
  <c r="S13" s="1"/>
  <c r="J13"/>
  <c r="AC13"/>
  <c r="H13"/>
  <c r="U13" s="1"/>
  <c r="J25"/>
  <c r="W25"/>
  <c r="F25"/>
  <c r="S25" s="1"/>
  <c r="H25"/>
  <c r="AB25"/>
  <c r="J35"/>
  <c r="AC35" s="1"/>
  <c r="F35"/>
  <c r="AA35"/>
  <c r="H35"/>
  <c r="AB35" s="1"/>
  <c r="J25" i="36"/>
  <c r="W25"/>
  <c r="F25"/>
  <c r="S25" s="1"/>
  <c r="H25"/>
  <c r="AB25"/>
  <c r="H13" i="37"/>
  <c r="AB13" s="1"/>
  <c r="F13"/>
  <c r="S13"/>
  <c r="J13"/>
  <c r="W13" s="1"/>
  <c r="F28"/>
  <c r="AA28"/>
  <c r="J28"/>
  <c r="AC28" s="1"/>
  <c r="H28"/>
  <c r="U28"/>
  <c r="H38"/>
  <c r="AB38" s="1"/>
  <c r="J38"/>
  <c r="AC38"/>
  <c r="F38"/>
  <c r="S38" s="1"/>
  <c r="F43" i="39"/>
  <c r="AA43"/>
  <c r="H43"/>
  <c r="J14"/>
  <c r="AC14"/>
  <c r="F14"/>
  <c r="H14"/>
  <c r="AB14" s="1"/>
  <c r="F12" i="40"/>
  <c r="S12"/>
  <c r="H12"/>
  <c r="AB12" s="1"/>
  <c r="H30"/>
  <c r="AB30"/>
  <c r="F33"/>
  <c r="AA33" s="1"/>
  <c r="H33"/>
  <c r="U33"/>
  <c r="J35"/>
  <c r="AC35" s="1"/>
  <c r="J37"/>
  <c r="AC37"/>
  <c r="H13"/>
  <c r="U13" s="1"/>
  <c r="J13"/>
  <c r="W13"/>
  <c r="F13"/>
  <c r="AA13" s="1"/>
  <c r="F14" i="37"/>
  <c r="AA14"/>
  <c r="S14"/>
  <c r="F27"/>
  <c r="AA27"/>
  <c r="F13" i="39"/>
  <c r="J13"/>
  <c r="W13" s="1"/>
  <c r="H13"/>
  <c r="H14" i="40"/>
  <c r="AB14"/>
  <c r="J14"/>
  <c r="W14"/>
  <c r="F14"/>
  <c r="AA14"/>
  <c r="J14" i="37"/>
  <c r="AC14"/>
  <c r="J27"/>
  <c r="AC27"/>
  <c r="J36"/>
  <c r="AC36"/>
  <c r="AB11" i="35"/>
  <c r="J10" i="36"/>
  <c r="AC10"/>
  <c r="W31" i="34"/>
  <c r="S11" i="36"/>
  <c r="AB46" i="34"/>
  <c r="AA14"/>
  <c r="AB45" i="33"/>
  <c r="U13"/>
  <c r="AC28" i="21"/>
  <c r="S44" i="34"/>
  <c r="BA586" i="3"/>
  <c r="BA585"/>
  <c r="AZ585" s="1"/>
  <c r="F17" i="21"/>
  <c r="AA17"/>
  <c r="H17"/>
  <c r="AB17" s="1"/>
  <c r="F15"/>
  <c r="S15"/>
  <c r="AB11"/>
  <c r="J41" i="39"/>
  <c r="W41"/>
  <c r="AC45"/>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AZ560" s="1"/>
  <c r="BL554"/>
  <c r="AZ554" s="1"/>
  <c r="BL546"/>
  <c r="BL542"/>
  <c r="BL538"/>
  <c r="AZ538" s="1"/>
  <c r="BL534"/>
  <c r="AZ534" s="1"/>
  <c r="BL530"/>
  <c r="BL526"/>
  <c r="BL522"/>
  <c r="BL516"/>
  <c r="BL512"/>
  <c r="BL506"/>
  <c r="BL502"/>
  <c r="BL498"/>
  <c r="BL494"/>
  <c r="BL582"/>
  <c r="AZ582"/>
  <c r="BL578"/>
  <c r="BL574"/>
  <c r="BL570"/>
  <c r="AZ570"/>
  <c r="BL566"/>
  <c r="BL562"/>
  <c r="BL556"/>
  <c r="BL552"/>
  <c r="BL544"/>
  <c r="BL540"/>
  <c r="BL536"/>
  <c r="G533"/>
  <c r="BL532"/>
  <c r="G529"/>
  <c r="BL528"/>
  <c r="G525"/>
  <c r="BL524"/>
  <c r="AZ524"/>
  <c r="BL518"/>
  <c r="BL514"/>
  <c r="BL510"/>
  <c r="BL504"/>
  <c r="BL500"/>
  <c r="BL496"/>
  <c r="G493"/>
  <c r="BA584"/>
  <c r="AZ584" s="1"/>
  <c r="BA582"/>
  <c r="BA580"/>
  <c r="AZ580"/>
  <c r="BA578"/>
  <c r="AZ578"/>
  <c r="BA576"/>
  <c r="AZ576"/>
  <c r="BA574"/>
  <c r="AZ574"/>
  <c r="BA572"/>
  <c r="AZ572"/>
  <c r="BA570"/>
  <c r="BA568"/>
  <c r="AZ568"/>
  <c r="BA566"/>
  <c r="AZ566" s="1"/>
  <c r="BA564"/>
  <c r="AZ564"/>
  <c r="BA562"/>
  <c r="AZ562"/>
  <c r="BA560"/>
  <c r="BA558"/>
  <c r="BA556"/>
  <c r="AZ556" s="1"/>
  <c r="BA554"/>
  <c r="BA552"/>
  <c r="AZ552" s="1"/>
  <c r="BA548"/>
  <c r="BA546"/>
  <c r="BA544"/>
  <c r="AZ544" s="1"/>
  <c r="BA542"/>
  <c r="BA540"/>
  <c r="AZ540"/>
  <c r="BA538"/>
  <c r="BA536"/>
  <c r="AZ536"/>
  <c r="BA534"/>
  <c r="BA532"/>
  <c r="AZ532" s="1"/>
  <c r="BA530"/>
  <c r="BA528"/>
  <c r="AZ528"/>
  <c r="BA526"/>
  <c r="AZ526"/>
  <c r="BA524"/>
  <c r="BA522"/>
  <c r="BA520"/>
  <c r="AZ520"/>
  <c r="BA518"/>
  <c r="AZ518"/>
  <c r="BA516"/>
  <c r="AZ516"/>
  <c r="BA514"/>
  <c r="BA512"/>
  <c r="AZ512" s="1"/>
  <c r="BA510"/>
  <c r="AZ510"/>
  <c r="BA508"/>
  <c r="BA506"/>
  <c r="BA504"/>
  <c r="BA502"/>
  <c r="AZ502" s="1"/>
  <c r="BA500"/>
  <c r="BA498"/>
  <c r="AZ498"/>
  <c r="BA496"/>
  <c r="BA494"/>
  <c r="BA587"/>
  <c r="AZ587"/>
  <c r="BA583"/>
  <c r="AZ583" s="1"/>
  <c r="BA581"/>
  <c r="BA579"/>
  <c r="BA577"/>
  <c r="AZ577" s="1"/>
  <c r="BA575"/>
  <c r="BA573"/>
  <c r="BA571"/>
  <c r="BA569"/>
  <c r="BA567"/>
  <c r="BA565"/>
  <c r="BA563"/>
  <c r="AZ563" s="1"/>
  <c r="BA561"/>
  <c r="BA559"/>
  <c r="BA555"/>
  <c r="AZ555"/>
  <c r="BA553"/>
  <c r="BA549"/>
  <c r="BA547"/>
  <c r="BA545"/>
  <c r="AZ545" s="1"/>
  <c r="BA543"/>
  <c r="BA541"/>
  <c r="BA539"/>
  <c r="BA537"/>
  <c r="BA535"/>
  <c r="BA533"/>
  <c r="AZ533" s="1"/>
  <c r="BA531"/>
  <c r="BA529"/>
  <c r="BA527"/>
  <c r="AZ527" s="1"/>
  <c r="BA525"/>
  <c r="BA523"/>
  <c r="BA519"/>
  <c r="BA517"/>
  <c r="BA515"/>
  <c r="BA513"/>
  <c r="BA511"/>
  <c r="AZ511" s="1"/>
  <c r="BA507"/>
  <c r="AZ507" s="1"/>
  <c r="BA505"/>
  <c r="BA503"/>
  <c r="BA501"/>
  <c r="BA499"/>
  <c r="BA497"/>
  <c r="BA495"/>
  <c r="AZ495" s="1"/>
  <c r="BA493"/>
  <c r="G583"/>
  <c r="G581"/>
  <c r="G579"/>
  <c r="G577"/>
  <c r="G575"/>
  <c r="G573"/>
  <c r="G571"/>
  <c r="G569"/>
  <c r="G567"/>
  <c r="G565"/>
  <c r="G563"/>
  <c r="G561"/>
  <c r="BL558"/>
  <c r="BA557"/>
  <c r="AC557"/>
  <c r="G557" s="1"/>
  <c r="BQ557"/>
  <c r="BL557"/>
  <c r="AZ557"/>
  <c r="BQ583"/>
  <c r="BL583"/>
  <c r="BQ581"/>
  <c r="BL581" s="1"/>
  <c r="AZ581" s="1"/>
  <c r="BQ579"/>
  <c r="BL579"/>
  <c r="AZ579"/>
  <c r="BQ577"/>
  <c r="BL577"/>
  <c r="BQ575"/>
  <c r="BL575" s="1"/>
  <c r="AZ575" s="1"/>
  <c r="BQ573"/>
  <c r="BL573"/>
  <c r="BQ571"/>
  <c r="BL571"/>
  <c r="AZ571"/>
  <c r="BQ569"/>
  <c r="BL569" s="1"/>
  <c r="BQ567"/>
  <c r="BL567"/>
  <c r="AZ567" s="1"/>
  <c r="BQ565"/>
  <c r="BL565"/>
  <c r="AZ565" s="1"/>
  <c r="BQ563"/>
  <c r="BL563" s="1"/>
  <c r="BQ561"/>
  <c r="BL561"/>
  <c r="AZ561" s="1"/>
  <c r="BQ559"/>
  <c r="BL559"/>
  <c r="G559"/>
  <c r="G555"/>
  <c r="G553"/>
  <c r="G549"/>
  <c r="G547"/>
  <c r="G545"/>
  <c r="G543"/>
  <c r="G541"/>
  <c r="G539"/>
  <c r="G537"/>
  <c r="BQ555"/>
  <c r="BL555"/>
  <c r="BQ553"/>
  <c r="BL553" s="1"/>
  <c r="AZ553" s="1"/>
  <c r="BQ551"/>
  <c r="BL551"/>
  <c r="BQ549"/>
  <c r="BQ547"/>
  <c r="BL547"/>
  <c r="BQ545"/>
  <c r="BL545"/>
  <c r="BQ543"/>
  <c r="BL543" s="1"/>
  <c r="AZ543" s="1"/>
  <c r="BQ541"/>
  <c r="BL541"/>
  <c r="BQ539"/>
  <c r="BL539"/>
  <c r="AZ539"/>
  <c r="BQ537"/>
  <c r="BL537"/>
  <c r="AZ537" s="1"/>
  <c r="BQ535"/>
  <c r="BL535"/>
  <c r="BQ533"/>
  <c r="BL533"/>
  <c r="BQ531"/>
  <c r="BL531"/>
  <c r="AZ531"/>
  <c r="BQ529"/>
  <c r="BL529" s="1"/>
  <c r="AZ529" s="1"/>
  <c r="BQ527"/>
  <c r="BL527"/>
  <c r="BQ525"/>
  <c r="BL525"/>
  <c r="AZ525"/>
  <c r="BQ523"/>
  <c r="BL523" s="1"/>
  <c r="AZ523" s="1"/>
  <c r="BA521"/>
  <c r="AC521"/>
  <c r="G521"/>
  <c r="BQ521"/>
  <c r="BL521"/>
  <c r="AZ521" s="1"/>
  <c r="BL520"/>
  <c r="G519"/>
  <c r="G517"/>
  <c r="G515"/>
  <c r="G513"/>
  <c r="G511"/>
  <c r="BQ519"/>
  <c r="BL519"/>
  <c r="AZ519" s="1"/>
  <c r="BQ517"/>
  <c r="BL517"/>
  <c r="AZ517"/>
  <c r="BQ515"/>
  <c r="BL515" s="1"/>
  <c r="BQ513"/>
  <c r="BL513"/>
  <c r="AZ513"/>
  <c r="BQ511"/>
  <c r="BL511"/>
  <c r="BA509"/>
  <c r="AC509"/>
  <c r="BQ509"/>
  <c r="BL509"/>
  <c r="BL508"/>
  <c r="G507"/>
  <c r="G505"/>
  <c r="G503"/>
  <c r="G501"/>
  <c r="G499"/>
  <c r="G497"/>
  <c r="G495"/>
  <c r="BQ507"/>
  <c r="BL507"/>
  <c r="BQ505"/>
  <c r="BL505"/>
  <c r="AZ505"/>
  <c r="BQ503"/>
  <c r="BL503"/>
  <c r="BQ501"/>
  <c r="BL501"/>
  <c r="BQ499"/>
  <c r="BL499"/>
  <c r="BQ497"/>
  <c r="BL497"/>
  <c r="AZ497" s="1"/>
  <c r="BQ495"/>
  <c r="BL495"/>
  <c r="BQ493"/>
  <c r="BL493" s="1"/>
  <c r="S505" i="31"/>
  <c r="S503"/>
  <c r="S501"/>
  <c r="S499"/>
  <c r="O27"/>
  <c r="O28"/>
  <c r="O26"/>
  <c r="M27"/>
  <c r="M28"/>
  <c r="M26"/>
  <c r="I26"/>
  <c r="I25"/>
  <c r="S25"/>
  <c r="Q26"/>
  <c r="K26"/>
  <c r="I27"/>
  <c r="Q27"/>
  <c r="K27"/>
  <c r="I28"/>
  <c r="Q28"/>
  <c r="K28"/>
  <c r="AC28" i="34"/>
  <c r="S21" i="40"/>
  <c r="AA12" i="21"/>
  <c r="H25"/>
  <c r="U25"/>
  <c r="F25"/>
  <c r="S25"/>
  <c r="J25"/>
  <c r="AC25"/>
  <c r="E125" i="33"/>
  <c r="F125"/>
  <c r="G125" s="1"/>
  <c r="H43"/>
  <c r="AB43"/>
  <c r="H17" i="37"/>
  <c r="U17" s="1"/>
  <c r="AB27"/>
  <c r="U32" i="33"/>
  <c r="AA36" i="39"/>
  <c r="F39" i="33"/>
  <c r="AA39"/>
  <c r="E123"/>
  <c r="F123"/>
  <c r="G123" s="1"/>
  <c r="H123" s="1"/>
  <c r="I123" s="1"/>
  <c r="J123"/>
  <c r="K123" s="1"/>
  <c r="L123" s="1"/>
  <c r="M123"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H42" i="33"/>
  <c r="AB42"/>
  <c r="J43"/>
  <c r="AC43"/>
  <c r="U43"/>
  <c r="S28" i="31"/>
  <c r="S27"/>
  <c r="S26"/>
  <c r="U14" i="40"/>
  <c r="AC32" i="36"/>
  <c r="AC33"/>
  <c r="W23" i="35"/>
  <c r="W14" i="37"/>
  <c r="AB28"/>
  <c r="U33"/>
  <c r="U39"/>
  <c r="W26"/>
  <c r="AC8"/>
  <c r="U26"/>
  <c r="W47" i="34"/>
  <c r="W37"/>
  <c r="AB37"/>
  <c r="AC36"/>
  <c r="AC31" i="33"/>
  <c r="AC45"/>
  <c r="W44"/>
  <c r="U11"/>
  <c r="U19" i="21"/>
  <c r="W44"/>
  <c r="U26"/>
  <c r="AC46"/>
  <c r="U12"/>
  <c r="AB38"/>
  <c r="F43" i="33"/>
  <c r="AA43"/>
  <c r="W15" i="34"/>
  <c r="AC15"/>
  <c r="W16" i="35"/>
  <c r="G107" i="37"/>
  <c r="H107" s="1"/>
  <c r="I107"/>
  <c r="J107" s="1"/>
  <c r="K107" s="1"/>
  <c r="L107" s="1"/>
  <c r="M107" s="1"/>
  <c r="H37" i="21"/>
  <c r="U37"/>
  <c r="S42"/>
  <c r="H19" i="34"/>
  <c r="AB19" s="1"/>
  <c r="F36" i="35"/>
  <c r="S36" s="1"/>
  <c r="J9" i="37"/>
  <c r="W9" s="1"/>
  <c r="H9"/>
  <c r="AB9" s="1"/>
  <c r="F9"/>
  <c r="S9" s="1"/>
  <c r="J12"/>
  <c r="W12" s="1"/>
  <c r="H12"/>
  <c r="F12"/>
  <c r="S12" s="1"/>
  <c r="E71"/>
  <c r="F71" s="1"/>
  <c r="G71" s="1"/>
  <c r="F15"/>
  <c r="AA15"/>
  <c r="E94"/>
  <c r="F94"/>
  <c r="G94" s="1"/>
  <c r="H94" s="1"/>
  <c r="I94" s="1"/>
  <c r="F31"/>
  <c r="S31"/>
  <c r="F12" i="39"/>
  <c r="S12"/>
  <c r="J42"/>
  <c r="AC42"/>
  <c r="H21" i="40"/>
  <c r="AB21"/>
  <c r="J94" i="37"/>
  <c r="K94" s="1"/>
  <c r="L94" s="1"/>
  <c r="M94" s="1"/>
  <c r="H31"/>
  <c r="U31" s="1"/>
  <c r="J15"/>
  <c r="W15" s="1"/>
  <c r="AT6" i="3"/>
  <c r="H5"/>
  <c r="AA25" i="21"/>
  <c r="C12" i="43"/>
  <c r="H19" i="40"/>
  <c r="U19"/>
  <c r="F88"/>
  <c r="G88"/>
  <c r="F19"/>
  <c r="S19"/>
  <c r="S14"/>
  <c r="AC13"/>
  <c r="AB33"/>
  <c r="W23" i="39"/>
  <c r="AC43"/>
  <c r="W43"/>
  <c r="U45"/>
  <c r="AB45"/>
  <c r="AB44"/>
  <c r="U44"/>
  <c r="G101"/>
  <c r="H37"/>
  <c r="AB37" s="1"/>
  <c r="AC37"/>
  <c r="W37"/>
  <c r="H25"/>
  <c r="AB25" s="1"/>
  <c r="J25"/>
  <c r="F25"/>
  <c r="AA25"/>
  <c r="F15"/>
  <c r="AA15"/>
  <c r="H15"/>
  <c r="U15"/>
  <c r="J15"/>
  <c r="W15"/>
  <c r="H41"/>
  <c r="W27"/>
  <c r="AB34"/>
  <c r="U40"/>
  <c r="S42"/>
  <c r="W14"/>
  <c r="AA41"/>
  <c r="W9"/>
  <c r="W8"/>
  <c r="J19" i="40"/>
  <c r="AC19" s="1"/>
  <c r="J50"/>
  <c r="H103" i="9"/>
  <c r="D8" i="53"/>
  <c r="B16"/>
  <c r="B33" i="72"/>
  <c r="C7" i="37"/>
  <c r="C52"/>
  <c r="D52" s="1"/>
  <c r="E52" s="1"/>
  <c r="F52"/>
  <c r="C7" i="34"/>
  <c r="C7" i="36"/>
  <c r="A118" i="9"/>
  <c r="J11" i="39"/>
  <c r="F11"/>
  <c r="AA11"/>
  <c r="S11"/>
  <c r="G4" i="4"/>
  <c r="I4"/>
  <c r="K5"/>
  <c r="B47" i="48"/>
  <c r="A2" i="9"/>
  <c r="AZ20" i="3"/>
  <c r="AZ24"/>
  <c r="BL549"/>
  <c r="AZ549" s="1"/>
  <c r="AZ494"/>
  <c r="AZ514"/>
  <c r="AZ522"/>
  <c r="AZ530"/>
  <c r="AZ546"/>
  <c r="G546"/>
  <c r="G524"/>
  <c r="G303"/>
  <c r="BL304"/>
  <c r="G305"/>
  <c r="BL306"/>
  <c r="AZ306"/>
  <c r="BA308"/>
  <c r="AZ308"/>
  <c r="BA309"/>
  <c r="AZ309"/>
  <c r="BL309"/>
  <c r="G310"/>
  <c r="BA311"/>
  <c r="AZ311" s="1"/>
  <c r="G319"/>
  <c r="BL320"/>
  <c r="G321"/>
  <c r="BL322"/>
  <c r="BA324"/>
  <c r="AZ324" s="1"/>
  <c r="BA325"/>
  <c r="BL325"/>
  <c r="AZ325" s="1"/>
  <c r="G326"/>
  <c r="BA327"/>
  <c r="G335"/>
  <c r="BL336"/>
  <c r="AZ336" s="1"/>
  <c r="G337"/>
  <c r="BL338"/>
  <c r="BA340"/>
  <c r="AZ340"/>
  <c r="BA341"/>
  <c r="BL341"/>
  <c r="AZ341" s="1"/>
  <c r="BA343"/>
  <c r="BA345"/>
  <c r="BL355"/>
  <c r="G356"/>
  <c r="BL357"/>
  <c r="BA359"/>
  <c r="AZ359"/>
  <c r="BA360"/>
  <c r="AZ360" s="1"/>
  <c r="BL360"/>
  <c r="G361"/>
  <c r="BA362"/>
  <c r="AZ362" s="1"/>
  <c r="G370"/>
  <c r="BL371"/>
  <c r="G372"/>
  <c r="BL373"/>
  <c r="BA375"/>
  <c r="AZ375"/>
  <c r="BA376"/>
  <c r="BL376"/>
  <c r="AZ376" s="1"/>
  <c r="G377"/>
  <c r="BA378"/>
  <c r="BL378"/>
  <c r="AZ378"/>
  <c r="G379"/>
  <c r="BA380"/>
  <c r="G388"/>
  <c r="BL389"/>
  <c r="G390"/>
  <c r="BL391"/>
  <c r="BA393"/>
  <c r="AZ393"/>
  <c r="BA394"/>
  <c r="BL394"/>
  <c r="AZ394" s="1"/>
  <c r="G113"/>
  <c r="BA115"/>
  <c r="AZ115"/>
  <c r="BL116"/>
  <c r="AZ116"/>
  <c r="G117"/>
  <c r="BA119"/>
  <c r="AZ119"/>
  <c r="BL120"/>
  <c r="AZ120" s="1"/>
  <c r="G121"/>
  <c r="BA123"/>
  <c r="AZ123"/>
  <c r="BL124"/>
  <c r="AZ124" s="1"/>
  <c r="G125"/>
  <c r="BA127"/>
  <c r="AZ127"/>
  <c r="BL128"/>
  <c r="G129"/>
  <c r="BA131"/>
  <c r="AZ131"/>
  <c r="BL132"/>
  <c r="AZ132"/>
  <c r="G133"/>
  <c r="BA135"/>
  <c r="AZ135" s="1"/>
  <c r="BL136"/>
  <c r="AZ136"/>
  <c r="G137"/>
  <c r="BA139"/>
  <c r="AZ139"/>
  <c r="BL140"/>
  <c r="G141"/>
  <c r="BA143"/>
  <c r="BL144"/>
  <c r="G145"/>
  <c r="BA147"/>
  <c r="BL148"/>
  <c r="AZ148"/>
  <c r="G149"/>
  <c r="BA151"/>
  <c r="AZ151"/>
  <c r="BL152"/>
  <c r="AZ152" s="1"/>
  <c r="G153"/>
  <c r="BA155"/>
  <c r="AZ155"/>
  <c r="BL156"/>
  <c r="AZ156" s="1"/>
  <c r="G157"/>
  <c r="BA159"/>
  <c r="AZ159"/>
  <c r="BL160"/>
  <c r="AZ160"/>
  <c r="G161"/>
  <c r="BA163"/>
  <c r="AZ163" s="1"/>
  <c r="BL164"/>
  <c r="AZ164"/>
  <c r="G165"/>
  <c r="BA167"/>
  <c r="AZ167"/>
  <c r="BL168"/>
  <c r="AZ168" s="1"/>
  <c r="G169"/>
  <c r="BA171"/>
  <c r="BL172"/>
  <c r="AZ172" s="1"/>
  <c r="G173"/>
  <c r="BA175"/>
  <c r="BL176"/>
  <c r="G177"/>
  <c r="BA179"/>
  <c r="AZ179"/>
  <c r="BL180"/>
  <c r="AZ180"/>
  <c r="G181"/>
  <c r="BA183"/>
  <c r="AZ183" s="1"/>
  <c r="BL184"/>
  <c r="G185"/>
  <c r="BA187"/>
  <c r="BL188"/>
  <c r="G189"/>
  <c r="BA191"/>
  <c r="AZ191"/>
  <c r="BL192"/>
  <c r="AZ192"/>
  <c r="G193"/>
  <c r="BA195"/>
  <c r="AZ195"/>
  <c r="BL196"/>
  <c r="AZ196" s="1"/>
  <c r="G197"/>
  <c r="BA199"/>
  <c r="AZ199" s="1"/>
  <c r="BL200"/>
  <c r="AZ200"/>
  <c r="G201"/>
  <c r="BA203"/>
  <c r="AZ203" s="1"/>
  <c r="BL204"/>
  <c r="AZ204"/>
  <c r="AZ39"/>
  <c r="AZ59"/>
  <c r="AZ63"/>
  <c r="AZ67"/>
  <c r="AZ71"/>
  <c r="AZ75"/>
  <c r="AZ83"/>
  <c r="AZ85"/>
  <c r="AZ89"/>
  <c r="AZ93"/>
  <c r="AZ97"/>
  <c r="AZ101"/>
  <c r="AZ105"/>
  <c r="AZ109"/>
  <c r="AZ128"/>
  <c r="G534"/>
  <c r="G530"/>
  <c r="G522"/>
  <c r="G516"/>
  <c r="G512"/>
  <c r="G506"/>
  <c r="G498"/>
  <c r="G494"/>
  <c r="G16"/>
  <c r="G15"/>
  <c r="BA304"/>
  <c r="AZ304"/>
  <c r="BA305"/>
  <c r="AZ305" s="1"/>
  <c r="BL305"/>
  <c r="G306"/>
  <c r="G309"/>
  <c r="BL310"/>
  <c r="BA312"/>
  <c r="AZ312"/>
  <c r="BA313"/>
  <c r="AZ313" s="1"/>
  <c r="BL313"/>
  <c r="G314"/>
  <c r="G317"/>
  <c r="BL318"/>
  <c r="BA320"/>
  <c r="AZ320"/>
  <c r="BA321"/>
  <c r="AZ321" s="1"/>
  <c r="BL321"/>
  <c r="G322"/>
  <c r="G325"/>
  <c r="BL326"/>
  <c r="BA328"/>
  <c r="AZ328"/>
  <c r="BA329"/>
  <c r="AZ329" s="1"/>
  <c r="BL329"/>
  <c r="G330"/>
  <c r="G333"/>
  <c r="BL334"/>
  <c r="BA336"/>
  <c r="BA337"/>
  <c r="AZ337" s="1"/>
  <c r="BL337"/>
  <c r="G338"/>
  <c r="G341"/>
  <c r="BA342"/>
  <c r="BL342"/>
  <c r="AZ342"/>
  <c r="BA344"/>
  <c r="AZ344" s="1"/>
  <c r="BL344"/>
  <c r="BA346"/>
  <c r="AZ346" s="1"/>
  <c r="BA347"/>
  <c r="BL347"/>
  <c r="AZ347"/>
  <c r="G350"/>
  <c r="BA351"/>
  <c r="BL351"/>
  <c r="AZ351"/>
  <c r="G352"/>
  <c r="G354"/>
  <c r="BA355"/>
  <c r="AZ355"/>
  <c r="BA356"/>
  <c r="BL356"/>
  <c r="G357"/>
  <c r="G360"/>
  <c r="BL361"/>
  <c r="BA363"/>
  <c r="AZ363"/>
  <c r="BA364"/>
  <c r="AZ364" s="1"/>
  <c r="BL364"/>
  <c r="G365"/>
  <c r="G368"/>
  <c r="BL369"/>
  <c r="BA371"/>
  <c r="AZ371"/>
  <c r="BA372"/>
  <c r="AZ372" s="1"/>
  <c r="BL372"/>
  <c r="G373"/>
  <c r="G376"/>
  <c r="BL377"/>
  <c r="BL379"/>
  <c r="AZ379"/>
  <c r="BA381"/>
  <c r="AZ381" s="1"/>
  <c r="BA382"/>
  <c r="AZ382"/>
  <c r="BL382"/>
  <c r="G383"/>
  <c r="G386"/>
  <c r="BL387"/>
  <c r="AZ387" s="1"/>
  <c r="BA389"/>
  <c r="BA390"/>
  <c r="BL390"/>
  <c r="G391"/>
  <c r="G394"/>
  <c r="AZ138"/>
  <c r="AZ150"/>
  <c r="AZ154"/>
  <c r="AZ158"/>
  <c r="AZ162"/>
  <c r="AZ166"/>
  <c r="AZ170"/>
  <c r="AZ194"/>
  <c r="AZ198"/>
  <c r="AZ202"/>
  <c r="AZ500"/>
  <c r="BA16"/>
  <c r="AZ16"/>
  <c r="BL303"/>
  <c r="G304"/>
  <c r="BA306"/>
  <c r="BL307"/>
  <c r="AZ307" s="1"/>
  <c r="G308"/>
  <c r="BA310"/>
  <c r="AZ310"/>
  <c r="BL311"/>
  <c r="G312"/>
  <c r="BA314"/>
  <c r="AZ314" s="1"/>
  <c r="BL315"/>
  <c r="AZ315" s="1"/>
  <c r="G316"/>
  <c r="BA318"/>
  <c r="AZ318" s="1"/>
  <c r="BL319"/>
  <c r="AZ319"/>
  <c r="G320"/>
  <c r="BA322"/>
  <c r="BL323"/>
  <c r="AZ323"/>
  <c r="G324"/>
  <c r="BA326"/>
  <c r="AZ326"/>
  <c r="BL327"/>
  <c r="AZ327"/>
  <c r="G328"/>
  <c r="BA330"/>
  <c r="AZ330"/>
  <c r="BL331"/>
  <c r="AZ331" s="1"/>
  <c r="G332"/>
  <c r="BA334"/>
  <c r="AZ334"/>
  <c r="BL335"/>
  <c r="G336"/>
  <c r="BA338"/>
  <c r="AZ338"/>
  <c r="BL339"/>
  <c r="AZ339"/>
  <c r="G340"/>
  <c r="BL343"/>
  <c r="G344"/>
  <c r="G348"/>
  <c r="G355"/>
  <c r="AZ209"/>
  <c r="AZ214"/>
  <c r="AZ218"/>
  <c r="AZ222"/>
  <c r="AZ303"/>
  <c r="AZ335"/>
  <c r="G342"/>
  <c r="BL345"/>
  <c r="AZ345"/>
  <c r="G346"/>
  <c r="AZ348"/>
  <c r="BL349"/>
  <c r="AZ349"/>
  <c r="BL352"/>
  <c r="G353"/>
  <c r="BA357"/>
  <c r="AZ357"/>
  <c r="BL358"/>
  <c r="AZ358"/>
  <c r="G359"/>
  <c r="BA361"/>
  <c r="AZ361" s="1"/>
  <c r="BL362"/>
  <c r="G363"/>
  <c r="BA365"/>
  <c r="AZ365" s="1"/>
  <c r="BL366"/>
  <c r="AZ366" s="1"/>
  <c r="G367"/>
  <c r="BA369"/>
  <c r="AZ369"/>
  <c r="BL370"/>
  <c r="AZ370"/>
  <c r="G371"/>
  <c r="BA373"/>
  <c r="AZ373" s="1"/>
  <c r="BL374"/>
  <c r="AZ374" s="1"/>
  <c r="G375"/>
  <c r="BA377"/>
  <c r="AZ377" s="1"/>
  <c r="AZ229"/>
  <c r="AZ233"/>
  <c r="AZ237"/>
  <c r="AZ241"/>
  <c r="AZ245"/>
  <c r="AZ249"/>
  <c r="AZ253"/>
  <c r="AZ257"/>
  <c r="AZ261"/>
  <c r="AZ265"/>
  <c r="BA379"/>
  <c r="BL380"/>
  <c r="AZ380" s="1"/>
  <c r="G381"/>
  <c r="BA383"/>
  <c r="AZ383" s="1"/>
  <c r="BL384"/>
  <c r="AZ384"/>
  <c r="G385"/>
  <c r="BA387"/>
  <c r="BL388"/>
  <c r="AZ388"/>
  <c r="G389"/>
  <c r="BA391"/>
  <c r="AZ391"/>
  <c r="BL392"/>
  <c r="AZ392" s="1"/>
  <c r="G393"/>
  <c r="AZ263"/>
  <c r="AZ279"/>
  <c r="AZ283"/>
  <c r="AZ287"/>
  <c r="AZ291"/>
  <c r="AZ295"/>
  <c r="AZ299"/>
  <c r="BM5"/>
  <c r="BJ5"/>
  <c r="BF5"/>
  <c r="AZ317"/>
  <c r="AZ333"/>
  <c r="AC5"/>
  <c r="AZ506"/>
  <c r="AZ496"/>
  <c r="G548"/>
  <c r="G538"/>
  <c r="G520"/>
  <c r="G502"/>
  <c r="BS5"/>
  <c r="BP5"/>
  <c r="BN5"/>
  <c r="G29" i="6" s="1"/>
  <c r="G30" s="1"/>
  <c r="BK5" i="3"/>
  <c r="BI5"/>
  <c r="BG5"/>
  <c r="BE5"/>
  <c r="BC5"/>
  <c r="G17"/>
  <c r="BA17"/>
  <c r="BT5"/>
  <c r="AZ350"/>
  <c r="AZ352"/>
  <c r="AZ356"/>
  <c r="AZ368"/>
  <c r="BA15"/>
  <c r="AZ15" s="1"/>
  <c r="BR5"/>
  <c r="G28" i="6"/>
  <c r="AZ396" i="3"/>
  <c r="AZ499"/>
  <c r="AZ509"/>
  <c r="G509"/>
  <c r="AZ390"/>
  <c r="AZ493"/>
  <c r="U36" i="40"/>
  <c r="F48" i="43"/>
  <c r="H52"/>
  <c r="F70"/>
  <c r="H75" s="1"/>
  <c r="M11"/>
  <c r="F6" i="1"/>
  <c r="I20" i="43"/>
  <c r="U17" i="39"/>
  <c r="S14" i="35"/>
  <c r="U43" i="21"/>
  <c r="U35"/>
  <c r="AC35"/>
  <c r="U10"/>
  <c r="F48" i="9"/>
  <c r="O52"/>
  <c r="AZ501" i="3"/>
  <c r="W37" i="37"/>
  <c r="W44" i="34"/>
  <c r="AC44"/>
  <c r="S15" i="37"/>
  <c r="U13"/>
  <c r="U12" i="40"/>
  <c r="AA12"/>
  <c r="J37" i="33"/>
  <c r="W37" s="1"/>
  <c r="AC17" i="34"/>
  <c r="G106" i="33"/>
  <c r="H106"/>
  <c r="I106" s="1"/>
  <c r="J106" s="1"/>
  <c r="K106" s="1"/>
  <c r="L106" s="1"/>
  <c r="M106" s="1"/>
  <c r="J34"/>
  <c r="W34"/>
  <c r="F33" i="34"/>
  <c r="S33"/>
  <c r="W12" i="36"/>
  <c r="AC12"/>
  <c r="H20"/>
  <c r="U20"/>
  <c r="J20"/>
  <c r="W20"/>
  <c r="W24"/>
  <c r="J27"/>
  <c r="W27" s="1"/>
  <c r="AC33" i="40"/>
  <c r="F111"/>
  <c r="G111"/>
  <c r="H111" s="1"/>
  <c r="I111" s="1"/>
  <c r="J111" s="1"/>
  <c r="K111" s="1"/>
  <c r="L111" s="1"/>
  <c r="M111" s="1"/>
  <c r="H35"/>
  <c r="AB35"/>
  <c r="AC29" i="35"/>
  <c r="W29"/>
  <c r="H35" i="37"/>
  <c r="U35"/>
  <c r="AC14" i="35"/>
  <c r="H20"/>
  <c r="U20"/>
  <c r="F20"/>
  <c r="AA20" s="1"/>
  <c r="AB23"/>
  <c r="AB29" i="36"/>
  <c r="U29"/>
  <c r="H32" i="37"/>
  <c r="AB32"/>
  <c r="F96"/>
  <c r="G96" s="1"/>
  <c r="H96" s="1"/>
  <c r="I96" s="1"/>
  <c r="J96" s="1"/>
  <c r="K96" s="1"/>
  <c r="L96" s="1"/>
  <c r="M96" s="1"/>
  <c r="H27" i="40"/>
  <c r="U27" s="1"/>
  <c r="J27"/>
  <c r="AC27"/>
  <c r="F27"/>
  <c r="S27" s="1"/>
  <c r="J30"/>
  <c r="AC30" s="1"/>
  <c r="F30"/>
  <c r="AA30" s="1"/>
  <c r="AC21"/>
  <c r="S31" i="39"/>
  <c r="S11" i="40"/>
  <c r="E98"/>
  <c r="F98"/>
  <c r="G98" s="1"/>
  <c r="H98" s="1"/>
  <c r="I98" s="1"/>
  <c r="J98" s="1"/>
  <c r="K98" s="1"/>
  <c r="L98" s="1"/>
  <c r="M98" s="1"/>
  <c r="F10" i="33"/>
  <c r="S10" s="1"/>
  <c r="F34"/>
  <c r="S34" s="1"/>
  <c r="H34"/>
  <c r="U34" s="1"/>
  <c r="F35"/>
  <c r="S35" s="1"/>
  <c r="F39" i="34"/>
  <c r="S39" s="1"/>
  <c r="J39"/>
  <c r="W39" s="1"/>
  <c r="F40"/>
  <c r="S40" s="1"/>
  <c r="F43"/>
  <c r="AA43" s="1"/>
  <c r="H44"/>
  <c r="AB44" s="1"/>
  <c r="AC38" i="39"/>
  <c r="F39"/>
  <c r="S39"/>
  <c r="J39"/>
  <c r="AC39" s="1"/>
  <c r="W39"/>
  <c r="E97"/>
  <c r="F97" s="1"/>
  <c r="G97" s="1"/>
  <c r="AZ353" i="3"/>
  <c r="AZ354"/>
  <c r="AZ386"/>
  <c r="AZ215"/>
  <c r="AZ223"/>
  <c r="AZ227"/>
  <c r="AZ232"/>
  <c r="AZ235"/>
  <c r="AZ240"/>
  <c r="AZ243"/>
  <c r="AZ248"/>
  <c r="AZ251"/>
  <c r="AZ256"/>
  <c r="AZ259"/>
  <c r="AZ268"/>
  <c r="AZ271"/>
  <c r="AZ288"/>
  <c r="AZ296"/>
  <c r="AZ114"/>
  <c r="AZ117"/>
  <c r="AZ130"/>
  <c r="AZ29"/>
  <c r="AZ31"/>
  <c r="AZ33"/>
  <c r="AZ37"/>
  <c r="AZ42"/>
  <c r="AZ45"/>
  <c r="AZ58"/>
  <c r="AZ61"/>
  <c r="AZ66"/>
  <c r="AZ69"/>
  <c r="AZ72"/>
  <c r="AZ74"/>
  <c r="AZ77"/>
  <c r="AZ82"/>
  <c r="AZ86"/>
  <c r="AZ102"/>
  <c r="AZ110"/>
  <c r="F23" i="39"/>
  <c r="AA23"/>
  <c r="H27" i="36"/>
  <c r="U27"/>
  <c r="F27"/>
  <c r="AA27"/>
  <c r="H33" i="34"/>
  <c r="U33"/>
  <c r="F32" i="37"/>
  <c r="S32"/>
  <c r="F20" i="36"/>
  <c r="AA20" s="1"/>
  <c r="J33" i="34"/>
  <c r="AC33" s="1"/>
  <c r="H23" i="39"/>
  <c r="U23" s="1"/>
  <c r="D48" i="9"/>
  <c r="M52" s="1"/>
  <c r="K9" i="1"/>
  <c r="M9" s="1"/>
  <c r="AE9"/>
  <c r="K6"/>
  <c r="AC26" i="33"/>
  <c r="W26"/>
  <c r="W27" i="34"/>
  <c r="AC27"/>
  <c r="AB34" i="36"/>
  <c r="U34"/>
  <c r="AB33"/>
  <c r="U33"/>
  <c r="AC12" i="39"/>
  <c r="W12"/>
  <c r="AC39" i="40"/>
  <c r="W39"/>
  <c r="AZ412" i="3"/>
  <c r="AZ417"/>
  <c r="AZ428"/>
  <c r="AZ433"/>
  <c r="AZ465"/>
  <c r="AZ586"/>
  <c r="W12" i="33"/>
  <c r="AC12"/>
  <c r="AA32" i="36"/>
  <c r="S32"/>
  <c r="AZ408" i="3"/>
  <c r="AZ437"/>
  <c r="AZ441"/>
  <c r="AZ490"/>
  <c r="AA39" i="34"/>
  <c r="BL14" i="3"/>
  <c r="AZ266"/>
  <c r="U30" i="33"/>
  <c r="AC13" i="34"/>
  <c r="AA47"/>
  <c r="W28" i="37"/>
  <c r="S19" i="39"/>
  <c r="F12" i="33"/>
  <c r="AA12" s="1"/>
  <c r="H12" i="39"/>
  <c r="AB12"/>
  <c r="F39" i="40"/>
  <c r="BA14" i="3"/>
  <c r="AZ14" s="1"/>
  <c r="AZ367"/>
  <c r="AZ213"/>
  <c r="AZ224"/>
  <c r="AZ234"/>
  <c r="AZ238"/>
  <c r="AZ250"/>
  <c r="AZ254"/>
  <c r="AZ281"/>
  <c r="AZ286"/>
  <c r="AZ297"/>
  <c r="AZ157"/>
  <c r="AZ165"/>
  <c r="AZ19"/>
  <c r="AZ26"/>
  <c r="AZ35"/>
  <c r="S12" i="1"/>
  <c r="R12"/>
  <c r="B12"/>
  <c r="E12" s="1"/>
  <c r="S10"/>
  <c r="AR10" s="1"/>
  <c r="R10"/>
  <c r="B10"/>
  <c r="E10"/>
  <c r="D1" i="66"/>
  <c r="E10"/>
  <c r="AZ80" i="3"/>
  <c r="AZ107"/>
  <c r="AZ111"/>
  <c r="K12" i="1"/>
  <c r="S13"/>
  <c r="AR13"/>
  <c r="R13"/>
  <c r="S11"/>
  <c r="AQ11" s="1"/>
  <c r="R11"/>
  <c r="S9"/>
  <c r="AR9"/>
  <c r="R9"/>
  <c r="J51" i="67"/>
  <c r="C42" i="1"/>
  <c r="H100" i="43"/>
  <c r="C30" i="66"/>
  <c r="E26"/>
  <c r="B41" i="1"/>
  <c r="F30" i="68"/>
  <c r="S22" i="31"/>
  <c r="J100" i="43"/>
  <c r="AB37" i="40"/>
  <c r="S35"/>
  <c r="U35"/>
  <c r="AC36"/>
  <c r="AA32"/>
  <c r="S17"/>
  <c r="S23"/>
  <c r="AC17"/>
  <c r="AC15"/>
  <c r="AA19"/>
  <c r="S28"/>
  <c r="AA27"/>
  <c r="U21"/>
  <c r="AB19"/>
  <c r="W42" i="39"/>
  <c r="U37"/>
  <c r="S43"/>
  <c r="S37"/>
  <c r="U35"/>
  <c r="F32"/>
  <c r="F107"/>
  <c r="G107"/>
  <c r="H107" s="1"/>
  <c r="I107" s="1"/>
  <c r="J107" s="1"/>
  <c r="K107" s="1"/>
  <c r="L107" s="1"/>
  <c r="M107" s="1"/>
  <c r="U25"/>
  <c r="AB27"/>
  <c r="U31"/>
  <c r="S25"/>
  <c r="J21"/>
  <c r="F21"/>
  <c r="G95"/>
  <c r="H21"/>
  <c r="U21" s="1"/>
  <c r="W19"/>
  <c r="U19"/>
  <c r="S17"/>
  <c r="AC15"/>
  <c r="S15"/>
  <c r="AB15"/>
  <c r="AA12"/>
  <c r="S9"/>
  <c r="U14"/>
  <c r="AC13"/>
  <c r="S23" i="36"/>
  <c r="U13"/>
  <c r="AC27"/>
  <c r="AB27"/>
  <c r="U26"/>
  <c r="S33"/>
  <c r="AA26"/>
  <c r="AA34"/>
  <c r="S29"/>
  <c r="AC26"/>
  <c r="AA22"/>
  <c r="W14"/>
  <c r="AB14"/>
  <c r="U22"/>
  <c r="S16"/>
  <c r="AA25"/>
  <c r="S24"/>
  <c r="U24"/>
  <c r="U23"/>
  <c r="AB20"/>
  <c r="U16"/>
  <c r="S14"/>
  <c r="U10"/>
  <c r="W10"/>
  <c r="AA25" i="35"/>
  <c r="S23"/>
  <c r="W24"/>
  <c r="AB13"/>
  <c r="U29"/>
  <c r="U28"/>
  <c r="AB27"/>
  <c r="U32"/>
  <c r="AA33"/>
  <c r="AC30"/>
  <c r="S32"/>
  <c r="AA36"/>
  <c r="W32"/>
  <c r="S28"/>
  <c r="AB16"/>
  <c r="U22"/>
  <c r="AC20"/>
  <c r="S22"/>
  <c r="U14"/>
  <c r="AC10"/>
  <c r="AA10"/>
  <c r="AB10"/>
  <c r="AA11"/>
  <c r="S8"/>
  <c r="AC9"/>
  <c r="W9"/>
  <c r="W13"/>
  <c r="F9"/>
  <c r="H9"/>
  <c r="F26"/>
  <c r="AA26" s="1"/>
  <c r="J26"/>
  <c r="AC26" s="1"/>
  <c r="H26"/>
  <c r="U26" s="1"/>
  <c r="AB40" i="37"/>
  <c r="W27"/>
  <c r="S26"/>
  <c r="AC9"/>
  <c r="AC29"/>
  <c r="U29"/>
  <c r="AB31"/>
  <c r="W30"/>
  <c r="S36"/>
  <c r="AA38"/>
  <c r="U32"/>
  <c r="W38"/>
  <c r="AC35"/>
  <c r="W39"/>
  <c r="S30"/>
  <c r="S37"/>
  <c r="AC15"/>
  <c r="J17"/>
  <c r="AC17" s="1"/>
  <c r="W17"/>
  <c r="G73"/>
  <c r="F17"/>
  <c r="AA17" s="1"/>
  <c r="AB17"/>
  <c r="F75"/>
  <c r="F19"/>
  <c r="S19" s="1"/>
  <c r="F79"/>
  <c r="G79" s="1"/>
  <c r="F23"/>
  <c r="S23" s="1"/>
  <c r="U23"/>
  <c r="U15"/>
  <c r="AC13"/>
  <c r="U9"/>
  <c r="AA13"/>
  <c r="AA12"/>
  <c r="AA9"/>
  <c r="H10"/>
  <c r="H60"/>
  <c r="F63"/>
  <c r="F11"/>
  <c r="S11" s="1"/>
  <c r="S27" i="34"/>
  <c r="W25"/>
  <c r="AB8"/>
  <c r="AA33"/>
  <c r="U44"/>
  <c r="U43"/>
  <c r="AC39"/>
  <c r="W41"/>
  <c r="AC42"/>
  <c r="AB35"/>
  <c r="U39"/>
  <c r="AB41"/>
  <c r="AA45"/>
  <c r="W34"/>
  <c r="AA25"/>
  <c r="U28"/>
  <c r="S17"/>
  <c r="AA29"/>
  <c r="U27"/>
  <c r="S23"/>
  <c r="U15"/>
  <c r="S10"/>
  <c r="S13"/>
  <c r="H67"/>
  <c r="I67"/>
  <c r="H10"/>
  <c r="F11"/>
  <c r="S11" s="1"/>
  <c r="F70"/>
  <c r="G70" s="1"/>
  <c r="W42" i="33"/>
  <c r="AA35"/>
  <c r="S27"/>
  <c r="S32"/>
  <c r="AA29"/>
  <c r="AB29"/>
  <c r="W38"/>
  <c r="H41"/>
  <c r="AB41" s="1"/>
  <c r="F121"/>
  <c r="G121"/>
  <c r="H121" s="1"/>
  <c r="I121" s="1"/>
  <c r="J121" s="1"/>
  <c r="K121" s="1"/>
  <c r="L121" s="1"/>
  <c r="M121" s="1"/>
  <c r="U42"/>
  <c r="S42"/>
  <c r="F36"/>
  <c r="G111"/>
  <c r="G108"/>
  <c r="H108"/>
  <c r="I108" s="1"/>
  <c r="J108" s="1"/>
  <c r="K108" s="1"/>
  <c r="L108" s="1"/>
  <c r="M108" s="1"/>
  <c r="J35"/>
  <c r="AC35" s="1"/>
  <c r="S37"/>
  <c r="AA37"/>
  <c r="S39"/>
  <c r="F101"/>
  <c r="G101"/>
  <c r="H101" s="1"/>
  <c r="I101" s="1"/>
  <c r="J101" s="1"/>
  <c r="K101" s="1"/>
  <c r="L101" s="1"/>
  <c r="M101" s="1"/>
  <c r="J32"/>
  <c r="W32"/>
  <c r="S46"/>
  <c r="W43"/>
  <c r="S43"/>
  <c r="F91"/>
  <c r="H27"/>
  <c r="F87"/>
  <c r="G87" s="1"/>
  <c r="H25"/>
  <c r="F25"/>
  <c r="J23"/>
  <c r="W23"/>
  <c r="F85"/>
  <c r="H23"/>
  <c r="U23" s="1"/>
  <c r="F81"/>
  <c r="F19"/>
  <c r="AA19" s="1"/>
  <c r="W19"/>
  <c r="J17"/>
  <c r="AC17"/>
  <c r="F79"/>
  <c r="G79"/>
  <c r="S15"/>
  <c r="W15"/>
  <c r="U9"/>
  <c r="I66"/>
  <c r="J10"/>
  <c r="W10"/>
  <c r="H10"/>
  <c r="AA10"/>
  <c r="AC11"/>
  <c r="AB14"/>
  <c r="W43" i="21"/>
  <c r="W36"/>
  <c r="W41"/>
  <c r="AB39"/>
  <c r="AA43"/>
  <c r="S39"/>
  <c r="AA38"/>
  <c r="AA36"/>
  <c r="AC40"/>
  <c r="J15"/>
  <c r="W15" s="1"/>
  <c r="F77"/>
  <c r="G77" s="1"/>
  <c r="F23"/>
  <c r="S23" s="1"/>
  <c r="E85"/>
  <c r="AC11"/>
  <c r="AA14"/>
  <c r="AB8"/>
  <c r="S8"/>
  <c r="D120" i="9"/>
  <c r="C18"/>
  <c r="D18" s="1"/>
  <c r="F34" i="67"/>
  <c r="F62" s="1"/>
  <c r="M20"/>
  <c r="F34" i="15"/>
  <c r="F62"/>
  <c r="G13" i="3"/>
  <c r="BL17"/>
  <c r="AZ17" s="1"/>
  <c r="BL13"/>
  <c r="J56" i="9"/>
  <c r="J57"/>
  <c r="J59" s="1"/>
  <c r="J61" s="1"/>
  <c r="U29" i="34"/>
  <c r="E32" i="6"/>
  <c r="L19"/>
  <c r="G1" i="68"/>
  <c r="K1" i="12"/>
  <c r="E19" i="11"/>
  <c r="E1" i="73"/>
  <c r="G41" i="69"/>
  <c r="G22"/>
  <c r="G41" i="68"/>
  <c r="G22"/>
  <c r="G27" i="12"/>
  <c r="G26"/>
  <c r="G41" i="11"/>
  <c r="G22"/>
  <c r="G25" i="12"/>
  <c r="C100" i="43"/>
  <c r="E11"/>
  <c r="E10"/>
  <c r="E9"/>
  <c r="E8"/>
  <c r="E70"/>
  <c r="B68"/>
  <c r="F100"/>
  <c r="C7" i="39"/>
  <c r="C68" s="1"/>
  <c r="D68" s="1"/>
  <c r="C7" i="35"/>
  <c r="C48" s="1"/>
  <c r="C7" i="33"/>
  <c r="C58"/>
  <c r="D58" s="1"/>
  <c r="C7" i="21"/>
  <c r="C58"/>
  <c r="D58" s="1"/>
  <c r="C7" i="40"/>
  <c r="C63" s="1"/>
  <c r="D63" s="1"/>
  <c r="D65" s="1"/>
  <c r="M47" i="9"/>
  <c r="G19" i="43"/>
  <c r="T35" i="4"/>
  <c r="A19" i="51" s="1"/>
  <c r="B14" i="72" s="1"/>
  <c r="C46" i="36"/>
  <c r="D46"/>
  <c r="C59" i="34"/>
  <c r="D59"/>
  <c r="A4" i="51"/>
  <c r="B6" i="72"/>
  <c r="C4" i="12"/>
  <c r="L20" i="6"/>
  <c r="B6" i="1"/>
  <c r="E6"/>
  <c r="S8"/>
  <c r="AR8"/>
  <c r="K11"/>
  <c r="M11"/>
  <c r="AP6"/>
  <c r="B9"/>
  <c r="E9" s="1"/>
  <c r="K7"/>
  <c r="M7" s="1"/>
  <c r="O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c r="L101" s="1"/>
  <c r="M101" s="1"/>
  <c r="F33"/>
  <c r="AA33"/>
  <c r="J33"/>
  <c r="H33"/>
  <c r="AB33" s="1"/>
  <c r="F37"/>
  <c r="AA26"/>
  <c r="AB14"/>
  <c r="AB46"/>
  <c r="U40"/>
  <c r="AB31"/>
  <c r="U31"/>
  <c r="AC15"/>
  <c r="U13"/>
  <c r="AB13"/>
  <c r="W8"/>
  <c r="S35"/>
  <c r="AB37"/>
  <c r="J37"/>
  <c r="H15"/>
  <c r="J17"/>
  <c r="AC17" s="1"/>
  <c r="AC19"/>
  <c r="W39"/>
  <c r="AC14"/>
  <c r="W30"/>
  <c r="S46"/>
  <c r="H45"/>
  <c r="U45"/>
  <c r="F29"/>
  <c r="S29" s="1"/>
  <c r="AA29"/>
  <c r="F13"/>
  <c r="AA13" s="1"/>
  <c r="AC38"/>
  <c r="H32"/>
  <c r="AB32"/>
  <c r="H9"/>
  <c r="J9"/>
  <c r="J32"/>
  <c r="W32" s="1"/>
  <c r="F32"/>
  <c r="AA32" s="1"/>
  <c r="S32"/>
  <c r="AA31"/>
  <c r="U17"/>
  <c r="W29"/>
  <c r="S19"/>
  <c r="S9"/>
  <c r="AA9"/>
  <c r="K141"/>
  <c r="K144"/>
  <c r="K143"/>
  <c r="U27"/>
  <c r="AB25"/>
  <c r="AB44"/>
  <c r="AA30"/>
  <c r="W13"/>
  <c r="W42"/>
  <c r="AC45"/>
  <c r="F10"/>
  <c r="K145"/>
  <c r="W25"/>
  <c r="W31"/>
  <c r="S27"/>
  <c r="S17"/>
  <c r="AA15"/>
  <c r="AC27"/>
  <c r="AC26"/>
  <c r="AB29"/>
  <c r="S28"/>
  <c r="AC34"/>
  <c r="W10"/>
  <c r="W12"/>
  <c r="AB36"/>
  <c r="W30" i="40"/>
  <c r="C19" i="39"/>
  <c r="C15" i="40"/>
  <c r="C17"/>
  <c r="C23"/>
  <c r="C21"/>
  <c r="U30"/>
  <c r="B54" i="43"/>
  <c r="B65"/>
  <c r="B49"/>
  <c r="B52"/>
  <c r="B56"/>
  <c r="B60"/>
  <c r="B63"/>
  <c r="B67"/>
  <c r="D23" i="15"/>
  <c r="D22"/>
  <c r="E4" i="4"/>
  <c r="C4"/>
  <c r="K4" s="1"/>
  <c r="B46" i="48" s="1"/>
  <c r="B4" i="72" s="1"/>
  <c r="M6" i="1"/>
  <c r="S7"/>
  <c r="AR7" s="1"/>
  <c r="T7"/>
  <c r="E7" i="70"/>
  <c r="AA39" i="40"/>
  <c r="S39"/>
  <c r="S12" i="33"/>
  <c r="J32" i="39"/>
  <c r="W32" s="1"/>
  <c r="H32"/>
  <c r="AB32" s="1"/>
  <c r="AA32"/>
  <c r="S32"/>
  <c r="AB21"/>
  <c r="AA21"/>
  <c r="S21"/>
  <c r="AC21"/>
  <c r="W21"/>
  <c r="S26" i="35"/>
  <c r="U9"/>
  <c r="AB9"/>
  <c r="AA9"/>
  <c r="S9"/>
  <c r="W26"/>
  <c r="AB26"/>
  <c r="S17" i="37"/>
  <c r="J19"/>
  <c r="AC19"/>
  <c r="G75"/>
  <c r="AA19"/>
  <c r="AA23"/>
  <c r="J23"/>
  <c r="AC23" s="1"/>
  <c r="J10"/>
  <c r="W10" s="1"/>
  <c r="I60"/>
  <c r="G63"/>
  <c r="H63"/>
  <c r="I63" s="1"/>
  <c r="J63" s="1"/>
  <c r="K63" s="1"/>
  <c r="L63" s="1"/>
  <c r="M63" s="1"/>
  <c r="H11"/>
  <c r="U11" s="1"/>
  <c r="AB10"/>
  <c r="U10"/>
  <c r="H70" i="34"/>
  <c r="I70" s="1"/>
  <c r="J70" s="1"/>
  <c r="K70" s="1"/>
  <c r="L70"/>
  <c r="M70" s="1"/>
  <c r="H11"/>
  <c r="U11" s="1"/>
  <c r="AB10"/>
  <c r="U10"/>
  <c r="J10"/>
  <c r="AC10"/>
  <c r="U41" i="33"/>
  <c r="H111"/>
  <c r="I111" s="1"/>
  <c r="J111"/>
  <c r="K111" s="1"/>
  <c r="L111" s="1"/>
  <c r="M111" s="1"/>
  <c r="J36"/>
  <c r="H36"/>
  <c r="AB36" s="1"/>
  <c r="S36"/>
  <c r="AA36"/>
  <c r="AC32"/>
  <c r="U27"/>
  <c r="AB27"/>
  <c r="G91"/>
  <c r="H91" s="1"/>
  <c r="I91" s="1"/>
  <c r="J91" s="1"/>
  <c r="K91" s="1"/>
  <c r="L91" s="1"/>
  <c r="M91" s="1"/>
  <c r="J27"/>
  <c r="W27"/>
  <c r="U25"/>
  <c r="AB25"/>
  <c r="S25"/>
  <c r="AA25"/>
  <c r="H87"/>
  <c r="I87" s="1"/>
  <c r="J87"/>
  <c r="K87" s="1"/>
  <c r="L87" s="1"/>
  <c r="M87" s="1"/>
  <c r="J25"/>
  <c r="AB23"/>
  <c r="F23"/>
  <c r="G85"/>
  <c r="AC23"/>
  <c r="H19"/>
  <c r="U19" s="1"/>
  <c r="G81"/>
  <c r="H17"/>
  <c r="AB17"/>
  <c r="F17"/>
  <c r="AA17"/>
  <c r="W17"/>
  <c r="U10"/>
  <c r="AB10"/>
  <c r="AC10"/>
  <c r="U33" i="21"/>
  <c r="J23"/>
  <c r="W23" s="1"/>
  <c r="F85"/>
  <c r="G85" s="1"/>
  <c r="H23"/>
  <c r="S13"/>
  <c r="D6" i="52"/>
  <c r="D121" i="9"/>
  <c r="D7" i="52" s="1"/>
  <c r="K120" i="9"/>
  <c r="A18" i="62" s="1"/>
  <c r="B64" i="72" s="1"/>
  <c r="AQ7" i="1"/>
  <c r="R22" i="31"/>
  <c r="B21" s="1"/>
  <c r="B5" i="62"/>
  <c r="B73" i="72" s="1"/>
  <c r="AP7" i="1"/>
  <c r="AB45" i="21"/>
  <c r="AC33"/>
  <c r="W33"/>
  <c r="S33"/>
  <c r="AC32"/>
  <c r="AB9"/>
  <c r="U9"/>
  <c r="U32"/>
  <c r="AA10"/>
  <c r="S10"/>
  <c r="U32" i="39"/>
  <c r="W19" i="37"/>
  <c r="AB11"/>
  <c r="J11"/>
  <c r="W11" s="1"/>
  <c r="AC10"/>
  <c r="AB11" i="34"/>
  <c r="J11"/>
  <c r="U36" i="33"/>
  <c r="AC27"/>
  <c r="AB19"/>
  <c r="S17"/>
  <c r="U17"/>
  <c r="AC23" i="21"/>
  <c r="W11" i="34"/>
  <c r="AC11"/>
  <c r="R7" i="1"/>
  <c r="R8"/>
  <c r="AE7"/>
  <c r="AE8"/>
  <c r="AG6"/>
  <c r="H109" i="9"/>
  <c r="D59"/>
  <c r="M55" s="1"/>
  <c r="AD3" i="71"/>
  <c r="J1" i="73"/>
  <c r="C13" i="12"/>
  <c r="N9" i="43"/>
  <c r="S13" i="71"/>
  <c r="AB11"/>
  <c r="X9"/>
  <c r="X8"/>
  <c r="AA9"/>
  <c r="AA8"/>
  <c r="X12"/>
  <c r="Y8"/>
  <c r="Z8"/>
  <c r="AB9"/>
  <c r="AB8"/>
  <c r="S9"/>
  <c r="F10"/>
  <c r="F9" s="1"/>
  <c r="F8" s="1"/>
  <c r="F7" s="1"/>
  <c r="F6" s="1"/>
  <c r="F5" s="1"/>
  <c r="Y9"/>
  <c r="Z9" s="1"/>
  <c r="AB3"/>
  <c r="X3"/>
  <c r="AF3"/>
  <c r="P25" i="43" s="1"/>
  <c r="F31" i="67"/>
  <c r="F31" i="15"/>
  <c r="B24" i="72"/>
  <c r="D9" i="53"/>
  <c r="B25" i="72" s="1"/>
  <c r="B4" i="62"/>
  <c r="B71" i="72" s="1"/>
  <c r="AC11" i="37"/>
  <c r="W10" i="34"/>
  <c r="AC32" i="39"/>
  <c r="U12"/>
  <c r="AA34" i="33"/>
  <c r="AC12" i="37"/>
  <c r="AZ573" i="3"/>
  <c r="AA45" i="33"/>
  <c r="S45"/>
  <c r="AC29"/>
  <c r="W29"/>
  <c r="AA23" i="21"/>
  <c r="AR11" i="1"/>
  <c r="S43" i="34"/>
  <c r="S20" i="35"/>
  <c r="S27" i="36"/>
  <c r="S30" i="40"/>
  <c r="AC34" i="33"/>
  <c r="AA32" i="37"/>
  <c r="AZ503" i="3"/>
  <c r="AZ559"/>
  <c r="AZ504"/>
  <c r="AZ542"/>
  <c r="AZ548"/>
  <c r="U31" i="33"/>
  <c r="W13" i="36"/>
  <c r="S44" i="33"/>
  <c r="AA44"/>
  <c r="S13"/>
  <c r="AA13"/>
  <c r="W12" i="34"/>
  <c r="AC12"/>
  <c r="AZ515" i="3"/>
  <c r="S14" i="33"/>
  <c r="AA14"/>
  <c r="AC11" i="35"/>
  <c r="W11"/>
  <c r="AC34"/>
  <c r="W34"/>
  <c r="W17" i="21"/>
  <c r="G31" i="6"/>
  <c r="AZ508" i="3"/>
  <c r="AZ558"/>
  <c r="W11" i="36"/>
  <c r="U13" i="34"/>
  <c r="AB13"/>
  <c r="AC40" i="37"/>
  <c r="W40"/>
  <c r="U11" i="36"/>
  <c r="AB11"/>
  <c r="U26" i="33"/>
  <c r="AB26"/>
  <c r="U30" i="35"/>
  <c r="U34" i="34"/>
  <c r="AB33" i="33"/>
  <c r="AC39"/>
  <c r="F12" i="34"/>
  <c r="F12" i="35"/>
  <c r="F44" i="39"/>
  <c r="F40" i="40"/>
  <c r="AA40" s="1"/>
  <c r="W31" i="35"/>
  <c r="AC31"/>
  <c r="J44" i="39"/>
  <c r="J12" i="35"/>
  <c r="F9" i="36"/>
  <c r="H9"/>
  <c r="H25" i="37"/>
  <c r="F25"/>
  <c r="AA25" s="1"/>
  <c r="H34" i="35"/>
  <c r="F34"/>
  <c r="H36"/>
  <c r="J36"/>
  <c r="G574" i="3"/>
  <c r="G551"/>
  <c r="BL548"/>
  <c r="AZ405"/>
  <c r="AZ429"/>
  <c r="AZ431"/>
  <c r="AZ436"/>
  <c r="AZ444"/>
  <c r="AZ452"/>
  <c r="AZ460"/>
  <c r="AZ480"/>
  <c r="G542"/>
  <c r="AZ398"/>
  <c r="AZ402"/>
  <c r="AZ406"/>
  <c r="AZ424"/>
  <c r="AZ426"/>
  <c r="AZ443"/>
  <c r="AZ446"/>
  <c r="AZ449"/>
  <c r="AZ451"/>
  <c r="AZ469"/>
  <c r="AZ403"/>
  <c r="AZ422"/>
  <c r="AZ423"/>
  <c r="AZ427"/>
  <c r="AZ434"/>
  <c r="AZ448"/>
  <c r="AZ476"/>
  <c r="BH5"/>
  <c r="BD5"/>
  <c r="A15" i="62"/>
  <c r="B61" i="72"/>
  <c r="BL454" i="3"/>
  <c r="G459"/>
  <c r="AZ470"/>
  <c r="AZ228"/>
  <c r="AZ239"/>
  <c r="AZ244"/>
  <c r="AZ247"/>
  <c r="AZ255"/>
  <c r="AZ264"/>
  <c r="AZ270"/>
  <c r="AZ298"/>
  <c r="AZ301"/>
  <c r="AZ125"/>
  <c r="AZ145"/>
  <c r="BA454"/>
  <c r="AZ454" s="1"/>
  <c r="BL457"/>
  <c r="AZ457" s="1"/>
  <c r="BL463"/>
  <c r="AZ463" s="1"/>
  <c r="BL468"/>
  <c r="AZ468" s="1"/>
  <c r="BL472"/>
  <c r="AZ472"/>
  <c r="BA474"/>
  <c r="AZ474" s="1"/>
  <c r="BA478"/>
  <c r="AZ478"/>
  <c r="BA482"/>
  <c r="AZ482" s="1"/>
  <c r="BA486"/>
  <c r="AZ486"/>
  <c r="AZ487"/>
  <c r="BB5"/>
  <c r="E8" i="6"/>
  <c r="G456" i="3"/>
  <c r="BL461"/>
  <c r="BA467"/>
  <c r="AZ467"/>
  <c r="BA471"/>
  <c r="AZ471" s="1"/>
  <c r="BL473"/>
  <c r="AZ473"/>
  <c r="BL477"/>
  <c r="AZ477" s="1"/>
  <c r="BL481"/>
  <c r="AZ481" s="1"/>
  <c r="AZ484"/>
  <c r="AZ485"/>
  <c r="BL489"/>
  <c r="AZ489" s="1"/>
  <c r="BL491"/>
  <c r="AZ491"/>
  <c r="AZ316"/>
  <c r="AZ385"/>
  <c r="AZ397"/>
  <c r="AZ210"/>
  <c r="AZ216"/>
  <c r="AZ217"/>
  <c r="AZ225"/>
  <c r="AZ260"/>
  <c r="AZ274"/>
  <c r="AZ294"/>
  <c r="AZ137"/>
  <c r="BO5"/>
  <c r="F29" i="6" s="1"/>
  <c r="E29" s="1"/>
  <c r="K15" i="1" s="1"/>
  <c r="BQ5" i="3"/>
  <c r="F28" i="6"/>
  <c r="AZ461" i="3"/>
  <c r="BL466"/>
  <c r="AZ466" s="1"/>
  <c r="BL470"/>
  <c r="AZ18"/>
  <c r="AZ56"/>
  <c r="AZ60"/>
  <c r="AZ73"/>
  <c r="AZ95"/>
  <c r="AZ99"/>
  <c r="AZ104"/>
  <c r="V65" i="71"/>
  <c r="F64"/>
  <c r="F63" s="1"/>
  <c r="D77"/>
  <c r="C76"/>
  <c r="C75" s="1"/>
  <c r="D75" s="1"/>
  <c r="BA133" i="3"/>
  <c r="AZ133" s="1"/>
  <c r="BA140"/>
  <c r="AZ140"/>
  <c r="BL149"/>
  <c r="AZ149" s="1"/>
  <c r="AZ201"/>
  <c r="AZ38"/>
  <c r="L108" i="43"/>
  <c r="L100"/>
  <c r="D100"/>
  <c r="D108"/>
  <c r="D16" i="71"/>
  <c r="C15"/>
  <c r="D15"/>
  <c r="X22"/>
  <c r="X25"/>
  <c r="X27"/>
  <c r="X24"/>
  <c r="X23"/>
  <c r="AZ161" i="3"/>
  <c r="AZ22"/>
  <c r="AZ87"/>
  <c r="AZ92"/>
  <c r="X18" i="71"/>
  <c r="X16"/>
  <c r="X15"/>
  <c r="C13"/>
  <c r="Y12"/>
  <c r="Z12" s="1"/>
  <c r="Y13"/>
  <c r="Z13"/>
  <c r="Y10"/>
  <c r="Z10" s="1"/>
  <c r="X5"/>
  <c r="AA5"/>
  <c r="AA3"/>
  <c r="X6"/>
  <c r="BL79" i="3"/>
  <c r="BA94"/>
  <c r="AZ94" s="1"/>
  <c r="G9" i="1"/>
  <c r="C21" i="69"/>
  <c r="C40"/>
  <c r="D23" i="71"/>
  <c r="C24"/>
  <c r="X20"/>
  <c r="Y27"/>
  <c r="Z27" s="1"/>
  <c r="Y15"/>
  <c r="Z15" s="1"/>
  <c r="Y28"/>
  <c r="Z28"/>
  <c r="Y26"/>
  <c r="Z26" s="1"/>
  <c r="Y14"/>
  <c r="Z14" s="1"/>
  <c r="D31"/>
  <c r="C32"/>
  <c r="N57"/>
  <c r="S57"/>
  <c r="AC10" i="43"/>
  <c r="AC12"/>
  <c r="X13" i="71"/>
  <c r="X14"/>
  <c r="X10"/>
  <c r="AB12"/>
  <c r="AB10"/>
  <c r="AA6"/>
  <c r="G78" i="3"/>
  <c r="BA84"/>
  <c r="AZ84" s="1"/>
  <c r="BL88"/>
  <c r="AZ88"/>
  <c r="G93"/>
  <c r="G98"/>
  <c r="BA103"/>
  <c r="AZ103"/>
  <c r="G107"/>
  <c r="Y18" i="71"/>
  <c r="Z18" s="1"/>
  <c r="AB18"/>
  <c r="AB16"/>
  <c r="AB21"/>
  <c r="AB14"/>
  <c r="AB15"/>
  <c r="AA18"/>
  <c r="AA22"/>
  <c r="AA21"/>
  <c r="AA20"/>
  <c r="Y24"/>
  <c r="Z24" s="1"/>
  <c r="Y25"/>
  <c r="Z25"/>
  <c r="AB26"/>
  <c r="AB24"/>
  <c r="AB22"/>
  <c r="F27"/>
  <c r="F28" s="1"/>
  <c r="F29" s="1"/>
  <c r="V29" s="1"/>
  <c r="B56"/>
  <c r="AB13"/>
  <c r="X11"/>
  <c r="Y7"/>
  <c r="Z7"/>
  <c r="X7"/>
  <c r="F3" i="35"/>
  <c r="S21" i="33"/>
  <c r="AA21"/>
  <c r="W18" i="35"/>
  <c r="AC18"/>
  <c r="U18" i="36"/>
  <c r="D73" i="71"/>
  <c r="C72"/>
  <c r="AA16"/>
  <c r="AA12"/>
  <c r="AA14"/>
  <c r="AA13"/>
  <c r="AA15"/>
  <c r="AA10"/>
  <c r="AB7"/>
  <c r="N87" i="43"/>
  <c r="E59"/>
  <c r="B57" s="1"/>
  <c r="AB21" i="34"/>
  <c r="S18" i="35"/>
  <c r="B86" i="43"/>
  <c r="Y17" i="71"/>
  <c r="Z17" s="1"/>
  <c r="Y20"/>
  <c r="Z20" s="1"/>
  <c r="X21"/>
  <c r="AA25"/>
  <c r="AE12" i="43"/>
  <c r="E12" i="71"/>
  <c r="E11"/>
  <c r="E10" s="1"/>
  <c r="E9" s="1"/>
  <c r="V13"/>
  <c r="AA11"/>
  <c r="AB5"/>
  <c r="X19"/>
  <c r="AB19"/>
  <c r="Y22"/>
  <c r="Z22" s="1"/>
  <c r="AB25"/>
  <c r="J51" i="15"/>
  <c r="E48" i="43"/>
  <c r="B46" s="1"/>
  <c r="B27" i="71"/>
  <c r="B28"/>
  <c r="B29" s="1"/>
  <c r="S29" s="1"/>
  <c r="X26"/>
  <c r="AG12" i="43"/>
  <c r="Y11" i="71"/>
  <c r="Z11" s="1"/>
  <c r="Y5"/>
  <c r="Z5" s="1"/>
  <c r="Y6"/>
  <c r="Z6" s="1"/>
  <c r="AB6"/>
  <c r="AD10" i="43"/>
  <c r="N7"/>
  <c r="N11"/>
  <c r="N5"/>
  <c r="M1"/>
  <c r="M12"/>
  <c r="N6"/>
  <c r="N8"/>
  <c r="M6"/>
  <c r="M7"/>
  <c r="N12"/>
  <c r="M9"/>
  <c r="C6" s="1"/>
  <c r="M3"/>
  <c r="N4"/>
  <c r="M8"/>
  <c r="M10"/>
  <c r="M4"/>
  <c r="N1"/>
  <c r="N2"/>
  <c r="N10"/>
  <c r="M2"/>
  <c r="M5"/>
  <c r="H49"/>
  <c r="F59"/>
  <c r="H61" s="1"/>
  <c r="A4" i="52"/>
  <c r="B41" i="72"/>
  <c r="D19" i="53"/>
  <c r="D126" i="9"/>
  <c r="I14" i="74" s="1"/>
  <c r="B8" s="1"/>
  <c r="A126" i="9"/>
  <c r="A12" i="52" s="1"/>
  <c r="B56" i="72" s="1"/>
  <c r="H112" i="9"/>
  <c r="D21" i="53" s="1"/>
  <c r="B39" i="72" s="1"/>
  <c r="B19" i="53"/>
  <c r="B37" i="72" s="1"/>
  <c r="C70" i="39"/>
  <c r="G6" i="1"/>
  <c r="P21" i="43"/>
  <c r="C65" i="40"/>
  <c r="A24" i="51"/>
  <c r="B18" i="72"/>
  <c r="P74" i="15"/>
  <c r="D84" i="43"/>
  <c r="D88"/>
  <c r="D81"/>
  <c r="D83"/>
  <c r="J86"/>
  <c r="D86" s="1"/>
  <c r="N17"/>
  <c r="L17"/>
  <c r="F33"/>
  <c r="F35"/>
  <c r="F81"/>
  <c r="H87"/>
  <c r="E17"/>
  <c r="O17"/>
  <c r="F38"/>
  <c r="K17"/>
  <c r="H17"/>
  <c r="J17"/>
  <c r="D17"/>
  <c r="H113"/>
  <c r="X7"/>
  <c r="M17"/>
  <c r="F37"/>
  <c r="F34"/>
  <c r="F39"/>
  <c r="C17"/>
  <c r="I17"/>
  <c r="C94" i="9"/>
  <c r="C24" i="12"/>
  <c r="D78" i="9"/>
  <c r="F54"/>
  <c r="F32" i="67"/>
  <c r="F60"/>
  <c r="F30" i="69"/>
  <c r="C30"/>
  <c r="F28" i="67"/>
  <c r="C28"/>
  <c r="F53" i="9"/>
  <c r="F32" i="15"/>
  <c r="F60" s="1"/>
  <c r="F52" i="9"/>
  <c r="D68"/>
  <c r="F28" i="15"/>
  <c r="C28" s="1"/>
  <c r="M18" i="67"/>
  <c r="F30" i="11"/>
  <c r="C30" i="68"/>
  <c r="C48"/>
  <c r="M18" i="15"/>
  <c r="F31" i="12"/>
  <c r="C31" s="1"/>
  <c r="C40" i="11"/>
  <c r="C40" i="68"/>
  <c r="E19" i="69"/>
  <c r="D22" i="67"/>
  <c r="F11" i="12"/>
  <c r="C23" s="1"/>
  <c r="D23" i="67"/>
  <c r="F34" i="11"/>
  <c r="C36" s="1"/>
  <c r="AQ9" i="1"/>
  <c r="AQ8"/>
  <c r="T11"/>
  <c r="L27" i="6"/>
  <c r="AQ13" i="1"/>
  <c r="C36" i="69"/>
  <c r="T13" i="1"/>
  <c r="F27" i="6"/>
  <c r="Q16" i="1"/>
  <c r="F27" i="69" s="1"/>
  <c r="M12" i="1"/>
  <c r="O12"/>
  <c r="P12"/>
  <c r="AQ10"/>
  <c r="T10"/>
  <c r="T12"/>
  <c r="AQ12"/>
  <c r="AR12"/>
  <c r="T8"/>
  <c r="BA13" i="3"/>
  <c r="E5" i="6"/>
  <c r="D19" i="12" s="1"/>
  <c r="C19" s="1"/>
  <c r="E15" i="6"/>
  <c r="O13" i="1"/>
  <c r="P13"/>
  <c r="O9"/>
  <c r="P9"/>
  <c r="O8"/>
  <c r="P8"/>
  <c r="O10"/>
  <c r="P10"/>
  <c r="O11"/>
  <c r="P11"/>
  <c r="O6"/>
  <c r="P6"/>
  <c r="T9"/>
  <c r="P7"/>
  <c r="H55" i="43"/>
  <c r="H53"/>
  <c r="H48"/>
  <c r="H54"/>
  <c r="H51"/>
  <c r="H72"/>
  <c r="H82"/>
  <c r="H50"/>
  <c r="H56"/>
  <c r="H85"/>
  <c r="H83"/>
  <c r="H74"/>
  <c r="H77"/>
  <c r="H78"/>
  <c r="H81"/>
  <c r="H73"/>
  <c r="H76"/>
  <c r="H71"/>
  <c r="H70"/>
  <c r="G11" i="1"/>
  <c r="G16"/>
  <c r="H10" i="40" s="1"/>
  <c r="AB10" s="1"/>
  <c r="E63"/>
  <c r="E59" i="34"/>
  <c r="F59"/>
  <c r="E58" i="33"/>
  <c r="C77" i="9"/>
  <c r="C74" s="1"/>
  <c r="C48" i="69"/>
  <c r="G52" i="37"/>
  <c r="F59" i="15"/>
  <c r="M17" i="67"/>
  <c r="M17" i="15"/>
  <c r="F59" i="67"/>
  <c r="AB9" i="36"/>
  <c r="U9"/>
  <c r="M19" i="43"/>
  <c r="U34" i="35"/>
  <c r="AB34"/>
  <c r="AA9" i="36"/>
  <c r="S9"/>
  <c r="S12" i="34"/>
  <c r="AA12"/>
  <c r="C71" i="71"/>
  <c r="D71" s="1"/>
  <c r="D72"/>
  <c r="AZ79" i="3"/>
  <c r="T13" i="71"/>
  <c r="D76"/>
  <c r="AA34" i="35"/>
  <c r="S34"/>
  <c r="N56" i="71"/>
  <c r="B55"/>
  <c r="C33"/>
  <c r="D32"/>
  <c r="C25"/>
  <c r="D24"/>
  <c r="S40" i="40"/>
  <c r="S12" i="35"/>
  <c r="AA12"/>
  <c r="AB36"/>
  <c r="U36"/>
  <c r="U25" i="37"/>
  <c r="AB25"/>
  <c r="AC44" i="39"/>
  <c r="W44"/>
  <c r="AA44"/>
  <c r="S44"/>
  <c r="H59" i="43"/>
  <c r="H65"/>
  <c r="H84"/>
  <c r="H88"/>
  <c r="H60"/>
  <c r="H64"/>
  <c r="H67"/>
  <c r="D20" i="53"/>
  <c r="B40" i="72" s="1"/>
  <c r="B38"/>
  <c r="D127" i="9"/>
  <c r="D13" i="52" s="1"/>
  <c r="D12"/>
  <c r="D70" i="39"/>
  <c r="E68"/>
  <c r="H86" i="43"/>
  <c r="G17"/>
  <c r="C16"/>
  <c r="C5" s="1"/>
  <c r="C30" i="11"/>
  <c r="C48"/>
  <c r="AZ13" i="3"/>
  <c r="D9" i="11"/>
  <c r="C9"/>
  <c r="D9" i="68"/>
  <c r="C9" s="1"/>
  <c r="D9" i="69"/>
  <c r="C9" s="1"/>
  <c r="F10" i="39"/>
  <c r="AA10" s="1"/>
  <c r="J10"/>
  <c r="AC10" s="1"/>
  <c r="F10" i="40"/>
  <c r="S10" s="1"/>
  <c r="J10"/>
  <c r="D33" i="71"/>
  <c r="T33"/>
  <c r="D25"/>
  <c r="T25"/>
  <c r="E70" i="39"/>
  <c r="F68"/>
  <c r="AC10" i="40"/>
  <c r="W10"/>
  <c r="S10" i="39"/>
  <c r="U10" i="40"/>
  <c r="W10" i="39"/>
  <c r="AA10" i="40"/>
  <c r="G68" i="39"/>
  <c r="H68" s="1"/>
  <c r="I68" s="1"/>
  <c r="J68" s="1"/>
  <c r="F70"/>
  <c r="O14" i="1"/>
  <c r="G70" i="39"/>
  <c r="P14" i="1"/>
  <c r="P16"/>
  <c r="C11" i="12" s="1"/>
  <c r="C15" s="1"/>
  <c r="H70" i="39"/>
  <c r="C19" i="68"/>
  <c r="AO7" i="1"/>
  <c r="D2" i="21"/>
  <c r="J15" i="67"/>
  <c r="M22"/>
  <c r="F9"/>
  <c r="C76" i="15"/>
  <c r="M23" i="67"/>
  <c r="F5" i="73"/>
  <c r="F40" i="15"/>
  <c r="B10" i="76"/>
  <c r="F20" i="31"/>
  <c r="AO12" i="1"/>
  <c r="F16" i="15"/>
  <c r="F8"/>
  <c r="B9" i="76"/>
  <c r="F41" i="67"/>
  <c r="AO10" i="1"/>
  <c r="F36" i="67"/>
  <c r="F38"/>
  <c r="F42" i="15"/>
  <c r="D6" i="73"/>
  <c r="F40" i="67"/>
  <c r="D4" i="73"/>
  <c r="F7" i="67"/>
  <c r="M26"/>
  <c r="M27"/>
  <c r="D2" i="36"/>
  <c r="D2" i="33"/>
  <c r="C76" i="67"/>
  <c r="B8" i="76"/>
  <c r="E13"/>
  <c r="F7" i="73"/>
  <c r="E2" i="69"/>
  <c r="M28" i="67"/>
  <c r="F37" i="15"/>
  <c r="B12" i="76"/>
  <c r="D2" i="37"/>
  <c r="M26" i="15"/>
  <c r="AO13" i="1"/>
  <c r="AO11"/>
  <c r="D2" i="34"/>
  <c r="F6" i="73"/>
  <c r="D5"/>
  <c r="F26" i="15"/>
  <c r="F13"/>
  <c r="J15"/>
  <c r="F43" i="67"/>
  <c r="M28" i="15"/>
  <c r="M22"/>
  <c r="F8" i="67"/>
  <c r="L47"/>
  <c r="F38" i="15"/>
  <c r="M29" i="67"/>
  <c r="F3" i="73"/>
  <c r="E12" i="76"/>
  <c r="M23" i="15"/>
  <c r="F37" i="67"/>
  <c r="M24" i="15"/>
  <c r="M9"/>
  <c r="F7"/>
  <c r="E11" i="76"/>
  <c r="D7" i="73"/>
  <c r="F16" i="67"/>
  <c r="M9"/>
  <c r="AO9" i="1"/>
  <c r="E8" i="76"/>
  <c r="M29" i="15"/>
  <c r="M6"/>
  <c r="B7" i="76"/>
  <c r="F26" i="67"/>
  <c r="M27" i="15"/>
  <c r="L47"/>
  <c r="E10" i="76"/>
  <c r="M24" i="67"/>
  <c r="F13"/>
  <c r="F43" i="15"/>
  <c r="M8"/>
  <c r="F42" i="67"/>
  <c r="L48" i="15"/>
  <c r="M21" i="67"/>
  <c r="F9" i="15"/>
  <c r="F35" i="67"/>
  <c r="F36" i="15"/>
  <c r="M8" i="67"/>
  <c r="B11" i="76"/>
  <c r="B13"/>
  <c r="AO8" i="1"/>
  <c r="D3" i="73"/>
  <c r="D2" i="35"/>
  <c r="F4" i="73"/>
  <c r="E7" i="76"/>
  <c r="M6" i="67"/>
  <c r="E2" i="68"/>
  <c r="L48" i="67"/>
  <c r="E9" i="76"/>
  <c r="F6" i="67"/>
  <c r="F7" i="37" l="1"/>
  <c r="N55" i="71"/>
  <c r="N54"/>
  <c r="E60" i="40"/>
  <c r="E65" i="39"/>
  <c r="J70"/>
  <c r="K68"/>
  <c r="H52" i="37"/>
  <c r="I52" s="1"/>
  <c r="J52" s="1"/>
  <c r="K52" s="1"/>
  <c r="L52" s="1"/>
  <c r="M52" s="1"/>
  <c r="N52" s="1"/>
  <c r="O52" s="1"/>
  <c r="J7"/>
  <c r="H7"/>
  <c r="E65" i="40"/>
  <c r="F63"/>
  <c r="I70" i="39"/>
  <c r="E8" i="71"/>
  <c r="E7" s="1"/>
  <c r="E6" s="1"/>
  <c r="E5" s="1"/>
  <c r="V9"/>
  <c r="AC36" i="35"/>
  <c r="W36"/>
  <c r="W12"/>
  <c r="AC12"/>
  <c r="U23" i="21"/>
  <c r="AB23"/>
  <c r="S23" i="33"/>
  <c r="AA23"/>
  <c r="AC9" i="21"/>
  <c r="W9"/>
  <c r="U15"/>
  <c r="AB15"/>
  <c r="G59" i="34"/>
  <c r="E14" i="6"/>
  <c r="E12"/>
  <c r="E10"/>
  <c r="E13"/>
  <c r="E11"/>
  <c r="E58" i="21"/>
  <c r="D48" i="35"/>
  <c r="S25" i="37"/>
  <c r="C12" i="71"/>
  <c r="D13"/>
  <c r="U13" s="1"/>
  <c r="F30" i="6"/>
  <c r="F31" s="1"/>
  <c r="E28"/>
  <c r="E51" i="40"/>
  <c r="E56" i="39"/>
  <c r="W23" i="37"/>
  <c r="F58" i="33"/>
  <c r="D5" i="43"/>
  <c r="E46" i="36"/>
  <c r="O16" i="1"/>
  <c r="D16" i="53"/>
  <c r="D124" i="9"/>
  <c r="P23" i="43"/>
  <c r="B71" i="39" s="1"/>
  <c r="H10"/>
  <c r="H63" i="43"/>
  <c r="H66"/>
  <c r="H110" i="9"/>
  <c r="D18" i="53" s="1"/>
  <c r="B35" i="72" s="1"/>
  <c r="P22" i="43"/>
  <c r="W37" i="21"/>
  <c r="AC37"/>
  <c r="C7" i="43"/>
  <c r="C47" i="69"/>
  <c r="D45" s="1"/>
  <c r="H62" i="43"/>
  <c r="W25" i="33"/>
  <c r="AC25"/>
  <c r="W36"/>
  <c r="AC36"/>
  <c r="AA37" i="21"/>
  <c r="S37"/>
  <c r="H16" i="1"/>
  <c r="P24" i="43"/>
  <c r="B66" i="40" s="1"/>
  <c r="AA11" i="34"/>
  <c r="W35" i="33"/>
  <c r="O19" i="43"/>
  <c r="S19" i="33"/>
  <c r="AB27" i="40"/>
  <c r="AZ322" i="3"/>
  <c r="AZ389"/>
  <c r="AZ547"/>
  <c r="W11" i="39"/>
  <c r="AC11"/>
  <c r="AZ541" i="3"/>
  <c r="AB12" i="37"/>
  <c r="U12"/>
  <c r="AZ535" i="3"/>
  <c r="AZ569"/>
  <c r="AZ343"/>
  <c r="W35" i="40"/>
  <c r="U35" i="35"/>
  <c r="U31" i="34"/>
  <c r="C15" i="39"/>
  <c r="W9" i="34"/>
  <c r="S30" i="36"/>
  <c r="H40" i="40"/>
  <c r="J40"/>
  <c r="AA13" i="35"/>
  <c r="AB17" i="34"/>
  <c r="C25" i="39"/>
  <c r="J23" i="36"/>
  <c r="BL550" i="3"/>
  <c r="AZ550" s="1"/>
  <c r="BA551"/>
  <c r="AZ551" s="1"/>
  <c r="G398"/>
  <c r="G400"/>
  <c r="BL400"/>
  <c r="AZ400" s="1"/>
  <c r="BL401"/>
  <c r="AZ401" s="1"/>
  <c r="AZ404"/>
  <c r="AZ411"/>
  <c r="AZ430"/>
  <c r="AZ455"/>
  <c r="AZ242"/>
  <c r="AZ262"/>
  <c r="J38" i="40"/>
  <c r="AZ418" i="3"/>
  <c r="AZ447"/>
  <c r="AZ450"/>
  <c r="BA399"/>
  <c r="AZ399" s="1"/>
  <c r="AZ438"/>
  <c r="AZ439"/>
  <c r="AZ226"/>
  <c r="AZ272"/>
  <c r="AZ464"/>
  <c r="AZ289"/>
  <c r="AZ292"/>
  <c r="AZ122"/>
  <c r="AZ129"/>
  <c r="BL269"/>
  <c r="AZ269" s="1"/>
  <c r="BL275"/>
  <c r="AZ275" s="1"/>
  <c r="AZ278"/>
  <c r="AZ290"/>
  <c r="AZ293"/>
  <c r="AZ300"/>
  <c r="BL273"/>
  <c r="AZ273" s="1"/>
  <c r="BA280"/>
  <c r="AZ280" s="1"/>
  <c r="BL282"/>
  <c r="BL285"/>
  <c r="AZ153"/>
  <c r="G277"/>
  <c r="BL277"/>
  <c r="AZ277" s="1"/>
  <c r="AZ282"/>
  <c r="AZ285"/>
  <c r="AZ126"/>
  <c r="BL141"/>
  <c r="AZ141" s="1"/>
  <c r="BL142"/>
  <c r="AZ142" s="1"/>
  <c r="G143"/>
  <c r="BA144"/>
  <c r="AZ144" s="1"/>
  <c r="G147"/>
  <c r="G160"/>
  <c r="BL175"/>
  <c r="AZ175" s="1"/>
  <c r="BA177"/>
  <c r="BA182"/>
  <c r="AZ182" s="1"/>
  <c r="BL187"/>
  <c r="AZ187" s="1"/>
  <c r="BA189"/>
  <c r="AZ189" s="1"/>
  <c r="G140"/>
  <c r="BA146"/>
  <c r="AZ146" s="1"/>
  <c r="G154"/>
  <c r="BL169"/>
  <c r="G170"/>
  <c r="BL171"/>
  <c r="AZ171" s="1"/>
  <c r="G172"/>
  <c r="BL173"/>
  <c r="AZ173" s="1"/>
  <c r="BL174"/>
  <c r="G175"/>
  <c r="BA176"/>
  <c r="AZ176" s="1"/>
  <c r="BA181"/>
  <c r="BL185"/>
  <c r="AZ185" s="1"/>
  <c r="BL186"/>
  <c r="G187"/>
  <c r="BA188"/>
  <c r="AZ188" s="1"/>
  <c r="BL190"/>
  <c r="G191"/>
  <c r="BA193"/>
  <c r="AZ193" s="1"/>
  <c r="G200"/>
  <c r="BL205"/>
  <c r="AZ205" s="1"/>
  <c r="BL206"/>
  <c r="AZ206" s="1"/>
  <c r="BL207"/>
  <c r="G18"/>
  <c r="G26"/>
  <c r="BL30"/>
  <c r="G41"/>
  <c r="BA43"/>
  <c r="AZ43" s="1"/>
  <c r="BA44"/>
  <c r="BL47"/>
  <c r="BA51"/>
  <c r="BL53"/>
  <c r="BA55"/>
  <c r="AZ55" s="1"/>
  <c r="BL57"/>
  <c r="AZ57" s="1"/>
  <c r="G58"/>
  <c r="AZ68"/>
  <c r="AZ96"/>
  <c r="BA21"/>
  <c r="AZ27"/>
  <c r="BA41"/>
  <c r="AZ41" s="1"/>
  <c r="BA49"/>
  <c r="AZ49" s="1"/>
  <c r="BA50"/>
  <c r="AZ50" s="1"/>
  <c r="BL52"/>
  <c r="AZ52" s="1"/>
  <c r="AZ54"/>
  <c r="AZ100"/>
  <c r="BL143"/>
  <c r="AZ143" s="1"/>
  <c r="G144"/>
  <c r="BL147"/>
  <c r="AZ147" s="1"/>
  <c r="BA169"/>
  <c r="AZ169" s="1"/>
  <c r="BA174"/>
  <c r="AZ174" s="1"/>
  <c r="BL177"/>
  <c r="G178"/>
  <c r="BL178"/>
  <c r="AZ178" s="1"/>
  <c r="BL181"/>
  <c r="G182"/>
  <c r="BA184"/>
  <c r="AZ184" s="1"/>
  <c r="BA186"/>
  <c r="BA190"/>
  <c r="AZ190" s="1"/>
  <c r="BL197"/>
  <c r="AZ197" s="1"/>
  <c r="G198"/>
  <c r="BA207"/>
  <c r="AZ207" s="1"/>
  <c r="BL23"/>
  <c r="BA25"/>
  <c r="AZ25" s="1"/>
  <c r="BL28"/>
  <c r="AZ28" s="1"/>
  <c r="BA30"/>
  <c r="BL32"/>
  <c r="AZ32" s="1"/>
  <c r="BA34"/>
  <c r="AZ34" s="1"/>
  <c r="AZ36"/>
  <c r="BA40"/>
  <c r="AZ40" s="1"/>
  <c r="BL44"/>
  <c r="G45"/>
  <c r="BA46"/>
  <c r="AZ46" s="1"/>
  <c r="BA47"/>
  <c r="BL51"/>
  <c r="BA53"/>
  <c r="BL55"/>
  <c r="G60"/>
  <c r="AZ76"/>
  <c r="D19" i="71"/>
  <c r="C20"/>
  <c r="C52"/>
  <c r="D51"/>
  <c r="D45"/>
  <c r="T45"/>
  <c r="C41"/>
  <c r="D56"/>
  <c r="C55"/>
  <c r="C29"/>
  <c r="B16"/>
  <c r="B15" s="1"/>
  <c r="Y3"/>
  <c r="Z3" s="1"/>
  <c r="C48"/>
  <c r="E52"/>
  <c r="E53" s="1"/>
  <c r="U53" s="1"/>
  <c r="F56"/>
  <c r="AF12" i="43"/>
  <c r="AF10"/>
  <c r="AJ10"/>
  <c r="AJ12"/>
  <c r="I100"/>
  <c r="W21" i="33"/>
  <c r="AB17" i="71"/>
  <c r="E27"/>
  <c r="E28" s="1"/>
  <c r="E29" s="1"/>
  <c r="U29" s="1"/>
  <c r="AA26"/>
  <c r="F36"/>
  <c r="F37" s="1"/>
  <c r="V37" s="1"/>
  <c r="AA7"/>
  <c r="J85" i="43"/>
  <c r="G100"/>
  <c r="D44" i="71"/>
  <c r="D64"/>
  <c r="D43"/>
  <c r="AA24"/>
  <c r="M100" i="43"/>
  <c r="N56" i="9"/>
  <c r="V23" i="1"/>
  <c r="U6" s="1"/>
  <c r="B11" i="49"/>
  <c r="F28" i="12"/>
  <c r="C29" s="1"/>
  <c r="D28" s="1"/>
  <c r="F27" i="68"/>
  <c r="C47" s="1"/>
  <c r="D45" s="1"/>
  <c r="F27" i="11"/>
  <c r="C47" s="1"/>
  <c r="D45" s="1"/>
  <c r="E10" i="49"/>
  <c r="C12" i="12"/>
  <c r="E22" i="49"/>
  <c r="C6" i="67"/>
  <c r="F69"/>
  <c r="F68"/>
  <c r="L58"/>
  <c r="L59"/>
  <c r="M59"/>
  <c r="N59"/>
  <c r="F50"/>
  <c r="M7"/>
  <c r="J6" s="1"/>
  <c r="M7" i="15"/>
  <c r="J6" s="1"/>
  <c r="F50"/>
  <c r="F64"/>
  <c r="B9" i="70"/>
  <c r="J20" i="67"/>
  <c r="C27"/>
  <c r="B8" i="70"/>
  <c r="F51" i="15"/>
  <c r="F71" i="67"/>
  <c r="J53" i="15"/>
  <c r="J59"/>
  <c r="L56"/>
  <c r="J57"/>
  <c r="J55" s="1"/>
  <c r="J58" s="1"/>
  <c r="Q50" s="1"/>
  <c r="I54"/>
  <c r="L60"/>
  <c r="L57"/>
  <c r="J60"/>
  <c r="Q48" s="1"/>
  <c r="B11" i="70"/>
  <c r="E20" i="43"/>
  <c r="Q71" i="15"/>
  <c r="Q71" i="67"/>
  <c r="F66"/>
  <c r="F71" i="15"/>
  <c r="F65"/>
  <c r="F51" i="67"/>
  <c r="F70"/>
  <c r="B13" i="70"/>
  <c r="I1" i="73"/>
  <c r="B39" i="1" s="1"/>
  <c r="B12" i="70"/>
  <c r="C34" i="67"/>
  <c r="F63"/>
  <c r="C62" s="1"/>
  <c r="F64"/>
  <c r="N59" i="15"/>
  <c r="L58"/>
  <c r="L59"/>
  <c r="M59"/>
  <c r="F66"/>
  <c r="K1" i="73"/>
  <c r="F68" i="15"/>
  <c r="F65" i="67"/>
  <c r="J53"/>
  <c r="I54"/>
  <c r="J57"/>
  <c r="J55" s="1"/>
  <c r="J58" s="1"/>
  <c r="Q50" s="1"/>
  <c r="L56"/>
  <c r="B7" i="70"/>
  <c r="B20" i="31"/>
  <c r="C27" i="15"/>
  <c r="B10" i="70"/>
  <c r="E21" i="49"/>
  <c r="E13"/>
  <c r="B22"/>
  <c r="B10"/>
  <c r="E7"/>
  <c r="C36" i="68"/>
  <c r="E14" i="49"/>
  <c r="B8"/>
  <c r="B7"/>
  <c r="E6"/>
  <c r="B14"/>
  <c r="E9"/>
  <c r="E8"/>
  <c r="C29" i="69"/>
  <c r="D27" s="1"/>
  <c r="B9" i="49"/>
  <c r="B6"/>
  <c r="B13"/>
  <c r="E11"/>
  <c r="E4"/>
  <c r="F6" i="15"/>
  <c r="G1" i="73"/>
  <c r="C16" i="67"/>
  <c r="C16" i="15"/>
  <c r="C17" i="67"/>
  <c r="C14"/>
  <c r="C6" i="15" l="1"/>
  <c r="C32" s="1"/>
  <c r="BL5" i="3"/>
  <c r="AZ23"/>
  <c r="AZ21"/>
  <c r="BA5"/>
  <c r="E27" i="6" s="1"/>
  <c r="K19" s="1"/>
  <c r="AB40" i="40"/>
  <c r="U40"/>
  <c r="D17" i="53"/>
  <c r="B36" i="72" s="1"/>
  <c r="B34"/>
  <c r="F46" i="36"/>
  <c r="D12" i="71"/>
  <c r="C11"/>
  <c r="F58" i="21"/>
  <c r="G58" s="1"/>
  <c r="H58" s="1"/>
  <c r="I58" s="1"/>
  <c r="J58" s="1"/>
  <c r="K58" s="1"/>
  <c r="L58" s="1"/>
  <c r="M58" s="1"/>
  <c r="N58" s="1"/>
  <c r="O58" s="1"/>
  <c r="J7"/>
  <c r="F7"/>
  <c r="E16" i="6"/>
  <c r="W7" i="37"/>
  <c r="AC7"/>
  <c r="V42" s="1"/>
  <c r="I42" s="1"/>
  <c r="K70" i="39"/>
  <c r="L68"/>
  <c r="U10"/>
  <c r="AB10"/>
  <c r="E30" i="6"/>
  <c r="K23"/>
  <c r="M23" s="1"/>
  <c r="I23" s="1"/>
  <c r="S23" s="1"/>
  <c r="K26"/>
  <c r="M26" s="1"/>
  <c r="I26" s="1"/>
  <c r="S26" s="1"/>
  <c r="K14" i="1"/>
  <c r="K24" i="6"/>
  <c r="M24" s="1"/>
  <c r="I24" s="1"/>
  <c r="S24" s="1"/>
  <c r="K21"/>
  <c r="M21" s="1"/>
  <c r="I21" s="1"/>
  <c r="S21" s="1"/>
  <c r="H7" i="21"/>
  <c r="E57" i="40"/>
  <c r="E62" i="39"/>
  <c r="G63" i="40"/>
  <c r="F65"/>
  <c r="D52" i="71"/>
  <c r="C53"/>
  <c r="AZ47" i="3"/>
  <c r="AZ30"/>
  <c r="AZ186"/>
  <c r="E56" i="40"/>
  <c r="E61" i="39"/>
  <c r="E59" i="40"/>
  <c r="E64" i="39"/>
  <c r="F55" i="71"/>
  <c r="Q56"/>
  <c r="T41"/>
  <c r="D41"/>
  <c r="E60" i="3"/>
  <c r="AZ44"/>
  <c r="T29" i="71"/>
  <c r="D29"/>
  <c r="D20"/>
  <c r="C21"/>
  <c r="E198" i="3"/>
  <c r="G5"/>
  <c r="B3" s="1"/>
  <c r="E200"/>
  <c r="AZ181"/>
  <c r="AC38" i="40"/>
  <c r="W38"/>
  <c r="C49" i="71"/>
  <c r="D48"/>
  <c r="D55"/>
  <c r="O55"/>
  <c r="O54"/>
  <c r="AZ53" i="3"/>
  <c r="E182"/>
  <c r="AZ51"/>
  <c r="E41"/>
  <c r="AZ177"/>
  <c r="AC23" i="36"/>
  <c r="W23"/>
  <c r="W40" i="40"/>
  <c r="AC40"/>
  <c r="D125" i="9"/>
  <c r="D11" i="52" s="1"/>
  <c r="H14" i="74"/>
  <c r="B7" s="1"/>
  <c r="D10" i="52"/>
  <c r="G58" i="33"/>
  <c r="H58" s="1"/>
  <c r="I58" s="1"/>
  <c r="J58" s="1"/>
  <c r="K58" s="1"/>
  <c r="L58" s="1"/>
  <c r="M58" s="1"/>
  <c r="N58" s="1"/>
  <c r="O58" s="1"/>
  <c r="E48" i="35"/>
  <c r="E63" i="39"/>
  <c r="E66" s="1"/>
  <c r="E58" i="40"/>
  <c r="H59" i="34"/>
  <c r="I59" s="1"/>
  <c r="J59" s="1"/>
  <c r="K59" s="1"/>
  <c r="L59" s="1"/>
  <c r="M59" s="1"/>
  <c r="N59" s="1"/>
  <c r="O59" s="1"/>
  <c r="J7"/>
  <c r="H7"/>
  <c r="U7" i="37"/>
  <c r="AB7"/>
  <c r="T42" s="1"/>
  <c r="G42" s="1"/>
  <c r="S7"/>
  <c r="AA7"/>
  <c r="R42" s="1"/>
  <c r="C29" i="11"/>
  <c r="D27" s="1"/>
  <c r="C29" i="68"/>
  <c r="D27" s="1"/>
  <c r="L46" i="15"/>
  <c r="C49"/>
  <c r="B40" i="1"/>
  <c r="C15" i="67"/>
  <c r="C18"/>
  <c r="Q61" i="15"/>
  <c r="Q74"/>
  <c r="F11" i="67"/>
  <c r="F11" i="15"/>
  <c r="C53" s="1"/>
  <c r="M11"/>
  <c r="J10" s="1"/>
  <c r="J5" s="1"/>
  <c r="M11" i="67"/>
  <c r="J10" s="1"/>
  <c r="J5" s="1"/>
  <c r="Q66" i="15"/>
  <c r="Q57"/>
  <c r="J18" i="67"/>
  <c r="C32"/>
  <c r="M28" i="43"/>
  <c r="O28"/>
  <c r="P28"/>
  <c r="G20" s="1"/>
  <c r="N28"/>
  <c r="Q60" i="67"/>
  <c r="Q73"/>
  <c r="J18" i="15"/>
  <c r="F1"/>
  <c r="Q52"/>
  <c r="Q74" i="67"/>
  <c r="Q61"/>
  <c r="Q52"/>
  <c r="F1"/>
  <c r="Q60" i="15"/>
  <c r="Q73"/>
  <c r="C49" i="67"/>
  <c r="AE6" i="1"/>
  <c r="C33" i="15" l="1"/>
  <c r="S6" i="1"/>
  <c r="M19" i="6"/>
  <c r="E573" i="3"/>
  <c r="E455"/>
  <c r="E527"/>
  <c r="E219"/>
  <c r="E457"/>
  <c r="E392"/>
  <c r="E571"/>
  <c r="E340"/>
  <c r="E431"/>
  <c r="E350"/>
  <c r="E238"/>
  <c r="E486"/>
  <c r="E498"/>
  <c r="E93"/>
  <c r="E351"/>
  <c r="E450"/>
  <c r="E156"/>
  <c r="E75"/>
  <c r="E111"/>
  <c r="E322"/>
  <c r="E586"/>
  <c r="E105"/>
  <c r="E490"/>
  <c r="E25"/>
  <c r="E346"/>
  <c r="E96"/>
  <c r="E206"/>
  <c r="E304"/>
  <c r="E246"/>
  <c r="E134"/>
  <c r="E81"/>
  <c r="O6"/>
  <c r="E434"/>
  <c r="E567"/>
  <c r="E538"/>
  <c r="E149"/>
  <c r="E487"/>
  <c r="E413"/>
  <c r="E504"/>
  <c r="E248"/>
  <c r="E51"/>
  <c r="E327"/>
  <c r="E489"/>
  <c r="E211"/>
  <c r="E29"/>
  <c r="E233"/>
  <c r="E38"/>
  <c r="E529"/>
  <c r="E74"/>
  <c r="E133"/>
  <c r="E274"/>
  <c r="E269"/>
  <c r="E263"/>
  <c r="E451"/>
  <c r="E42"/>
  <c r="E183"/>
  <c r="E68"/>
  <c r="E550"/>
  <c r="E499"/>
  <c r="E241"/>
  <c r="E271"/>
  <c r="E162"/>
  <c r="E50"/>
  <c r="E214"/>
  <c r="E120"/>
  <c r="E516"/>
  <c r="E578"/>
  <c r="E405"/>
  <c r="E497"/>
  <c r="E391"/>
  <c r="E232"/>
  <c r="E528"/>
  <c r="E124"/>
  <c r="E230"/>
  <c r="E184"/>
  <c r="E508"/>
  <c r="E536"/>
  <c r="E329"/>
  <c r="E523"/>
  <c r="E290"/>
  <c r="R6"/>
  <c r="I3" i="6"/>
  <c r="E56" i="3"/>
  <c r="E292"/>
  <c r="E446"/>
  <c r="E48"/>
  <c r="E207"/>
  <c r="E411"/>
  <c r="E547"/>
  <c r="E92"/>
  <c r="E317"/>
  <c r="E101"/>
  <c r="E475"/>
  <c r="E364"/>
  <c r="E577"/>
  <c r="E325"/>
  <c r="E424"/>
  <c r="E239"/>
  <c r="E173"/>
  <c r="E420"/>
  <c r="E49"/>
  <c r="E294"/>
  <c r="E97"/>
  <c r="E506"/>
  <c r="AP6"/>
  <c r="E462"/>
  <c r="E107"/>
  <c r="E186"/>
  <c r="E194"/>
  <c r="K6"/>
  <c r="E217"/>
  <c r="E247"/>
  <c r="E303"/>
  <c r="E116"/>
  <c r="E507"/>
  <c r="E419"/>
  <c r="E119"/>
  <c r="L6"/>
  <c r="E275"/>
  <c r="E80"/>
  <c r="E17"/>
  <c r="E559"/>
  <c r="E91"/>
  <c r="E309"/>
  <c r="E410"/>
  <c r="E69"/>
  <c r="E461"/>
  <c r="E439"/>
  <c r="E212"/>
  <c r="E552"/>
  <c r="E566"/>
  <c r="E90"/>
  <c r="E348"/>
  <c r="E47"/>
  <c r="E87"/>
  <c r="E252"/>
  <c r="E448"/>
  <c r="E581"/>
  <c r="E121"/>
  <c r="E334"/>
  <c r="E267"/>
  <c r="E218"/>
  <c r="E438"/>
  <c r="E79"/>
  <c r="E560"/>
  <c r="E580"/>
  <c r="E177"/>
  <c r="E556"/>
  <c r="E235"/>
  <c r="E570"/>
  <c r="E511"/>
  <c r="E117"/>
  <c r="E192"/>
  <c r="E82"/>
  <c r="E27"/>
  <c r="E16"/>
  <c r="E289"/>
  <c r="E122"/>
  <c r="E112"/>
  <c r="E150"/>
  <c r="E519"/>
  <c r="E365"/>
  <c r="E318"/>
  <c r="E509"/>
  <c r="E301"/>
  <c r="E493"/>
  <c r="AH6"/>
  <c r="E372"/>
  <c r="E174"/>
  <c r="AF6"/>
  <c r="E213"/>
  <c r="E358"/>
  <c r="E180"/>
  <c r="E53"/>
  <c r="E337"/>
  <c r="E278"/>
  <c r="E227"/>
  <c r="E380"/>
  <c r="E167"/>
  <c r="E416"/>
  <c r="E520"/>
  <c r="E240"/>
  <c r="E110"/>
  <c r="E386"/>
  <c r="E222"/>
  <c r="Z6"/>
  <c r="E345"/>
  <c r="E28"/>
  <c r="E273"/>
  <c r="E425"/>
  <c r="E283"/>
  <c r="E357"/>
  <c r="E148"/>
  <c r="E171"/>
  <c r="E262"/>
  <c r="E55"/>
  <c r="E282"/>
  <c r="E181"/>
  <c r="E452"/>
  <c r="E280"/>
  <c r="E305"/>
  <c r="E128"/>
  <c r="E430"/>
  <c r="E76"/>
  <c r="E515"/>
  <c r="E331"/>
  <c r="E14"/>
  <c r="E465"/>
  <c r="E125"/>
  <c r="E396"/>
  <c r="E382"/>
  <c r="E197"/>
  <c r="E469"/>
  <c r="E494"/>
  <c r="AL6"/>
  <c r="E220"/>
  <c r="E102"/>
  <c r="E361"/>
  <c r="E514"/>
  <c r="E254"/>
  <c r="E264"/>
  <c r="E574"/>
  <c r="E306"/>
  <c r="E510"/>
  <c r="E418"/>
  <c r="E77"/>
  <c r="E442"/>
  <c r="E554"/>
  <c r="E95"/>
  <c r="E349"/>
  <c r="E138"/>
  <c r="E284"/>
  <c r="E145"/>
  <c r="E548"/>
  <c r="E403"/>
  <c r="E126"/>
  <c r="AM6"/>
  <c r="E23"/>
  <c r="E52"/>
  <c r="E288"/>
  <c r="E137"/>
  <c r="E472"/>
  <c r="E32"/>
  <c r="E330"/>
  <c r="E229"/>
  <c r="T6"/>
  <c r="E139"/>
  <c r="E326"/>
  <c r="E142"/>
  <c r="E114"/>
  <c r="E61"/>
  <c r="E491"/>
  <c r="E307"/>
  <c r="E478"/>
  <c r="E384"/>
  <c r="E168"/>
  <c r="E236"/>
  <c r="E268"/>
  <c r="E353"/>
  <c r="E159"/>
  <c r="E393"/>
  <c r="E440"/>
  <c r="E401"/>
  <c r="E242"/>
  <c r="E43"/>
  <c r="E342"/>
  <c r="E308"/>
  <c r="E583"/>
  <c r="AB6"/>
  <c r="E46"/>
  <c r="E319"/>
  <c r="E563"/>
  <c r="E165"/>
  <c r="E231"/>
  <c r="E141"/>
  <c r="E464"/>
  <c r="E582"/>
  <c r="E131"/>
  <c r="E375"/>
  <c r="E195"/>
  <c r="E341"/>
  <c r="E164"/>
  <c r="P6"/>
  <c r="E444"/>
  <c r="E166"/>
  <c r="E44"/>
  <c r="E67"/>
  <c r="E339"/>
  <c r="E313"/>
  <c r="E315"/>
  <c r="E89"/>
  <c r="E203"/>
  <c r="E296"/>
  <c r="E104"/>
  <c r="E370"/>
  <c r="E130"/>
  <c r="E395"/>
  <c r="E502"/>
  <c r="E389"/>
  <c r="E585"/>
  <c r="E210"/>
  <c r="E537"/>
  <c r="E73"/>
  <c r="E551"/>
  <c r="E72"/>
  <c r="E193"/>
  <c r="E62"/>
  <c r="E279"/>
  <c r="E458"/>
  <c r="E526"/>
  <c r="E495"/>
  <c r="E157"/>
  <c r="E422"/>
  <c r="E463"/>
  <c r="E226"/>
  <c r="E428"/>
  <c r="E35"/>
  <c r="E22"/>
  <c r="X6"/>
  <c r="E215"/>
  <c r="E33"/>
  <c r="E426"/>
  <c r="I6"/>
  <c r="E535"/>
  <c r="AR6"/>
  <c r="E135"/>
  <c r="E421"/>
  <c r="E500"/>
  <c r="E57"/>
  <c r="E378"/>
  <c r="E65"/>
  <c r="E250"/>
  <c r="E204"/>
  <c r="E485"/>
  <c r="E531"/>
  <c r="E572"/>
  <c r="E310"/>
  <c r="W6"/>
  <c r="E299"/>
  <c r="E406"/>
  <c r="E15"/>
  <c r="Q6"/>
  <c r="E385"/>
  <c r="E456"/>
  <c r="E562"/>
  <c r="E543"/>
  <c r="E324"/>
  <c r="E249"/>
  <c r="E270"/>
  <c r="E39"/>
  <c r="M6"/>
  <c r="E377"/>
  <c r="E176"/>
  <c r="E569"/>
  <c r="E522"/>
  <c r="E359"/>
  <c r="E517"/>
  <c r="E477"/>
  <c r="E474"/>
  <c r="E553"/>
  <c r="E245"/>
  <c r="E408"/>
  <c r="E225"/>
  <c r="E383"/>
  <c r="E347"/>
  <c r="E30"/>
  <c r="E285"/>
  <c r="E205"/>
  <c r="E199"/>
  <c r="E435"/>
  <c r="E544"/>
  <c r="E19"/>
  <c r="E432"/>
  <c r="E272"/>
  <c r="E381"/>
  <c r="E532"/>
  <c r="E136"/>
  <c r="E512"/>
  <c r="E503"/>
  <c r="E545"/>
  <c r="E152"/>
  <c r="E505"/>
  <c r="E224"/>
  <c r="AJ6"/>
  <c r="E228"/>
  <c r="E376"/>
  <c r="E276"/>
  <c r="E34"/>
  <c r="E336"/>
  <c r="E492"/>
  <c r="E568"/>
  <c r="E533"/>
  <c r="AD6"/>
  <c r="E460"/>
  <c r="E443"/>
  <c r="E295"/>
  <c r="E63"/>
  <c r="E368"/>
  <c r="E20"/>
  <c r="AI6"/>
  <c r="E261"/>
  <c r="E352"/>
  <c r="E98"/>
  <c r="E109"/>
  <c r="E244"/>
  <c r="E483"/>
  <c r="E158"/>
  <c r="E501"/>
  <c r="E216"/>
  <c r="E259"/>
  <c r="AO6"/>
  <c r="E468"/>
  <c r="E525"/>
  <c r="E113"/>
  <c r="E549"/>
  <c r="E37"/>
  <c r="E476"/>
  <c r="AQ6"/>
  <c r="N6"/>
  <c r="E188"/>
  <c r="E360"/>
  <c r="E243"/>
  <c r="E86"/>
  <c r="E399"/>
  <c r="E371"/>
  <c r="E314"/>
  <c r="E390"/>
  <c r="E575"/>
  <c r="E417"/>
  <c r="E59"/>
  <c r="E323"/>
  <c r="E367"/>
  <c r="E291"/>
  <c r="E513"/>
  <c r="E196"/>
  <c r="E265"/>
  <c r="E366"/>
  <c r="E13"/>
  <c r="E311"/>
  <c r="S6"/>
  <c r="E363"/>
  <c r="E447"/>
  <c r="E409"/>
  <c r="E579"/>
  <c r="E85"/>
  <c r="J6"/>
  <c r="E333"/>
  <c r="E251"/>
  <c r="E293"/>
  <c r="E355"/>
  <c r="AK6"/>
  <c r="E561"/>
  <c r="E436"/>
  <c r="E540"/>
  <c r="E373"/>
  <c r="E558"/>
  <c r="E316"/>
  <c r="E555"/>
  <c r="E123"/>
  <c r="E234"/>
  <c r="E223"/>
  <c r="AA6"/>
  <c r="E338"/>
  <c r="E66"/>
  <c r="E300"/>
  <c r="E31"/>
  <c r="E201"/>
  <c r="E202"/>
  <c r="E302"/>
  <c r="E397"/>
  <c r="E312"/>
  <c r="E521"/>
  <c r="E557"/>
  <c r="E453"/>
  <c r="E36"/>
  <c r="E115"/>
  <c r="E407"/>
  <c r="E298"/>
  <c r="E163"/>
  <c r="E484"/>
  <c r="E100"/>
  <c r="E151"/>
  <c r="E369"/>
  <c r="E470"/>
  <c r="E94"/>
  <c r="E287"/>
  <c r="V6"/>
  <c r="E415"/>
  <c r="E321"/>
  <c r="E541"/>
  <c r="E132"/>
  <c r="E209"/>
  <c r="E379"/>
  <c r="E546"/>
  <c r="E480"/>
  <c r="E473"/>
  <c r="E362"/>
  <c r="E256"/>
  <c r="E423"/>
  <c r="E356"/>
  <c r="E21"/>
  <c r="E286"/>
  <c r="Y6"/>
  <c r="E103"/>
  <c r="E394"/>
  <c r="AN6"/>
  <c r="E564"/>
  <c r="E40"/>
  <c r="E412"/>
  <c r="E237"/>
  <c r="E335"/>
  <c r="E153"/>
  <c r="E445"/>
  <c r="E185"/>
  <c r="E155"/>
  <c r="E266"/>
  <c r="E576"/>
  <c r="E404"/>
  <c r="E441"/>
  <c r="E208"/>
  <c r="E106"/>
  <c r="E429"/>
  <c r="E332"/>
  <c r="E84"/>
  <c r="E255"/>
  <c r="E414"/>
  <c r="E524"/>
  <c r="E24"/>
  <c r="E281"/>
  <c r="E343"/>
  <c r="E258"/>
  <c r="E467"/>
  <c r="E179"/>
  <c r="E427"/>
  <c r="E189"/>
  <c r="E459"/>
  <c r="E88"/>
  <c r="E481"/>
  <c r="AS6"/>
  <c r="E70"/>
  <c r="E354"/>
  <c r="E118"/>
  <c r="E297"/>
  <c r="AE6"/>
  <c r="E482"/>
  <c r="E108"/>
  <c r="E488"/>
  <c r="E433"/>
  <c r="E54"/>
  <c r="E253"/>
  <c r="E518"/>
  <c r="E83"/>
  <c r="E169"/>
  <c r="U6"/>
  <c r="E146"/>
  <c r="E388"/>
  <c r="E437"/>
  <c r="E129"/>
  <c r="E539"/>
  <c r="E584"/>
  <c r="E471"/>
  <c r="E530"/>
  <c r="E387"/>
  <c r="E221"/>
  <c r="E260"/>
  <c r="E257"/>
  <c r="E328"/>
  <c r="E454"/>
  <c r="E99"/>
  <c r="E374"/>
  <c r="E344"/>
  <c r="E127"/>
  <c r="E534"/>
  <c r="E320"/>
  <c r="E449"/>
  <c r="E71"/>
  <c r="E496"/>
  <c r="E466"/>
  <c r="E402"/>
  <c r="E565"/>
  <c r="E161"/>
  <c r="AG6"/>
  <c r="E587"/>
  <c r="E479"/>
  <c r="E190"/>
  <c r="E64"/>
  <c r="E542"/>
  <c r="E78"/>
  <c r="E140"/>
  <c r="F48" i="35"/>
  <c r="E277" i="3"/>
  <c r="E187"/>
  <c r="E144"/>
  <c r="T49" i="71"/>
  <c r="D49"/>
  <c r="E178" i="3"/>
  <c r="E26"/>
  <c r="D53" i="71"/>
  <c r="T53"/>
  <c r="H63" i="40"/>
  <c r="G65"/>
  <c r="K25" i="6"/>
  <c r="M25" s="1"/>
  <c r="I25" s="1"/>
  <c r="S25" s="1"/>
  <c r="K22"/>
  <c r="M22" s="1"/>
  <c r="I22" s="1"/>
  <c r="S22" s="1"/>
  <c r="M68" i="39"/>
  <c r="L70"/>
  <c r="C10" i="71"/>
  <c r="D11"/>
  <c r="G46" i="36"/>
  <c r="H46" s="1"/>
  <c r="I46" s="1"/>
  <c r="J46" s="1"/>
  <c r="K46" s="1"/>
  <c r="L46" s="1"/>
  <c r="M46" s="1"/>
  <c r="N46" s="1"/>
  <c r="O46" s="1"/>
  <c r="J7"/>
  <c r="F7"/>
  <c r="E191" i="3"/>
  <c r="Q55" i="71"/>
  <c r="Q54"/>
  <c r="AA7" i="21"/>
  <c r="R48" s="1"/>
  <c r="S7"/>
  <c r="E398" i="3"/>
  <c r="E31" i="6"/>
  <c r="H7" i="33"/>
  <c r="R43" i="37"/>
  <c r="E42"/>
  <c r="W7" i="34"/>
  <c r="AC7"/>
  <c r="V49" s="1"/>
  <c r="I49" s="1"/>
  <c r="J7" i="33"/>
  <c r="E154" i="3"/>
  <c r="E45"/>
  <c r="E18"/>
  <c r="D21" i="71"/>
  <c r="T21"/>
  <c r="E160" i="3"/>
  <c r="I47" i="37"/>
  <c r="J47" s="1"/>
  <c r="I46"/>
  <c r="J46" s="1"/>
  <c r="AC7" i="21"/>
  <c r="V48" s="1"/>
  <c r="I48" s="1"/>
  <c r="W7"/>
  <c r="F7" i="33"/>
  <c r="E143" i="3"/>
  <c r="AZ5"/>
  <c r="F7" i="34"/>
  <c r="U7"/>
  <c r="AB7"/>
  <c r="T49" s="1"/>
  <c r="G49" s="1"/>
  <c r="G47" i="37"/>
  <c r="H47" s="1"/>
  <c r="G46"/>
  <c r="H46" s="1"/>
  <c r="E400" i="3"/>
  <c r="E172"/>
  <c r="E58"/>
  <c r="E147"/>
  <c r="E170"/>
  <c r="U7" i="21"/>
  <c r="AB7"/>
  <c r="T48" s="1"/>
  <c r="G48" s="1"/>
  <c r="K16" i="1"/>
  <c r="C34" i="69"/>
  <c r="M14" i="1"/>
  <c r="K20" i="6"/>
  <c r="M20" s="1"/>
  <c r="I20" s="1"/>
  <c r="S20" s="1"/>
  <c r="H7" i="36"/>
  <c r="E175" i="3"/>
  <c r="C48" i="15"/>
  <c r="C66" s="1"/>
  <c r="C19" i="67"/>
  <c r="C20" s="1"/>
  <c r="C26" s="1"/>
  <c r="C10" i="15"/>
  <c r="C5" s="1"/>
  <c r="C38" s="1"/>
  <c r="J26"/>
  <c r="J24"/>
  <c r="C10" i="67"/>
  <c r="C5" s="1"/>
  <c r="C53"/>
  <c r="C48" s="1"/>
  <c r="C20" i="43"/>
  <c r="E41"/>
  <c r="C41" s="1"/>
  <c r="F25" i="12"/>
  <c r="F22" i="11"/>
  <c r="F22" i="69"/>
  <c r="F24" i="67"/>
  <c r="C24" s="1"/>
  <c r="F24" i="15"/>
  <c r="C24" s="1"/>
  <c r="F22" i="68"/>
  <c r="J26" i="67"/>
  <c r="J29" s="1"/>
  <c r="J24"/>
  <c r="C17" i="15"/>
  <c r="F41"/>
  <c r="F69" l="1"/>
  <c r="AB7" i="36"/>
  <c r="T36" s="1"/>
  <c r="G36" s="1"/>
  <c r="U7"/>
  <c r="B29" i="1"/>
  <c r="C8" i="68" s="1"/>
  <c r="M23" i="1"/>
  <c r="C43" i="37"/>
  <c r="C42"/>
  <c r="H6" i="3"/>
  <c r="E6" s="1"/>
  <c r="E3" i="6"/>
  <c r="AY6" i="3"/>
  <c r="I52" i="21"/>
  <c r="J52" s="1"/>
  <c r="I53"/>
  <c r="J53" s="1"/>
  <c r="U7" i="33"/>
  <c r="AB7"/>
  <c r="T48" s="1"/>
  <c r="G48" s="1"/>
  <c r="E48" i="21"/>
  <c r="R49"/>
  <c r="W7" i="36"/>
  <c r="AC7"/>
  <c r="V36" s="1"/>
  <c r="I36" s="1"/>
  <c r="G48" i="35"/>
  <c r="T6" i="1"/>
  <c r="S16"/>
  <c r="E6" i="70"/>
  <c r="E2" s="1"/>
  <c r="AQ6" i="1"/>
  <c r="AR6"/>
  <c r="G53" i="21"/>
  <c r="H53" s="1"/>
  <c r="G52"/>
  <c r="H52" s="1"/>
  <c r="M16" i="1"/>
  <c r="G53" i="34"/>
  <c r="H53" s="1"/>
  <c r="G54"/>
  <c r="H54" s="1"/>
  <c r="W7" i="33"/>
  <c r="AC7"/>
  <c r="V48" s="1"/>
  <c r="I48" s="1"/>
  <c r="N68" i="39"/>
  <c r="M70"/>
  <c r="I63" i="40"/>
  <c r="H65"/>
  <c r="AC6" i="3"/>
  <c r="S7" i="34"/>
  <c r="AA7"/>
  <c r="R49" s="1"/>
  <c r="AA7" i="36"/>
  <c r="R36" s="1"/>
  <c r="S7"/>
  <c r="C9" i="71"/>
  <c r="D10"/>
  <c r="I19" i="6"/>
  <c r="M27"/>
  <c r="J29" i="15"/>
  <c r="C35" i="69"/>
  <c r="C38"/>
  <c r="S7" i="33"/>
  <c r="AA7"/>
  <c r="R48" s="1"/>
  <c r="I53" i="34"/>
  <c r="J53" s="1"/>
  <c r="E46" i="37"/>
  <c r="F46" s="1"/>
  <c r="E47"/>
  <c r="F47" s="1"/>
  <c r="K27" i="6"/>
  <c r="C60" i="15"/>
  <c r="C26" i="12"/>
  <c r="D25" s="1"/>
  <c r="C38" i="67"/>
  <c r="C66"/>
  <c r="C60"/>
  <c r="C44" i="69"/>
  <c r="D41" s="1"/>
  <c r="C26"/>
  <c r="D22" s="1"/>
  <c r="C23" i="67"/>
  <c r="C29" s="1"/>
  <c r="C24" i="68"/>
  <c r="C26"/>
  <c r="D22" s="1"/>
  <c r="C44"/>
  <c r="D41" s="1"/>
  <c r="C44" i="11"/>
  <c r="D41" s="1"/>
  <c r="C26"/>
  <c r="D22" s="1"/>
  <c r="C23"/>
  <c r="C14" i="15"/>
  <c r="C15" l="1"/>
  <c r="C18"/>
  <c r="N16" i="1"/>
  <c r="C34" i="11"/>
  <c r="L16" i="1"/>
  <c r="C34" i="68"/>
  <c r="C49" i="21"/>
  <c r="C48"/>
  <c r="E53"/>
  <c r="F53" s="1"/>
  <c r="E52"/>
  <c r="F52" s="1"/>
  <c r="R49" i="33"/>
  <c r="E48"/>
  <c r="I40" i="36"/>
  <c r="J40" s="1"/>
  <c r="G53" i="33"/>
  <c r="H53" s="1"/>
  <c r="G52"/>
  <c r="H52" s="1"/>
  <c r="AY66" i="3"/>
  <c r="AY115"/>
  <c r="AY276"/>
  <c r="AY225"/>
  <c r="AY470"/>
  <c r="AY180"/>
  <c r="AY358"/>
  <c r="AY433"/>
  <c r="AY541"/>
  <c r="AY45"/>
  <c r="AY201"/>
  <c r="AY118"/>
  <c r="AY231"/>
  <c r="AY381"/>
  <c r="AY104"/>
  <c r="AY177"/>
  <c r="AY210"/>
  <c r="AY332"/>
  <c r="AY446"/>
  <c r="BM6"/>
  <c r="AY510"/>
  <c r="AY519"/>
  <c r="AY189"/>
  <c r="AY266"/>
  <c r="AY313"/>
  <c r="AY453"/>
  <c r="AY579"/>
  <c r="AY509"/>
  <c r="AY94"/>
  <c r="AY167"/>
  <c r="AY221"/>
  <c r="AY466"/>
  <c r="AY512"/>
  <c r="AY27"/>
  <c r="AY273"/>
  <c r="AY323"/>
  <c r="AY550"/>
  <c r="AY98"/>
  <c r="AY171"/>
  <c r="AY163"/>
  <c r="AY237"/>
  <c r="AY334"/>
  <c r="AY526"/>
  <c r="AY390"/>
  <c r="AY447"/>
  <c r="AY574"/>
  <c r="AY85"/>
  <c r="AY25"/>
  <c r="AY157"/>
  <c r="AY271"/>
  <c r="AY211"/>
  <c r="BI6"/>
  <c r="AY186"/>
  <c r="AY243"/>
  <c r="AY325"/>
  <c r="AY87"/>
  <c r="AY144"/>
  <c r="AY152"/>
  <c r="AY253"/>
  <c r="AY303"/>
  <c r="AY529"/>
  <c r="AY217"/>
  <c r="AY463"/>
  <c r="AY544"/>
  <c r="AY92"/>
  <c r="AY33"/>
  <c r="AY165"/>
  <c r="AY278"/>
  <c r="AY219"/>
  <c r="BH6"/>
  <c r="AY202"/>
  <c r="AY259"/>
  <c r="AY333"/>
  <c r="AY472"/>
  <c r="AY411"/>
  <c r="AY571"/>
  <c r="AY494"/>
  <c r="AY48"/>
  <c r="AY287"/>
  <c r="AY364"/>
  <c r="AY471"/>
  <c r="AY439"/>
  <c r="AY524"/>
  <c r="AY578"/>
  <c r="AY192"/>
  <c r="AY249"/>
  <c r="AY346"/>
  <c r="AY558"/>
  <c r="AY55"/>
  <c r="AY128"/>
  <c r="AY391"/>
  <c r="AY448"/>
  <c r="AY586"/>
  <c r="AY445"/>
  <c r="AY500"/>
  <c r="AY196"/>
  <c r="AY412"/>
  <c r="AY105"/>
  <c r="AY238"/>
  <c r="AY370"/>
  <c r="AY525"/>
  <c r="AY577"/>
  <c r="AY235"/>
  <c r="AY461"/>
  <c r="AY176"/>
  <c r="AY131"/>
  <c r="AY371"/>
  <c r="AY409"/>
  <c r="AY395"/>
  <c r="AY513"/>
  <c r="AY108"/>
  <c r="AY206"/>
  <c r="AY299"/>
  <c r="AY214"/>
  <c r="BJ6"/>
  <c r="AY114"/>
  <c r="AY349"/>
  <c r="AY457"/>
  <c r="AY561"/>
  <c r="AY584"/>
  <c r="AY37"/>
  <c r="AY223"/>
  <c r="AY487"/>
  <c r="AY423"/>
  <c r="BR6"/>
  <c r="AY35"/>
  <c r="AY264"/>
  <c r="AY424"/>
  <c r="AY86"/>
  <c r="AY119"/>
  <c r="AY306"/>
  <c r="AY504"/>
  <c r="AY191"/>
  <c r="AY292"/>
  <c r="AY387"/>
  <c r="AY425"/>
  <c r="AY355"/>
  <c r="AY535"/>
  <c r="AY89"/>
  <c r="AY182"/>
  <c r="AY117"/>
  <c r="AY222"/>
  <c r="AY93"/>
  <c r="AY130"/>
  <c r="AY356"/>
  <c r="AY51"/>
  <c r="AY95"/>
  <c r="AY168"/>
  <c r="AY473"/>
  <c r="AY300"/>
  <c r="AY310"/>
  <c r="AY533"/>
  <c r="AY76"/>
  <c r="AY154"/>
  <c r="AY247"/>
  <c r="AY374"/>
  <c r="AY56"/>
  <c r="AY242"/>
  <c r="AY316"/>
  <c r="AY398"/>
  <c r="AY495"/>
  <c r="AY101"/>
  <c r="AY137"/>
  <c r="AY329"/>
  <c r="AY458"/>
  <c r="AY14"/>
  <c r="AY99"/>
  <c r="AY135"/>
  <c r="AY362"/>
  <c r="AY560"/>
  <c r="AY184"/>
  <c r="AY224"/>
  <c r="AY429"/>
  <c r="AY532"/>
  <c r="AY265"/>
  <c r="AY74"/>
  <c r="AY326"/>
  <c r="AY291"/>
  <c r="AY483"/>
  <c r="AY518"/>
  <c r="AY122"/>
  <c r="AY418"/>
  <c r="AY548"/>
  <c r="AY296"/>
  <c r="AY421"/>
  <c r="AY175"/>
  <c r="AY474"/>
  <c r="AY123"/>
  <c r="AY540"/>
  <c r="AY258"/>
  <c r="AY556"/>
  <c r="AY450"/>
  <c r="AY120"/>
  <c r="AY195"/>
  <c r="AY497"/>
  <c r="AY305"/>
  <c r="AY315"/>
  <c r="AY50"/>
  <c r="AY455"/>
  <c r="AY539"/>
  <c r="AY270"/>
  <c r="AY215"/>
  <c r="AY503"/>
  <c r="AY496"/>
  <c r="AY267"/>
  <c r="AY476"/>
  <c r="AY515"/>
  <c r="AY172"/>
  <c r="AY485"/>
  <c r="AY54"/>
  <c r="AY351"/>
  <c r="AY139"/>
  <c r="AY141"/>
  <c r="AY422"/>
  <c r="AY142"/>
  <c r="AY431"/>
  <c r="AY233"/>
  <c r="AY136"/>
  <c r="AY103"/>
  <c r="AY319"/>
  <c r="AY100"/>
  <c r="AY507"/>
  <c r="AY438"/>
  <c r="AY523"/>
  <c r="AY479"/>
  <c r="AY394"/>
  <c r="AY386"/>
  <c r="AY155"/>
  <c r="AY58"/>
  <c r="AY335"/>
  <c r="AY106"/>
  <c r="AY342"/>
  <c r="BK6"/>
  <c r="AY77"/>
  <c r="AY170"/>
  <c r="AY294"/>
  <c r="AY392"/>
  <c r="AY41"/>
  <c r="AY290"/>
  <c r="AY317"/>
  <c r="AY414"/>
  <c r="BF6"/>
  <c r="AY514"/>
  <c r="AY169"/>
  <c r="AY369"/>
  <c r="AY484"/>
  <c r="AY499"/>
  <c r="AY531"/>
  <c r="AY187"/>
  <c r="AY376"/>
  <c r="AY405"/>
  <c r="AY70"/>
  <c r="AY256"/>
  <c r="AY459"/>
  <c r="AY498"/>
  <c r="AY132"/>
  <c r="AY75"/>
  <c r="AY350"/>
  <c r="AY199"/>
  <c r="AY311"/>
  <c r="AY562"/>
  <c r="AY53"/>
  <c r="AY178"/>
  <c r="AY302"/>
  <c r="AY389"/>
  <c r="AY57"/>
  <c r="AY279"/>
  <c r="AY340"/>
  <c r="AY34"/>
  <c r="AY42"/>
  <c r="AY236"/>
  <c r="AY460"/>
  <c r="AY260"/>
  <c r="AY420"/>
  <c r="BE6"/>
  <c r="AY44"/>
  <c r="AY133"/>
  <c r="AY262"/>
  <c r="AY360"/>
  <c r="AY166"/>
  <c r="AY388"/>
  <c r="AY475"/>
  <c r="BQ6"/>
  <c r="BG6"/>
  <c r="AY65"/>
  <c r="AY251"/>
  <c r="AY344"/>
  <c r="AY426"/>
  <c r="AY565"/>
  <c r="AY63"/>
  <c r="AY285"/>
  <c r="AY469"/>
  <c r="BL6"/>
  <c r="AY148"/>
  <c r="AY354"/>
  <c r="BD6"/>
  <c r="AY250"/>
  <c r="AY200"/>
  <c r="AY204"/>
  <c r="AY557"/>
  <c r="AY368"/>
  <c r="AY454"/>
  <c r="AY508"/>
  <c r="AY385"/>
  <c r="AY399"/>
  <c r="AY110"/>
  <c r="AY216"/>
  <c r="AY528"/>
  <c r="AY288"/>
  <c r="AY413"/>
  <c r="AY252"/>
  <c r="AY198"/>
  <c r="AY464"/>
  <c r="AY32"/>
  <c r="AY17"/>
  <c r="AY383"/>
  <c r="AY272"/>
  <c r="AY275"/>
  <c r="AY505"/>
  <c r="AY71"/>
  <c r="AY289"/>
  <c r="AY116"/>
  <c r="AY84"/>
  <c r="AY373"/>
  <c r="AY324"/>
  <c r="AY572"/>
  <c r="AY81"/>
  <c r="AY396"/>
  <c r="AY434"/>
  <c r="AY545"/>
  <c r="AY301"/>
  <c r="AY408"/>
  <c r="AY164"/>
  <c r="AY477"/>
  <c r="AY489"/>
  <c r="AY384"/>
  <c r="AY516"/>
  <c r="AY218"/>
  <c r="AY575"/>
  <c r="AY330"/>
  <c r="AY375"/>
  <c r="AY160"/>
  <c r="AY212"/>
  <c r="AY20"/>
  <c r="AY29"/>
  <c r="AY419"/>
  <c r="AY64"/>
  <c r="AY402"/>
  <c r="AY451"/>
  <c r="AY443"/>
  <c r="AY83"/>
  <c r="AY59"/>
  <c r="AY297"/>
  <c r="AY318"/>
  <c r="AY245"/>
  <c r="AY465"/>
  <c r="AY569"/>
  <c r="AY60"/>
  <c r="AY138"/>
  <c r="AY263"/>
  <c r="AY357"/>
  <c r="AY24"/>
  <c r="AY274"/>
  <c r="AY491"/>
  <c r="AY427"/>
  <c r="AY546"/>
  <c r="AY96"/>
  <c r="AY129"/>
  <c r="AY345"/>
  <c r="AY442"/>
  <c r="D3" i="6"/>
  <c r="BA6" i="3"/>
  <c r="AY127"/>
  <c r="AY331"/>
  <c r="AY517"/>
  <c r="AY179"/>
  <c r="AY213"/>
  <c r="AY416"/>
  <c r="AY82"/>
  <c r="AY90"/>
  <c r="AY147"/>
  <c r="AY486"/>
  <c r="AY269"/>
  <c r="AY481"/>
  <c r="BO6"/>
  <c r="AY68"/>
  <c r="AY146"/>
  <c r="AY239"/>
  <c r="AY365"/>
  <c r="AY40"/>
  <c r="AY226"/>
  <c r="AY308"/>
  <c r="AY207"/>
  <c r="AY281"/>
  <c r="AY382"/>
  <c r="AY441"/>
  <c r="AY372"/>
  <c r="AY401"/>
  <c r="AY97"/>
  <c r="AY190"/>
  <c r="AY125"/>
  <c r="AY230"/>
  <c r="AY109"/>
  <c r="AY145"/>
  <c r="AY353"/>
  <c r="AY462"/>
  <c r="AY585"/>
  <c r="AY501"/>
  <c r="AY194"/>
  <c r="AY234"/>
  <c r="AY312"/>
  <c r="AY407"/>
  <c r="AY542"/>
  <c r="AY46"/>
  <c r="AY232"/>
  <c r="AY456"/>
  <c r="AY91"/>
  <c r="AY277"/>
  <c r="AY338"/>
  <c r="AY511"/>
  <c r="AY522"/>
  <c r="AY307"/>
  <c r="AY363"/>
  <c r="AY52"/>
  <c r="AY72"/>
  <c r="AY435"/>
  <c r="AY49"/>
  <c r="AY321"/>
  <c r="AY564"/>
  <c r="AY30"/>
  <c r="AY347"/>
  <c r="AY102"/>
  <c r="AY208"/>
  <c r="AY583"/>
  <c r="AY43"/>
  <c r="AY255"/>
  <c r="AY403"/>
  <c r="AY298"/>
  <c r="AY530"/>
  <c r="AY440"/>
  <c r="AY322"/>
  <c r="AY536"/>
  <c r="BP6"/>
  <c r="AY257"/>
  <c r="AY261"/>
  <c r="AY343"/>
  <c r="AY193"/>
  <c r="AY88"/>
  <c r="AY449"/>
  <c r="AY520"/>
  <c r="AY21"/>
  <c r="AY337"/>
  <c r="AY415"/>
  <c r="AY493"/>
  <c r="AY248"/>
  <c r="AY547"/>
  <c r="AY293"/>
  <c r="AY400"/>
  <c r="AY436"/>
  <c r="AY181"/>
  <c r="AY559"/>
  <c r="AY336"/>
  <c r="AY563"/>
  <c r="AY13"/>
  <c r="AY432"/>
  <c r="AY183"/>
  <c r="AY478"/>
  <c r="AY173"/>
  <c r="AY341"/>
  <c r="AY580"/>
  <c r="AY113"/>
  <c r="AY551"/>
  <c r="AY568"/>
  <c r="AY268"/>
  <c r="AY553"/>
  <c r="AY554"/>
  <c r="AY581"/>
  <c r="AY328"/>
  <c r="AY280"/>
  <c r="AY367"/>
  <c r="AY220"/>
  <c r="AY555"/>
  <c r="BS6"/>
  <c r="AY124"/>
  <c r="AY327"/>
  <c r="AY283"/>
  <c r="AY348"/>
  <c r="AY158"/>
  <c r="AY570"/>
  <c r="AY38"/>
  <c r="AY79"/>
  <c r="AY121"/>
  <c r="AY537"/>
  <c r="AY339"/>
  <c r="AY527"/>
  <c r="AY15"/>
  <c r="AY209"/>
  <c r="AY406"/>
  <c r="AY538"/>
  <c r="AY240"/>
  <c r="AY112"/>
  <c r="AY567"/>
  <c r="AY480"/>
  <c r="AY143"/>
  <c r="AY23"/>
  <c r="AY228"/>
  <c r="AY149"/>
  <c r="AY377"/>
  <c r="AY80"/>
  <c r="AY502"/>
  <c r="AY587"/>
  <c r="AY18"/>
  <c r="AY244"/>
  <c r="AY126"/>
  <c r="AY393"/>
  <c r="AY366"/>
  <c r="AY61"/>
  <c r="AY73"/>
  <c r="AY534"/>
  <c r="AY468"/>
  <c r="AY378"/>
  <c r="AY490"/>
  <c r="AY229"/>
  <c r="AY205"/>
  <c r="AY482"/>
  <c r="AY379"/>
  <c r="AY47"/>
  <c r="AY151"/>
  <c r="AY134"/>
  <c r="AY153"/>
  <c r="AY359"/>
  <c r="AY69"/>
  <c r="AY203"/>
  <c r="AY573"/>
  <c r="AY361"/>
  <c r="AY428"/>
  <c r="AY28"/>
  <c r="AY16"/>
  <c r="AY314"/>
  <c r="BC6"/>
  <c r="AY36"/>
  <c r="AY111"/>
  <c r="AY397"/>
  <c r="AY380"/>
  <c r="AY241"/>
  <c r="BN6"/>
  <c r="AY67"/>
  <c r="AY174"/>
  <c r="AY417"/>
  <c r="AY62"/>
  <c r="AY492"/>
  <c r="AY552"/>
  <c r="AY188"/>
  <c r="AY452"/>
  <c r="AY246"/>
  <c r="AY488"/>
  <c r="AY282"/>
  <c r="AY78"/>
  <c r="AY159"/>
  <c r="AY31"/>
  <c r="AY404"/>
  <c r="AY254"/>
  <c r="AY467"/>
  <c r="AY26"/>
  <c r="AY185"/>
  <c r="AY295"/>
  <c r="AY582"/>
  <c r="AY506"/>
  <c r="AY437"/>
  <c r="AY286"/>
  <c r="AY162"/>
  <c r="AY304"/>
  <c r="AY22"/>
  <c r="BB6"/>
  <c r="AY576"/>
  <c r="AY521"/>
  <c r="AY161"/>
  <c r="AY320"/>
  <c r="AY107"/>
  <c r="AY309"/>
  <c r="AY39"/>
  <c r="AY227"/>
  <c r="AY19"/>
  <c r="AY197"/>
  <c r="AY410"/>
  <c r="AY444"/>
  <c r="AY150"/>
  <c r="AY549"/>
  <c r="AY430"/>
  <c r="AY156"/>
  <c r="BT6"/>
  <c r="AY140"/>
  <c r="AY352"/>
  <c r="AY543"/>
  <c r="AY566"/>
  <c r="AY284"/>
  <c r="G40" i="36"/>
  <c r="H40" s="1"/>
  <c r="G41"/>
  <c r="H41" s="1"/>
  <c r="I27" i="6"/>
  <c r="S19"/>
  <c r="R37" i="36"/>
  <c r="E36"/>
  <c r="N70" i="39"/>
  <c r="J7" s="1"/>
  <c r="O68"/>
  <c r="O70" s="1"/>
  <c r="E49" i="34"/>
  <c r="R50"/>
  <c r="T9" i="71"/>
  <c r="C8"/>
  <c r="D9"/>
  <c r="U9" s="1"/>
  <c r="J63" i="40"/>
  <c r="I65"/>
  <c r="I53" i="33"/>
  <c r="J53" s="1"/>
  <c r="I52"/>
  <c r="J52" s="1"/>
  <c r="T16" i="1"/>
  <c r="H48" i="35"/>
  <c r="D19" i="11"/>
  <c r="C19" s="1"/>
  <c r="D3" i="21"/>
  <c r="L18" i="9"/>
  <c r="D14" i="12"/>
  <c r="S27" i="6"/>
  <c r="D3" i="34"/>
  <c r="D37" i="11"/>
  <c r="C37" s="1"/>
  <c r="D3" i="33"/>
  <c r="E6" i="6"/>
  <c r="C17" i="4"/>
  <c r="B4" i="52" s="1"/>
  <c r="B43" i="72" s="1"/>
  <c r="M18" i="9"/>
  <c r="B118" s="1"/>
  <c r="B14" i="74" s="1"/>
  <c r="B1" s="1"/>
  <c r="D3" i="37"/>
  <c r="B2" s="1"/>
  <c r="B3" s="1"/>
  <c r="C57" i="67"/>
  <c r="C13"/>
  <c r="Q49"/>
  <c r="J19"/>
  <c r="J17" s="1"/>
  <c r="C33"/>
  <c r="C31" s="1"/>
  <c r="C36"/>
  <c r="J14"/>
  <c r="J59"/>
  <c r="J60" s="1"/>
  <c r="C19" i="15" l="1"/>
  <c r="C20" s="1"/>
  <c r="C26" s="1"/>
  <c r="AC7" i="39"/>
  <c r="V47" s="1"/>
  <c r="I47" s="1"/>
  <c r="W7"/>
  <c r="C8" i="74"/>
  <c r="C7"/>
  <c r="I48" i="35"/>
  <c r="E52" i="33"/>
  <c r="F52" s="1"/>
  <c r="E53"/>
  <c r="F53" s="1"/>
  <c r="C35" i="11"/>
  <c r="C38"/>
  <c r="F7" i="39"/>
  <c r="D17" i="12"/>
  <c r="C17" s="1"/>
  <c r="C14"/>
  <c r="C16" s="1"/>
  <c r="K63" i="40"/>
  <c r="J65"/>
  <c r="C49" i="34"/>
  <c r="C50"/>
  <c r="B2" s="1"/>
  <c r="B3" s="1"/>
  <c r="E41" i="36"/>
  <c r="F41" s="1"/>
  <c r="E40"/>
  <c r="F40" s="1"/>
  <c r="D19" i="6"/>
  <c r="D23"/>
  <c r="D15"/>
  <c r="D14"/>
  <c r="D21"/>
  <c r="R21" s="1"/>
  <c r="D13"/>
  <c r="D5"/>
  <c r="D25"/>
  <c r="R25" s="1"/>
  <c r="D26"/>
  <c r="R26" s="1"/>
  <c r="H26"/>
  <c r="L19" i="9"/>
  <c r="H23" i="6"/>
  <c r="H25"/>
  <c r="D20"/>
  <c r="H19"/>
  <c r="C18" i="4"/>
  <c r="E61" i="40"/>
  <c r="D8" i="6"/>
  <c r="D29"/>
  <c r="D11"/>
  <c r="D22"/>
  <c r="H21"/>
  <c r="D10"/>
  <c r="H22"/>
  <c r="D24"/>
  <c r="M19" i="9"/>
  <c r="C118" s="1"/>
  <c r="C14" i="74" s="1"/>
  <c r="B2" s="1"/>
  <c r="H24" i="6"/>
  <c r="D28"/>
  <c r="D30" s="1"/>
  <c r="D6"/>
  <c r="D12"/>
  <c r="D9"/>
  <c r="H20"/>
  <c r="C48" i="33"/>
  <c r="C49"/>
  <c r="B2" s="1"/>
  <c r="B3" s="1"/>
  <c r="B2" i="21"/>
  <c r="B3" s="1"/>
  <c r="F50" i="68"/>
  <c r="F50" i="11"/>
  <c r="F50" i="69"/>
  <c r="D10" i="11"/>
  <c r="C10" s="1"/>
  <c r="D20" i="12"/>
  <c r="C20" s="1"/>
  <c r="C18" s="1"/>
  <c r="D10" i="68"/>
  <c r="D10" i="69"/>
  <c r="C20" i="11"/>
  <c r="C25" s="1"/>
  <c r="C28"/>
  <c r="C27" s="1"/>
  <c r="C24"/>
  <c r="E54" i="34"/>
  <c r="F54" s="1"/>
  <c r="E53"/>
  <c r="F53" s="1"/>
  <c r="I54"/>
  <c r="J54" s="1"/>
  <c r="C36" i="36"/>
  <c r="C37"/>
  <c r="B2" s="1"/>
  <c r="B3" s="1"/>
  <c r="C35" i="68"/>
  <c r="C38"/>
  <c r="H7" i="39"/>
  <c r="C7" i="71"/>
  <c r="D8"/>
  <c r="I41" i="36"/>
  <c r="J41" s="1"/>
  <c r="Q48" i="67"/>
  <c r="L46"/>
  <c r="C61"/>
  <c r="C59" s="1"/>
  <c r="C64"/>
  <c r="C37"/>
  <c r="C30" s="1"/>
  <c r="C39" s="1"/>
  <c r="Q70"/>
  <c r="C56"/>
  <c r="C65" s="1"/>
  <c r="C75"/>
  <c r="J13"/>
  <c r="J23" s="1"/>
  <c r="J22"/>
  <c r="L51"/>
  <c r="C23" i="15" l="1"/>
  <c r="C29" s="1"/>
  <c r="S7" i="39"/>
  <c r="AA7"/>
  <c r="R47" s="1"/>
  <c r="C6" i="71"/>
  <c r="D7"/>
  <c r="H27" i="6"/>
  <c r="C33" i="11"/>
  <c r="U7" i="39"/>
  <c r="AB7"/>
  <c r="T47" s="1"/>
  <c r="G47" s="1"/>
  <c r="C10" i="69"/>
  <c r="C8" s="1"/>
  <c r="C5" s="1"/>
  <c r="D19"/>
  <c r="D8" i="74"/>
  <c r="D7"/>
  <c r="D16" i="6"/>
  <c r="R20"/>
  <c r="L63" i="40"/>
  <c r="K65"/>
  <c r="C21" i="12"/>
  <c r="A7" i="51"/>
  <c r="B7" i="72" s="1"/>
  <c r="A10" i="51"/>
  <c r="B9" i="72" s="1"/>
  <c r="C4" i="52"/>
  <c r="B45" i="72" s="1"/>
  <c r="R19" i="6"/>
  <c r="D27"/>
  <c r="D31" s="1"/>
  <c r="C22" i="11"/>
  <c r="C31" s="1"/>
  <c r="C10" i="68"/>
  <c r="D19"/>
  <c r="D37" s="1"/>
  <c r="C37" s="1"/>
  <c r="C33" s="1"/>
  <c r="R24" i="6"/>
  <c r="R22"/>
  <c r="R23"/>
  <c r="J48" i="35"/>
  <c r="I51" i="39"/>
  <c r="J51" s="1"/>
  <c r="J16" i="67"/>
  <c r="J25" s="1"/>
  <c r="Q67"/>
  <c r="L57"/>
  <c r="L60" s="1"/>
  <c r="Q69"/>
  <c r="Q68" s="1"/>
  <c r="C40"/>
  <c r="C58"/>
  <c r="C67" s="1"/>
  <c r="C68" s="1"/>
  <c r="C80"/>
  <c r="C79" s="1"/>
  <c r="C39" i="68" l="1"/>
  <c r="C43" s="1"/>
  <c r="C42"/>
  <c r="I6" i="6"/>
  <c r="G3" i="43" s="1"/>
  <c r="I5" i="6"/>
  <c r="C19" i="69"/>
  <c r="D37"/>
  <c r="C37" s="1"/>
  <c r="C33" s="1"/>
  <c r="C39" i="11"/>
  <c r="C42"/>
  <c r="E47" i="39"/>
  <c r="R48"/>
  <c r="K48" i="35"/>
  <c r="R6" i="1"/>
  <c r="R27" i="6"/>
  <c r="C22" i="12"/>
  <c r="C30" s="1"/>
  <c r="C28" s="1"/>
  <c r="C23" i="69"/>
  <c r="G52" i="39"/>
  <c r="H52" s="1"/>
  <c r="G51"/>
  <c r="H51" s="1"/>
  <c r="M63" i="40"/>
  <c r="L65"/>
  <c r="D6" i="71"/>
  <c r="C5"/>
  <c r="C13" i="15"/>
  <c r="C57"/>
  <c r="J19"/>
  <c r="J14"/>
  <c r="C36"/>
  <c r="Q49"/>
  <c r="Q66" i="67"/>
  <c r="Q57"/>
  <c r="Q47"/>
  <c r="Q53" s="1"/>
  <c r="Q56"/>
  <c r="Q65"/>
  <c r="Q75" s="1"/>
  <c r="C43"/>
  <c r="D2"/>
  <c r="C83"/>
  <c r="C82" s="1"/>
  <c r="C71"/>
  <c r="C45"/>
  <c r="C46" s="1"/>
  <c r="F35" i="15"/>
  <c r="M21"/>
  <c r="F63" l="1"/>
  <c r="C62" s="1"/>
  <c r="C34"/>
  <c r="C31" s="1"/>
  <c r="J20"/>
  <c r="C27" i="12"/>
  <c r="C25" s="1"/>
  <c r="C32" s="1"/>
  <c r="B2" s="1"/>
  <c r="B3" s="1"/>
  <c r="R16" i="1"/>
  <c r="C48" i="39"/>
  <c r="C47"/>
  <c r="C39" i="69"/>
  <c r="C42"/>
  <c r="E51" i="39"/>
  <c r="F51" s="1"/>
  <c r="E52"/>
  <c r="F52" s="1"/>
  <c r="I52"/>
  <c r="J52" s="1"/>
  <c r="C20" i="69"/>
  <c r="C24"/>
  <c r="C41" i="68"/>
  <c r="C75" i="15"/>
  <c r="Q70"/>
  <c r="C37"/>
  <c r="C56"/>
  <c r="C65" s="1"/>
  <c r="J22"/>
  <c r="J13"/>
  <c r="J23" s="1"/>
  <c r="C46" i="68"/>
  <c r="C45" s="1"/>
  <c r="N63" i="40"/>
  <c r="M65"/>
  <c r="D5" i="71"/>
  <c r="M20" i="43"/>
  <c r="C19" s="1"/>
  <c r="J17" i="15"/>
  <c r="C64"/>
  <c r="C61"/>
  <c r="C59" s="1"/>
  <c r="L48" i="35"/>
  <c r="C46" i="11"/>
  <c r="C45" s="1"/>
  <c r="C43"/>
  <c r="C41" s="1"/>
  <c r="C49" s="1"/>
  <c r="C51" s="1"/>
  <c r="N101" i="43"/>
  <c r="AG11"/>
  <c r="AG13" s="1"/>
  <c r="J101"/>
  <c r="AH11"/>
  <c r="AH13" s="1"/>
  <c r="Z7"/>
  <c r="AI11"/>
  <c r="AI13" s="1"/>
  <c r="Y11"/>
  <c r="Y13" s="1"/>
  <c r="D101"/>
  <c r="AF11"/>
  <c r="AF13" s="1"/>
  <c r="AA11"/>
  <c r="AA13" s="1"/>
  <c r="N104" i="46"/>
  <c r="K101" i="43"/>
  <c r="I101"/>
  <c r="L101"/>
  <c r="M101"/>
  <c r="H101"/>
  <c r="B113"/>
  <c r="AJ11"/>
  <c r="AJ13" s="1"/>
  <c r="AE11"/>
  <c r="AE13" s="1"/>
  <c r="C101"/>
  <c r="G101"/>
  <c r="E101"/>
  <c r="AB11"/>
  <c r="AB13" s="1"/>
  <c r="J22"/>
  <c r="AC11"/>
  <c r="AC13" s="1"/>
  <c r="G22"/>
  <c r="AD11"/>
  <c r="AD13" s="1"/>
  <c r="F101"/>
  <c r="Z11"/>
  <c r="Z13" s="1"/>
  <c r="H22"/>
  <c r="E22"/>
  <c r="F22"/>
  <c r="B3" i="67"/>
  <c r="B2"/>
  <c r="Q62"/>
  <c r="J16" i="15" l="1"/>
  <c r="J25" s="1"/>
  <c r="C49" i="68"/>
  <c r="C51" s="1"/>
  <c r="C52" i="11"/>
  <c r="B2" s="1"/>
  <c r="B3" s="1"/>
  <c r="D22" i="43"/>
  <c r="C21" s="1"/>
  <c r="F106"/>
  <c r="F105"/>
  <c r="F102"/>
  <c r="F104"/>
  <c r="F103"/>
  <c r="F109"/>
  <c r="F107"/>
  <c r="E103"/>
  <c r="E107"/>
  <c r="E105"/>
  <c r="E109"/>
  <c r="E102"/>
  <c r="E106"/>
  <c r="E104"/>
  <c r="K102"/>
  <c r="K104"/>
  <c r="K106"/>
  <c r="K107"/>
  <c r="K103"/>
  <c r="K105"/>
  <c r="K109"/>
  <c r="N65" i="40"/>
  <c r="O63"/>
  <c r="O65" s="1"/>
  <c r="C25" i="69"/>
  <c r="C22" s="1"/>
  <c r="C28"/>
  <c r="C27" s="1"/>
  <c r="N106" i="43"/>
  <c r="N107"/>
  <c r="N103"/>
  <c r="N102"/>
  <c r="N104"/>
  <c r="N109"/>
  <c r="N105"/>
  <c r="M48" i="35"/>
  <c r="N48" s="1"/>
  <c r="O48" s="1"/>
  <c r="J7" s="1"/>
  <c r="H7"/>
  <c r="F7"/>
  <c r="C37" i="43"/>
  <c r="T14"/>
  <c r="V14" s="1"/>
  <c r="C34"/>
  <c r="C33"/>
  <c r="T11"/>
  <c r="V11" s="1"/>
  <c r="C38"/>
  <c r="T9"/>
  <c r="V9" s="1"/>
  <c r="T8"/>
  <c r="V8" s="1"/>
  <c r="C29"/>
  <c r="C35"/>
  <c r="T13"/>
  <c r="V13" s="1"/>
  <c r="T10"/>
  <c r="V10" s="1"/>
  <c r="T12"/>
  <c r="V12" s="1"/>
  <c r="C36"/>
  <c r="T16"/>
  <c r="V16" s="1"/>
  <c r="T15"/>
  <c r="V15" s="1"/>
  <c r="C39"/>
  <c r="B57" i="39"/>
  <c r="F57" s="1"/>
  <c r="B58"/>
  <c r="F58" s="1"/>
  <c r="B59"/>
  <c r="F59" s="1"/>
  <c r="B64"/>
  <c r="F64" s="1"/>
  <c r="B65"/>
  <c r="F65" s="1"/>
  <c r="B62"/>
  <c r="F62" s="1"/>
  <c r="B60"/>
  <c r="F60" s="1"/>
  <c r="B61"/>
  <c r="F61" s="1"/>
  <c r="B63"/>
  <c r="F63" s="1"/>
  <c r="B56"/>
  <c r="F56" s="1"/>
  <c r="F66" s="1"/>
  <c r="B2" s="1"/>
  <c r="B3" s="1"/>
  <c r="G104" i="43"/>
  <c r="G103"/>
  <c r="G109"/>
  <c r="G105"/>
  <c r="G107"/>
  <c r="G106"/>
  <c r="G102"/>
  <c r="D116"/>
  <c r="E116" s="1"/>
  <c r="F116" s="1"/>
  <c r="G116" s="1"/>
  <c r="H116" s="1"/>
  <c r="B116"/>
  <c r="C116" s="1"/>
  <c r="I117"/>
  <c r="J117" s="1"/>
  <c r="K117" s="1"/>
  <c r="L117" s="1"/>
  <c r="M117" s="1"/>
  <c r="I115"/>
  <c r="J115" s="1"/>
  <c r="K115" s="1"/>
  <c r="L115" s="1"/>
  <c r="M115" s="1"/>
  <c r="B115"/>
  <c r="I116"/>
  <c r="J116" s="1"/>
  <c r="K116" s="1"/>
  <c r="L116" s="1"/>
  <c r="M116" s="1"/>
  <c r="G118"/>
  <c r="H118" s="1"/>
  <c r="I118"/>
  <c r="J118" s="1"/>
  <c r="K118" s="1"/>
  <c r="L118" s="1"/>
  <c r="M118" s="1"/>
  <c r="D117"/>
  <c r="E117" s="1"/>
  <c r="F117" s="1"/>
  <c r="G117" s="1"/>
  <c r="H117" s="1"/>
  <c r="B118"/>
  <c r="C118" s="1"/>
  <c r="B117"/>
  <c r="C117" s="1"/>
  <c r="D115"/>
  <c r="E115" s="1"/>
  <c r="F115" s="1"/>
  <c r="G115" s="1"/>
  <c r="H115" s="1"/>
  <c r="D118"/>
  <c r="E118" s="1"/>
  <c r="F118" s="1"/>
  <c r="M107"/>
  <c r="M106"/>
  <c r="M104"/>
  <c r="M103"/>
  <c r="M109"/>
  <c r="M102"/>
  <c r="M105"/>
  <c r="C109"/>
  <c r="C104"/>
  <c r="C102"/>
  <c r="C107"/>
  <c r="C103"/>
  <c r="C105"/>
  <c r="C106"/>
  <c r="H103"/>
  <c r="H104"/>
  <c r="H105"/>
  <c r="H102"/>
  <c r="H107"/>
  <c r="H109"/>
  <c r="H106"/>
  <c r="L103"/>
  <c r="L106"/>
  <c r="L105"/>
  <c r="L107"/>
  <c r="L109"/>
  <c r="L102"/>
  <c r="L104"/>
  <c r="D104"/>
  <c r="D105"/>
  <c r="D107"/>
  <c r="D109"/>
  <c r="D106"/>
  <c r="D103"/>
  <c r="D102"/>
  <c r="C58" i="15"/>
  <c r="C67" s="1"/>
  <c r="C68" s="1"/>
  <c r="C71" s="1"/>
  <c r="C30"/>
  <c r="C39" s="1"/>
  <c r="I104" i="43"/>
  <c r="I107"/>
  <c r="I103"/>
  <c r="I109"/>
  <c r="I102"/>
  <c r="I106"/>
  <c r="I105"/>
  <c r="J106"/>
  <c r="J103"/>
  <c r="J105"/>
  <c r="J102"/>
  <c r="J109"/>
  <c r="J104"/>
  <c r="J107"/>
  <c r="C46" i="69"/>
  <c r="C45" s="1"/>
  <c r="C43"/>
  <c r="C41" s="1"/>
  <c r="C49" l="1"/>
  <c r="C51" s="1"/>
  <c r="Q69" i="15"/>
  <c r="Q68" s="1"/>
  <c r="C40"/>
  <c r="S4" i="43"/>
  <c r="T4" s="1"/>
  <c r="V4" s="1"/>
  <c r="S2"/>
  <c r="T2" s="1"/>
  <c r="V2" s="1"/>
  <c r="S3"/>
  <c r="T3" s="1"/>
  <c r="V3" s="1"/>
  <c r="S7"/>
  <c r="T7" s="1"/>
  <c r="V7" s="1"/>
  <c r="C23"/>
  <c r="S5"/>
  <c r="T5" s="1"/>
  <c r="V5" s="1"/>
  <c r="S6"/>
  <c r="T6" s="1"/>
  <c r="V6" s="1"/>
  <c r="C80" i="15"/>
  <c r="C79" s="1"/>
  <c r="G36" i="43"/>
  <c r="I36" s="1"/>
  <c r="E36"/>
  <c r="G35"/>
  <c r="I35" s="1"/>
  <c r="E35"/>
  <c r="E33"/>
  <c r="G33"/>
  <c r="I33" s="1"/>
  <c r="C115"/>
  <c r="D113"/>
  <c r="G38"/>
  <c r="I38" s="1"/>
  <c r="E38"/>
  <c r="E37"/>
  <c r="G37"/>
  <c r="I37" s="1"/>
  <c r="C31" i="69"/>
  <c r="S7" i="35"/>
  <c r="AA7"/>
  <c r="R38" s="1"/>
  <c r="G39" i="43"/>
  <c r="I39" s="1"/>
  <c r="E39"/>
  <c r="E29"/>
  <c r="C30"/>
  <c r="E30" s="1"/>
  <c r="E34"/>
  <c r="G34"/>
  <c r="I34" s="1"/>
  <c r="AB7" i="35"/>
  <c r="T38" s="1"/>
  <c r="G38" s="1"/>
  <c r="U7"/>
  <c r="J7" i="40"/>
  <c r="F7"/>
  <c r="H7"/>
  <c r="AC7" i="35"/>
  <c r="V38" s="1"/>
  <c r="I38" s="1"/>
  <c r="W7"/>
  <c r="C56" i="11"/>
  <c r="C57" s="1"/>
  <c r="L51" i="15"/>
  <c r="C52" i="69" l="1"/>
  <c r="B2" s="1"/>
  <c r="B3" s="1"/>
  <c r="Q67" i="15"/>
  <c r="W7" i="40"/>
  <c r="AC7"/>
  <c r="V42" s="1"/>
  <c r="I42" s="1"/>
  <c r="C46" i="15"/>
  <c r="C83"/>
  <c r="C82" s="1"/>
  <c r="Q56"/>
  <c r="Q62" s="1"/>
  <c r="C43"/>
  <c r="Q65"/>
  <c r="Q75" s="1"/>
  <c r="B2"/>
  <c r="Q47"/>
  <c r="Q53" s="1"/>
  <c r="I42" i="35"/>
  <c r="J42" s="1"/>
  <c r="I43"/>
  <c r="J43" s="1"/>
  <c r="C27" i="43"/>
  <c r="E38" i="35"/>
  <c r="R39"/>
  <c r="U7" i="40"/>
  <c r="AB7"/>
  <c r="T42" s="1"/>
  <c r="G42" s="1"/>
  <c r="G42" i="35"/>
  <c r="H42" s="1"/>
  <c r="G43"/>
  <c r="H43" s="1"/>
  <c r="C6" i="68"/>
  <c r="C7" s="1"/>
  <c r="C5" s="1"/>
  <c r="C26" i="43"/>
  <c r="S7" i="40"/>
  <c r="AA7"/>
  <c r="R42" s="1"/>
  <c r="C57" i="69"/>
  <c r="C56" s="1"/>
  <c r="AO6" i="1"/>
  <c r="D19" i="9"/>
  <c r="E6" i="76"/>
  <c r="E2" l="1"/>
  <c r="B6" i="70"/>
  <c r="B2" s="1"/>
  <c r="B3" s="1"/>
  <c r="D21" i="9"/>
  <c r="D102"/>
  <c r="I46" i="40"/>
  <c r="J46" s="1"/>
  <c r="E42" i="35"/>
  <c r="F42" s="1"/>
  <c r="E43"/>
  <c r="F43" s="1"/>
  <c r="C23" i="68"/>
  <c r="C20"/>
  <c r="C25" s="1"/>
  <c r="R43" i="40"/>
  <c r="E42"/>
  <c r="C38" i="35"/>
  <c r="C39"/>
  <c r="B2" s="1"/>
  <c r="B3" s="1"/>
  <c r="B2" i="43"/>
  <c r="G46" i="40"/>
  <c r="H46" s="1"/>
  <c r="G47"/>
  <c r="H47" s="1"/>
  <c r="B3" i="15"/>
  <c r="B6" i="76"/>
  <c r="D20" i="9"/>
  <c r="B2" i="76" l="1"/>
  <c r="B3" s="1"/>
  <c r="D103" i="9"/>
  <c r="E46" i="40"/>
  <c r="F46" s="1"/>
  <c r="E47"/>
  <c r="F47" s="1"/>
  <c r="B3" i="43"/>
  <c r="C43" i="40"/>
  <c r="C42"/>
  <c r="I47"/>
  <c r="J47" s="1"/>
  <c r="C22" i="68"/>
  <c r="C28"/>
  <c r="C27" s="1"/>
  <c r="C31" l="1"/>
  <c r="C52" s="1"/>
  <c r="C57" s="1"/>
  <c r="C56" s="1"/>
  <c r="B56" i="40"/>
  <c r="F56" s="1"/>
  <c r="B60"/>
  <c r="F60" s="1"/>
  <c r="B57"/>
  <c r="F57" s="1"/>
  <c r="B51"/>
  <c r="F51" s="1"/>
  <c r="F61"/>
  <c r="B2" s="1"/>
  <c r="B3" s="1"/>
  <c r="B53"/>
  <c r="F53" s="1"/>
  <c r="B54"/>
  <c r="F54" s="1"/>
  <c r="B58"/>
  <c r="F58" s="1"/>
  <c r="B55"/>
  <c r="F55" s="1"/>
  <c r="B59"/>
  <c r="F59" s="1"/>
  <c r="B52"/>
  <c r="F52" s="1"/>
  <c r="B2" i="68" l="1"/>
  <c r="C19" i="9"/>
  <c r="C21" l="1"/>
  <c r="C102"/>
  <c r="D22"/>
  <c r="G19"/>
  <c r="C32" s="1"/>
  <c r="B3" i="68"/>
  <c r="C20" i="9"/>
  <c r="D35"/>
  <c r="D34"/>
  <c r="G21" l="1"/>
  <c r="C103"/>
  <c r="G20"/>
  <c r="H118"/>
  <c r="C35"/>
  <c r="F118" s="1"/>
  <c r="C34" l="1"/>
  <c r="D118" s="1"/>
  <c r="D119" s="1"/>
  <c r="D5" i="52" s="1"/>
  <c r="B49" i="72" s="1"/>
  <c r="D14" i="74"/>
  <c r="I118" i="9"/>
  <c r="H101"/>
  <c r="H4" i="52"/>
  <c r="H119" i="9"/>
  <c r="H5" i="52" s="1"/>
  <c r="C104" i="9"/>
  <c r="F4" i="52"/>
  <c r="B51" i="72" s="1"/>
  <c r="G118" i="9"/>
  <c r="G4" i="52" s="1"/>
  <c r="B52" i="72" s="1"/>
  <c r="F119" i="9"/>
  <c r="F5" i="52" s="1"/>
  <c r="B53" i="72" s="1"/>
  <c r="D4" i="52" l="1"/>
  <c r="B47" i="72" s="1"/>
  <c r="H107" i="9"/>
  <c r="D5" i="53"/>
  <c r="M48" i="9"/>
  <c r="D45"/>
  <c r="C105"/>
  <c r="E118"/>
  <c r="E4" i="52" s="1"/>
  <c r="B48" i="72" s="1"/>
  <c r="I4" i="52"/>
  <c r="H102" i="9"/>
  <c r="D7" i="53" s="1"/>
  <c r="B21" i="72" s="1"/>
  <c r="F14" i="74"/>
  <c r="E14"/>
  <c r="B5"/>
  <c r="D55" i="9" l="1"/>
  <c r="M53" s="1"/>
  <c r="C93"/>
  <c r="C86" s="1"/>
  <c r="C85"/>
  <c r="C78"/>
  <c r="C73" s="1"/>
  <c r="C72"/>
  <c r="D52"/>
  <c r="D53"/>
  <c r="C64"/>
  <c r="C63" s="1"/>
  <c r="C67" s="1"/>
  <c r="C68" s="1"/>
  <c r="D54" s="1"/>
  <c r="C5" i="74"/>
  <c r="D5"/>
  <c r="D6" i="53"/>
  <c r="B22" i="72" s="1"/>
  <c r="B20"/>
  <c r="D13" i="53"/>
  <c r="D122" i="9"/>
  <c r="M49"/>
  <c r="H108"/>
  <c r="D15" i="53" s="1"/>
  <c r="B31" i="72" s="1"/>
  <c r="C79" i="9" l="1"/>
  <c r="L63"/>
  <c r="M63" s="1"/>
  <c r="L67"/>
  <c r="M67" s="1"/>
  <c r="L65"/>
  <c r="M65" s="1"/>
  <c r="L68"/>
  <c r="M68" s="1"/>
  <c r="L64"/>
  <c r="M64" s="1"/>
  <c r="L66"/>
  <c r="M66" s="1"/>
  <c r="D8" i="52"/>
  <c r="D123" i="9"/>
  <c r="D9" i="52" s="1"/>
  <c r="G14" i="74"/>
  <c r="B6" s="1"/>
  <c r="B30" i="72"/>
  <c r="D14" i="53"/>
  <c r="B32" i="72" s="1"/>
  <c r="C80" i="9"/>
  <c r="E80" s="1"/>
  <c r="E81" s="1"/>
  <c r="C95"/>
  <c r="M69" l="1"/>
  <c r="N69" s="1"/>
  <c r="C96"/>
  <c r="E96" s="1"/>
  <c r="E97" s="1"/>
  <c r="C81"/>
  <c r="D6" i="74"/>
  <c r="C6"/>
  <c r="C97" i="9" l="1"/>
  <c r="D58" s="1"/>
  <c r="D56" s="1"/>
  <c r="M54" s="1"/>
  <c r="N57" s="1"/>
  <c r="P57" l="1"/>
  <c r="N58"/>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<sst xmlns="http://schemas.openxmlformats.org/spreadsheetml/2006/main" count="7308" uniqueCount="3098">
  <si>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</si>
  <si>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</si>
  <si>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</si>
  <si>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</si>
  <si>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</si>
  <si>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</si>
  <si>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</si>
  <si>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</si>
  <si>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</si>
  <si>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</si>
  <si>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</si>
  <si>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</si>
  <si>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</si>
  <si>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</si>
  <si>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</si>
  <si>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</si>
  <si>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</si>
  <si>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</si>
  <si>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</si>
  <si>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</si>
  <si>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</si>
  <si>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</si>
  <si>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</si>
  <si>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</si>
  <si>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</si>
  <si>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</si>
  <si>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</si>
  <si>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</si>
  <si>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</si>
  <si>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</si>
  <si>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</si>
  <si>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</si>
  <si>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</si>
  <si>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</si>
  <si>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</si>
  <si>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</si>
  <si>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</si>
  <si>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</si>
  <si>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</si>
  <si>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</si>
  <si>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</si>
  <si>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</si>
  <si>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</si>
  <si>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</si>
  <si>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</si>
  <si>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</si>
  <si>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</si>
  <si>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</si>
  <si>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</si>
  <si>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</si>
  <si>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</si>
  <si>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</si>
  <si>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</si>
  <si>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</si>
  <si>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</si>
  <si>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</si>
  <si>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</si>
  <si>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</si>
  <si>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</si>
  <si>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</si>
  <si>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</si>
  <si>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</si>
  <si>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</si>
  <si>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</si>
  <si>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</si>
  <si>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</si>
  <si>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</si>
  <si>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</si>
  <si>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</si>
  <si>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</si>
  <si>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</si>
  <si>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</si>
  <si>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</si>
  <si>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</si>
  <si>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</si>
  <si>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</si>
  <si>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</si>
  <si>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</si>
  <si>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</si>
  <si>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</si>
  <si>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</si>
  <si>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</si>
  <si>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</si>
  <si>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</si>
  <si>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</si>
  <si>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</si>
  <si>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</si>
  <si>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</si>
  <si>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</si>
  <si>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</si>
  <si>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</si>
  <si>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</si>
  <si>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</si>
  <si>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</si>
  <si>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</si>
  <si>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</si>
  <si>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</si>
  <si>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</si>
  <si>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</si>
  <si>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</si>
  <si>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</si>
  <si>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</si>
  <si>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</si>
  <si>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</si>
  <si>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</si>
  <si>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</si>
  <si>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</si>
  <si>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</si>
  <si>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</si>
  <si>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</si>
  <si>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</si>
  <si>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</si>
  <si>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</si>
  <si>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</si>
  <si>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</si>
  <si>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</si>
  <si>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</si>
  <si>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</si>
  <si>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</si>
  <si>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</si>
  <si>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</si>
  <si>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</si>
  <si>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</si>
  <si>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</si>
  <si>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</si>
  <si>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</si>
  <si>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</si>
  <si>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</si>
  <si>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</si>
  <si>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</si>
  <si>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</si>
  <si>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</si>
  <si>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</si>
  <si>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</si>
  <si>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</si>
  <si>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</si>
  <si>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</si>
  <si>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</si>
  <si>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</si>
  <si>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</si>
  <si>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</si>
  <si>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</si>
  <si>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</si>
  <si>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</si>
  <si>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</si>
  <si>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</si>
  <si>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</si>
  <si>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</si>
  <si>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</si>
  <si>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</si>
  <si>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</si>
  <si>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</si>
  <si>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</si>
  <si>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</si>
  <si>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</si>
  <si>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</si>
  <si>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</si>
  <si>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</si>
  <si>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</si>
  <si>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</si>
  <si>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</si>
  <si>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</si>
  <si>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</si>
  <si>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</si>
  <si>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</si>
  <si>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</si>
  <si>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</si>
  <si>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</si>
  <si>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</si>
  <si>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</si>
  <si>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</si>
  <si>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</si>
  <si>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</si>
  <si>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</si>
  <si>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</si>
  <si>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</si>
  <si>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</si>
  <si>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</si>
  <si>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</si>
  <si>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</si>
  <si>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</si>
  <si>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</si>
  <si>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</si>
  <si>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</si>
  <si>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</si>
  <si>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</si>
  <si>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</si>
  <si>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</si>
  <si>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</si>
  <si>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</si>
  <si>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</si>
  <si>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</si>
  <si>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</si>
  <si>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</si>
  <si>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</si>
  <si>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</si>
  <si>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</si>
  <si>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</si>
  <si>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</si>
  <si>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</si>
  <si>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</si>
  <si>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</si>
  <si>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</si>
  <si>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</si>
  <si>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</si>
  <si>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</si>
  <si>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</si>
  <si>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</si>
  <si>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</si>
  <si>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</si>
  <si>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</si>
  <si>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</si>
  <si>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</si>
  <si>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</si>
  <si>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</si>
  <si>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</si>
  <si>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</si>
  <si>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</si>
  <si>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</si>
  <si>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</si>
  <si>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</si>
  <si>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</si>
  <si>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</si>
  <si>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</si>
  <si>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</si>
  <si>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</si>
  <si>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</si>
  <si>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</si>
  <si>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</si>
  <si>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</si>
  <si>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</si>
  <si>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</si>
  <si>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</si>
  <si>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</si>
  <si>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</si>
  <si>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</si>
  <si>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</si>
  <si>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</si>
  <si>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</si>
  <si>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</si>
  <si>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</si>
  <si>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</si>
  <si>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</si>
  <si>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</si>
  <si>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</si>
  <si>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</si>
  <si>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</si>
  <si>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</si>
  <si>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</si>
  <si>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</si>
  <si>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</si>
  <si>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</si>
  <si>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</si>
  <si>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</si>
  <si>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</si>
  <si>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</si>
  <si>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</si>
  <si>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</si>
  <si>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</si>
  <si>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</si>
  <si>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</si>
  <si>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</si>
  <si>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</si>
  <si>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</si>
  <si>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</si>
  <si>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</si>
  <si>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</si>
  <si>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</si>
  <si>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</si>
  <si>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</si>
  <si>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</si>
  <si>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</si>
  <si>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</si>
  <si>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</si>
  <si>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</si>
  <si>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</si>
  <si>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</si>
  <si>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</si>
  <si>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</si>
  <si>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</si>
  <si>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</si>
  <si>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</si>
  <si>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</si>
  <si>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</si>
  <si>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</si>
  <si>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</si>
  <si>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</si>
  <si>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</si>
  <si>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</si>
  <si>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</si>
  <si>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</si>
  <si>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</si>
  <si>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</si>
  <si>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</si>
  <si>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</si>
  <si>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</si>
  <si>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</si>
  <si>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</si>
  <si>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</si>
  <si>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</si>
  <si>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</si>
  <si>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</si>
  <si>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</si>
  <si>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</si>
  <si>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</si>
  <si>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</si>
  <si>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</si>
  <si>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</si>
  <si>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</si>
  <si>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</si>
  <si>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</si>
  <si>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</si>
  <si>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</si>
  <si>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</si>
  <si>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</si>
  <si>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</si>
  <si>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</si>
  <si>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</si>
  <si>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</si>
  <si>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</si>
  <si>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</si>
  <si>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</si>
  <si>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</si>
  <si>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</si>
  <si>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</si>
  <si>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</si>
  <si>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</si>
  <si>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</si>
  <si>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</si>
  <si>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</si>
  <si>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</si>
  <si>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</si>
  <si>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</si>
  <si>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</si>
  <si>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</si>
  <si>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</si>
  <si>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</si>
  <si>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</si>
  <si>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</si>
  <si>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</si>
  <si>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</si>
  <si>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</si>
  <si>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</si>
  <si>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</si>
  <si>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</si>
  <si>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</si>
  <si>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</si>
  <si>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</si>
  <si>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</si>
  <si>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</si>
  <si>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</si>
  <si>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</si>
  <si>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</si>
  <si>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</si>
  <si>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</si>
  <si>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</si>
  <si>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</si>
  <si>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</si>
  <si>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</si>
  <si>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</si>
  <si>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</si>
  <si>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</si>
  <si>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</si>
  <si>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</si>
  <si>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</si>
  <si>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</si>
  <si>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</si>
  <si>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</si>
  <si>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</si>
  <si>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</si>
  <si>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</si>
  <si>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</si>
  <si>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</si>
  <si>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</si>
  <si>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</si>
  <si>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</si>
  <si>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</si>
  <si>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</si>
  <si>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</si>
  <si>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</si>
  <si>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</si>
  <si>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</si>
  <si>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</si>
  <si>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</si>
  <si>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</si>
  <si>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</si>
  <si>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</si>
  <si>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</si>
  <si>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</si>
  <si>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</si>
  <si>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</si>
  <si>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</si>
  <si>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</si>
  <si>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</si>
  <si>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</si>
  <si>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</si>
  <si>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</si>
  <si>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</si>
  <si>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</si>
  <si>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</si>
  <si>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</si>
  <si>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</si>
  <si>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</si>
  <si>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</si>
  <si>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</si>
  <si>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</si>
  <si>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</si>
  <si>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</si>
  <si>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</si>
  <si>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</si>
  <si>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</si>
  <si>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</si>
  <si>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</si>
  <si>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</si>
  <si>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</si>
  <si>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</si>
  <si>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</si>
  <si>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</si>
  <si>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</si>
  <si>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</si>
  <si>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</si>
  <si>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</si>
  <si>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</si>
  <si>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</si>
  <si>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</si>
  <si>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</si>
  <si>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</si>
  <si>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</si>
  <si>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</si>
  <si>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</si>
  <si>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</si>
  <si>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</si>
  <si>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</si>
  <si>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</si>
  <si>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</si>
  <si>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</si>
  <si>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</si>
  <si>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</si>
  <si>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</si>
  <si>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</si>
  <si>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</si>
  <si>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</si>
  <si>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</si>
  <si>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</si>
  <si>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</si>
  <si>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</si>
  <si>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</si>
  <si>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</si>
  <si>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</si>
  <si>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</si>
  <si>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</si>
  <si>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</si>
  <si>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</si>
  <si>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</si>
  <si>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</si>
  <si>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</si>
  <si>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</si>
  <si>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</si>
  <si>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</si>
  <si>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</si>
  <si>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</si>
  <si>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</si>
  <si>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</si>
  <si>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</si>
  <si>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</si>
  <si>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</si>
  <si>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</si>
  <si>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</si>
  <si>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</si>
  <si>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</si>
  <si>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</si>
  <si>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</si>
  <si>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</si>
  <si>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</si>
  <si>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</si>
  <si>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</si>
  <si>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</si>
  <si>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</si>
  <si>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</si>
  <si>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</si>
  <si>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</si>
  <si>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</si>
  <si>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</si>
  <si>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</si>
  <si>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</si>
  <si>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</si>
  <si>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</si>
  <si>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</si>
  <si>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</si>
  <si>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</si>
  <si>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</si>
  <si>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</si>
  <si>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</si>
  <si>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</si>
  <si>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</si>
  <si>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</si>
  <si>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</si>
  <si>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</si>
  <si>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</si>
  <si>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</si>
  <si>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</si>
  <si>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</si>
  <si>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</si>
  <si>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</si>
  <si>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</si>
  <si>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</si>
  <si>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</si>
  <si>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</si>
  <si>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</si>
  <si>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</si>
  <si>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</si>
  <si>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</si>
  <si>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</si>
  <si>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</si>
  <si>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</si>
  <si>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</si>
  <si>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</si>
  <si>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</si>
  <si>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</si>
  <si>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</si>
  <si>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</si>
  <si>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</si>
  <si>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</si>
  <si>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</si>
  <si>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</si>
  <si>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</si>
  <si>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</si>
  <si>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</si>
  <si>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</si>
  <si>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</si>
  <si>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</si>
  <si>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</si>
  <si>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</si>
  <si>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</si>
  <si>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</si>
  <si>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</si>
  <si>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</si>
  <si>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</si>
  <si>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</si>
  <si>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</si>
  <si>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</si>
  <si>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</si>
  <si>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</si>
  <si>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</si>
  <si>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</si>
  <si>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</si>
  <si>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</si>
  <si>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</si>
  <si>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</si>
  <si>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</si>
  <si>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</si>
  <si>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</si>
  <si>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</si>
  <si>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</si>
  <si>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</si>
  <si>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</si>
  <si>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</si>
  <si>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</si>
  <si>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</si>
  <si>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</si>
  <si>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</si>
  <si>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</si>
  <si>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</si>
  <si>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</si>
  <si>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</si>
  <si>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</si>
  <si>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</si>
  <si>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</si>
  <si>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</si>
  <si>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</si>
  <si>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</si>
  <si>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</si>
  <si>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</si>
  <si>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</si>
  <si>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</si>
  <si>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</si>
  <si>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</si>
  <si>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</si>
  <si>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</si>
  <si>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</si>
  <si>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</si>
  <si>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</si>
  <si>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</si>
  <si>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</si>
  <si>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</si>
  <si>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</si>
  <si>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</si>
  <si>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</si>
  <si>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</si>
  <si>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</si>
  <si>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</si>
  <si>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</si>
  <si>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</si>
  <si>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</si>
  <si>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</si>
  <si>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</si>
  <si>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</si>
  <si>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</si>
  <si>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</si>
  <si>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</si>
  <si>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</si>
  <si>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</si>
  <si>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</si>
  <si>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</si>
  <si>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</si>
  <si>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</si>
  <si>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</si>
  <si>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</si>
  <si>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</si>
  <si>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</si>
  <si>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</si>
  <si>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</si>
  <si>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</si>
  <si>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</si>
  <si>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</si>
  <si>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</si>
  <si>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</si>
  <si>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</si>
  <si>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</si>
  <si>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</si>
  <si>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</si>
  <si>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</si>
  <si>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</si>
  <si>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</si>
  <si>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</si>
  <si>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</si>
  <si>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</si>
  <si>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</si>
  <si>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</si>
  <si>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</si>
  <si>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</si>
  <si>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</si>
  <si>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</si>
  <si>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</si>
  <si>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</si>
  <si>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</si>
  <si>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</si>
  <si>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</si>
  <si>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</si>
  <si>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</si>
  <si>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</si>
  <si>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</si>
  <si>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</si>
  <si>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</si>
  <si>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</si>
  <si>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</si>
  <si>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</si>
  <si>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</si>
  <si>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</si>
  <si>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</si>
  <si>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</si>
  <si>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</si>
  <si>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</si>
  <si>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</si>
  <si>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</si>
  <si>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</si>
  <si>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</si>
  <si>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</si>
  <si>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</si>
  <si>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</si>
  <si>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</si>
  <si>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</si>
  <si>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</si>
  <si>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</si>
  <si>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</si>
  <si>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</si>
  <si>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</si>
  <si>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</si>
  <si>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</si>
  <si>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</si>
  <si>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</si>
  <si>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</si>
  <si>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</si>
  <si>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</si>
  <si>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</si>
  <si>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</si>
  <si>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</si>
  <si>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</si>
  <si>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</si>
  <si>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</si>
  <si>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</si>
  <si>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</si>
  <si>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</si>
  <si>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</si>
  <si>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</si>
  <si>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</si>
  <si>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</si>
  <si>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</si>
  <si>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</si>
  <si>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</si>
  <si>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</si>
  <si>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</si>
  <si>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</si>
  <si>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</si>
  <si>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</si>
  <si>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</si>
  <si>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</si>
  <si>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</si>
  <si>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</si>
  <si>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</si>
  <si>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</si>
  <si>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</si>
  <si>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</si>
  <si>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</si>
  <si>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</si>
  <si>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</si>
  <si>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</si>
  <si>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</si>
  <si>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</si>
  <si>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</si>
  <si>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</si>
  <si>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</si>
  <si>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</si>
  <si>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</si>
  <si>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</si>
  <si>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</si>
  <si>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</si>
  <si>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</si>
  <si>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</si>
  <si>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</si>
  <si>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</si>
  <si>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</si>
  <si>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</si>
  <si>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</si>
  <si>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</si>
  <si>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</si>
  <si>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</si>
  <si>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</si>
  <si>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</si>
  <si>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</si>
  <si>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</si>
  <si>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</si>
  <si>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</si>
  <si>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</si>
  <si>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</si>
  <si>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</si>
  <si>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</si>
  <si>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</si>
  <si>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</si>
  <si>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</si>
  <si>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</si>
  <si>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</si>
  <si>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</si>
  <si>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</si>
  <si>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</si>
  <si>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</si>
  <si>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</si>
  <si>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</si>
  <si>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</si>
  <si>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</si>
  <si>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</si>
  <si>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</si>
  <si>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</si>
  <si>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</si>
  <si>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</si>
  <si>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</si>
  <si>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</si>
  <si>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</si>
  <si>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</si>
  <si>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</si>
  <si>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</si>
  <si>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</si>
  <si>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</si>
  <si>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</si>
  <si>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</si>
  <si>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</si>
  <si>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</si>
  <si>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</si>
  <si>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</si>
  <si>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</si>
  <si>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</si>
  <si>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</si>
  <si>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</si>
  <si>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</si>
  <si>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</si>
  <si>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</si>
  <si>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</si>
  <si>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</si>
  <si>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</si>
  <si>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</si>
  <si>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</si>
  <si>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</si>
  <si>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</si>
  <si>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</si>
  <si>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</si>
  <si>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</si>
  <si>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</si>
  <si>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</si>
  <si>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</si>
  <si>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</si>
  <si>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</si>
  <si>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</si>
  <si>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</si>
  <si>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</si>
  <si>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</si>
  <si>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</si>
  <si>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</si>
  <si>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</si>
  <si>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</si>
  <si>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</si>
  <si>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</si>
  <si>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</si>
  <si>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</si>
  <si>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</si>
  <si>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</si>
  <si>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</si>
  <si>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</si>
  <si>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</si>
  <si>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</si>
  <si>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</si>
  <si>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</si>
  <si>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</si>
  <si>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</si>
  <si>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</si>
  <si>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</si>
  <si>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</si>
  <si>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</si>
  <si>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</si>
  <si>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</si>
  <si>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</si>
  <si>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</si>
  <si>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</si>
  <si>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</si>
  <si>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</si>
  <si>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</si>
  <si>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</si>
  <si>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</si>
  <si>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</si>
  <si>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</si>
  <si>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</si>
  <si>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</si>
  <si>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</si>
  <si>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</si>
  <si>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</si>
  <si>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</si>
  <si>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</si>
  <si>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</si>
  <si>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</si>
  <si>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</si>
  <si>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</si>
  <si>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</si>
  <si>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</si>
  <si>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</si>
  <si>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</si>
  <si>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</si>
  <si>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</si>
  <si>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</si>
  <si>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</si>
  <si>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</si>
  <si>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</si>
  <si>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</si>
  <si>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</si>
  <si>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</si>
  <si>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</si>
  <si>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</si>
  <si>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</si>
  <si>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</si>
  <si>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</si>
  <si>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</si>
  <si>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</si>
  <si>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</si>
  <si>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</si>
  <si>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</si>
  <si>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</si>
  <si>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</si>
  <si>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</si>
  <si>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</si>
  <si>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</si>
  <si>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</si>
  <si>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</si>
  <si>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</si>
  <si>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</si>
  <si>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</si>
  <si>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</si>
  <si>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</si>
  <si>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</si>
  <si>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</si>
  <si>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</si>
  <si>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</si>
  <si>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</si>
  <si>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</si>
  <si>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</si>
  <si>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</si>
  <si>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</si>
  <si>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</si>
  <si>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</si>
  <si>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</si>
  <si>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</si>
  <si>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</si>
  <si>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</si>
  <si>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</si>
  <si>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</si>
  <si>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</si>
  <si>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</si>
  <si>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</si>
  <si>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</si>
  <si>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</si>
  <si>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</si>
  <si>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</si>
  <si>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</si>
  <si>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</si>
  <si>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</si>
  <si>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</si>
  <si>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</si>
  <si>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</si>
  <si>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</si>
  <si>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</si>
  <si>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</si>
  <si>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</si>
  <si>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</si>
  <si>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</si>
  <si>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</si>
  <si>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</si>
  <si>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</si>
  <si>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</si>
  <si>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</si>
  <si>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</si>
  <si>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</si>
  <si>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</si>
  <si>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</si>
  <si>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</si>
  <si>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</si>
  <si>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</si>
  <si>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</si>
  <si>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</si>
  <si>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</si>
  <si>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</si>
  <si>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</si>
  <si>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</si>
  <si>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</si>
  <si>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</si>
  <si>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</si>
  <si>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</si>
  <si>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</si>
  <si>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</si>
  <si>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</si>
  <si>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</si>
  <si>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</si>
  <si>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</si>
  <si>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</si>
  <si>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</si>
  <si>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</si>
  <si>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</si>
  <si>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</si>
  <si>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</si>
  <si>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</si>
  <si>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</si>
  <si>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</si>
  <si>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</si>
  <si>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</si>
  <si>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</si>
  <si>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</si>
  <si>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</si>
  <si>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</si>
  <si>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</si>
  <si>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</si>
  <si>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</si>
  <si>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</si>
  <si>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</si>
  <si>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</si>
  <si>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</si>
  <si>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</si>
  <si>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</si>
  <si>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</si>
  <si>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</si>
  <si>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</si>
  <si>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</si>
  <si>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</si>
  <si>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</si>
  <si>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</si>
  <si>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</si>
  <si>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</si>
  <si>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</si>
  <si>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</si>
  <si>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</si>
  <si>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</si>
  <si>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</si>
  <si>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</si>
  <si>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</si>
  <si>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</si>
  <si>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</si>
  <si>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</si>
  <si>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</si>
  <si>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</si>
  <si>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</si>
  <si>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</si>
  <si>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</si>
  <si>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</si>
  <si>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</si>
  <si>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</si>
  <si>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</si>
  <si>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</si>
  <si>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</si>
  <si>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</si>
  <si>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</si>
  <si>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</si>
  <si>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</si>
  <si>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</si>
  <si>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</si>
  <si>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</si>
  <si>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</si>
  <si>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</si>
  <si>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</si>
  <si>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</si>
  <si>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</si>
  <si>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</si>
  <si>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</si>
  <si>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</si>
  <si>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</si>
  <si>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</si>
  <si>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</si>
  <si>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</si>
  <si>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</si>
  <si>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</si>
  <si>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</si>
  <si>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</si>
  <si>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</si>
  <si>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</si>
  <si>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</si>
  <si>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</si>
  <si>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</si>
  <si>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</si>
  <si>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</si>
  <si>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</si>
  <si>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</si>
  <si>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</si>
  <si>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</si>
  <si>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</si>
  <si>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</si>
  <si>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</si>
  <si>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</si>
  <si>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</si>
  <si>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</si>
  <si>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</si>
  <si>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</si>
  <si>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</si>
  <si>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</si>
  <si>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</si>
  <si>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</si>
  <si>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</si>
  <si>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</si>
  <si>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</si>
  <si>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</si>
  <si>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</si>
  <si>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</si>
  <si>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</si>
  <si>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</si>
  <si>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</si>
  <si>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</si>
  <si>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</si>
  <si>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</si>
  <si>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</si>
  <si>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</si>
  <si>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</si>
  <si>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</si>
  <si>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</si>
  <si>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</si>
  <si>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</si>
  <si>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</si>
  <si>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</si>
  <si>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</si>
  <si>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</si>
  <si>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</si>
  <si>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</si>
  <si>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</si>
  <si>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</si>
  <si>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</si>
  <si>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</si>
  <si>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</si>
  <si>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</si>
  <si>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</si>
  <si>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</si>
  <si>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</si>
  <si>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</si>
  <si>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</si>
  <si>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</si>
  <si>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</si>
  <si>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</si>
  <si>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</si>
  <si>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</si>
  <si>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</si>
  <si>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</si>
  <si>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</si>
  <si>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</si>
  <si>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</si>
  <si>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</si>
  <si>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</si>
  <si>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</si>
  <si>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</si>
  <si>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</si>
  <si>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</si>
  <si>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</si>
  <si>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</si>
  <si>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</si>
  <si>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</si>
  <si>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</si>
  <si>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</si>
  <si>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</si>
  <si>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</si>
  <si>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</si>
  <si>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</si>
  <si>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</si>
  <si>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</si>
  <si>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</si>
  <si>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</si>
  <si>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</si>
  <si>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</si>
  <si>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</si>
  <si>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</si>
  <si>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</si>
  <si>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</si>
  <si>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</si>
  <si>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</si>
  <si>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</si>
  <si>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</si>
  <si>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</si>
  <si>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</si>
  <si>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</si>
  <si>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</si>
  <si>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</si>
  <si>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</si>
  <si>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</si>
  <si>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</si>
  <si>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</si>
  <si>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</si>
  <si>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</si>
  <si>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</si>
  <si>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</si>
  <si>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</si>
  <si>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</si>
  <si>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</si>
  <si>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</si>
  <si>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</si>
  <si>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</si>
  <si>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</si>
  <si>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</si>
  <si>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</si>
  <si>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</si>
  <si>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</si>
  <si>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</si>
  <si>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</si>
  <si>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</si>
  <si>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</si>
  <si>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</si>
  <si>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</si>
  <si>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</si>
  <si>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</si>
  <si>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</si>
  <si>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</si>
  <si>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</si>
  <si>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</si>
  <si>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</si>
  <si>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</si>
  <si>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</si>
  <si>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</si>
  <si>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</si>
  <si>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</si>
  <si>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</si>
  <si>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</si>
  <si>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</si>
  <si>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</si>
  <si>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</si>
  <si>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</si>
  <si>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</si>
  <si>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</si>
  <si>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</si>
  <si>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</si>
  <si>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</si>
  <si>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</si>
  <si>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</si>
  <si>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</si>
  <si>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</si>
  <si>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</si>
  <si>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</si>
  <si>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</si>
  <si>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</si>
  <si>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</si>
  <si>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</si>
  <si>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</si>
  <si>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</si>
  <si>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</si>
  <si>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</si>
  <si>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</si>
  <si>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</si>
  <si>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</si>
  <si>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</si>
  <si>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</si>
  <si>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</si>
  <si>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</si>
  <si>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</si>
  <si>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</si>
  <si>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</si>
  <si>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</si>
  <si>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</si>
  <si>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</si>
  <si>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</si>
  <si>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</si>
  <si>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</si>
  <si>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</si>
  <si>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</si>
  <si>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</si>
  <si>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</si>
  <si>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</si>
  <si>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</si>
  <si>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</si>
  <si>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</si>
  <si>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</si>
  <si>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</si>
  <si>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</si>
  <si>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</si>
  <si>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</si>
  <si>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</si>
  <si>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</si>
  <si>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</si>
  <si>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</si>
  <si>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</si>
  <si>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</si>
  <si>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</si>
  <si>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</si>
  <si>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</si>
  <si>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</si>
  <si>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</si>
  <si>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</si>
  <si>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</si>
  <si>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</si>
  <si>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</si>
  <si>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</si>
  <si>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</si>
  <si>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</si>
  <si>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</si>
  <si>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</si>
  <si>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</si>
  <si>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</si>
  <si>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</si>
  <si>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</si>
  <si>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</si>
  <si>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</si>
  <si>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</si>
  <si>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</si>
  <si>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</si>
  <si>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</si>
  <si>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</si>
  <si>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</si>
  <si>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</si>
  <si>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</si>
  <si>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</si>
  <si>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</si>
  <si>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</si>
  <si>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</si>
  <si>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</si>
  <si>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</si>
  <si>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</si>
  <si>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</si>
  <si>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</si>
  <si>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</si>
  <si>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</si>
  <si>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</si>
  <si>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</si>
  <si>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</si>
  <si>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</si>
  <si>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</si>
  <si>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</si>
  <si>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</si>
  <si>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</si>
  <si>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</si>
  <si>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</si>
  <si>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</si>
  <si>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</si>
  <si>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</si>
  <si>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</si>
  <si>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</si>
  <si>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</si>
  <si>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</si>
  <si>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</si>
  <si>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</si>
  <si>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</si>
  <si>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</si>
  <si>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</si>
  <si>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</si>
  <si>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</si>
  <si>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</si>
  <si>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</si>
  <si>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</si>
  <si>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</si>
  <si>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</si>
  <si>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</si>
  <si>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</si>
  <si>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</si>
  <si>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</si>
  <si>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</si>
  <si>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</si>
  <si>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</si>
  <si>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</si>
  <si>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</si>
  <si>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</si>
  <si>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</si>
  <si>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</si>
  <si>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</si>
  <si>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</si>
  <si>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</si>
  <si>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</si>
  <si>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</si>
  <si>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</si>
  <si>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</si>
  <si>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</si>
  <si>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</si>
  <si>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</si>
  <si>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</si>
  <si>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</si>
  <si>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</si>
  <si>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</si>
  <si>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</si>
  <si>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</si>
  <si>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</si>
  <si>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</si>
  <si>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</si>
  <si>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</si>
  <si>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</si>
  <si>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</si>
  <si>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</si>
  <si>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</si>
  <si>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</si>
  <si>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</si>
  <si>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</si>
  <si>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</si>
  <si>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</si>
  <si>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</si>
  <si>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</si>
  <si>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</si>
  <si>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</si>
  <si>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</si>
  <si>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</si>
  <si>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</si>
  <si>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</si>
  <si>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</si>
  <si>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</si>
  <si>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</si>
  <si>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</si>
  <si>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</si>
  <si>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</si>
  <si>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</si>
  <si>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</si>
  <si>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</si>
  <si>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</si>
  <si>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</si>
  <si>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</si>
  <si>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</si>
  <si>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</si>
  <si>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</si>
  <si>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</si>
  <si>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</si>
  <si>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</si>
  <si>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</si>
  <si>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</si>
  <si>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</si>
  <si>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</si>
  <si>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</si>
  <si>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</si>
  <si>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</si>
  <si>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</si>
  <si>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</si>
  <si>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</si>
  <si>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</si>
  <si>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</si>
  <si>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</si>
  <si>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</si>
  <si>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</si>
  <si>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</si>
  <si>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</si>
  <si>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</si>
  <si>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</si>
  <si>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</si>
  <si>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</si>
  <si>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</si>
  <si>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</si>
  <si>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</si>
  <si>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</si>
  <si>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</si>
  <si>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</si>
  <si>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</si>
  <si>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</si>
  <si>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</si>
  <si>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</si>
  <si>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</si>
  <si>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</si>
  <si>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</si>
  <si>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</si>
  <si>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</si>
  <si>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</si>
  <si>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</si>
  <si>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</si>
  <si>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</si>
  <si>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</si>
  <si>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</si>
  <si>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</si>
  <si>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</si>
  <si>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</si>
  <si>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</si>
  <si>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</si>
  <si>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</si>
  <si>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</si>
  <si>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</si>
  <si>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</si>
  <si>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</si>
  <si>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</si>
  <si>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</si>
  <si>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</si>
  <si>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</si>
  <si>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</si>
  <si>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</si>
  <si>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</si>
  <si>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</si>
  <si>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</si>
  <si>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</si>
  <si>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</si>
  <si>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</si>
  <si>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</si>
  <si>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</si>
  <si>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</si>
  <si>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</si>
  <si>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</si>
  <si>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</si>
  <si>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</si>
  <si>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</si>
  <si>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</si>
  <si>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</si>
  <si>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</si>
  <si>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</si>
  <si>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</si>
  <si>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</si>
  <si>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</si>
  <si>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</si>
  <si>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</si>
  <si>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</si>
  <si>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</si>
  <si>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</si>
  <si>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</si>
  <si>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</si>
  <si>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</si>
  <si>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</si>
  <si>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</si>
  <si>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</si>
  <si>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</si>
  <si>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</si>
  <si>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</si>
  <si>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</si>
  <si>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</si>
  <si>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</si>
  <si>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</si>
  <si>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</si>
  <si>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</si>
  <si>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</si>
  <si>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</si>
  <si>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</si>
  <si>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</si>
  <si>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</si>
  <si>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</si>
  <si>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</si>
  <si>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</si>
  <si>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</si>
  <si>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</si>
  <si>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</si>
  <si>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</si>
  <si>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</si>
  <si>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</si>
  <si>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</si>
  <si>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</si>
  <si>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</si>
  <si>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</si>
  <si>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</si>
  <si>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</si>
  <si>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</si>
  <si>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</si>
  <si>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</si>
  <si>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</si>
  <si>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</si>
  <si>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</si>
  <si>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</si>
  <si>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</si>
  <si>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</si>
  <si>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</si>
  <si>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</si>
  <si>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</si>
  <si>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</si>
  <si>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</si>
  <si>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</si>
  <si>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</si>
  <si>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</si>
  <si>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</si>
  <si>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</si>
  <si>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</si>
  <si>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</si>
  <si>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</si>
  <si>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</si>
  <si>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</si>
  <si>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</si>
  <si>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</si>
  <si>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</si>
  <si>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</si>
  <si>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</si>
  <si>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</si>
  <si>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</si>
  <si>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</si>
  <si>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</si>
  <si>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</si>
  <si>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</si>
  <si>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</si>
  <si>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</si>
  <si>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</si>
  <si>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</si>
  <si>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</si>
  <si>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</si>
  <si>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</si>
  <si>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</si>
  <si>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</si>
  <si>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</si>
  <si>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</si>
  <si>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</si>
  <si>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</si>
  <si>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</si>
  <si>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</si>
  <si>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</si>
  <si>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</si>
  <si>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</si>
  <si>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</si>
  <si>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</si>
  <si>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</si>
  <si>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</si>
  <si>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</si>
  <si>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</si>
  <si>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</si>
  <si>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</si>
  <si>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</si>
  <si>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</si>
  <si>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</si>
  <si>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</si>
  <si>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</si>
  <si>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</si>
  <si>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</si>
  <si>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</si>
  <si>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</si>
  <si>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</si>
  <si>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</si>
  <si>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</si>
  <si>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</si>
  <si>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</si>
  <si>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</si>
  <si>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</si>
  <si>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</si>
  <si>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</si>
  <si>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</si>
  <si>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</si>
  <si>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</si>
  <si>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</si>
  <si>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</si>
  <si>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</si>
  <si>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</si>
  <si>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</si>
  <si>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</si>
  <si>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</si>
  <si>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</si>
  <si>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</si>
  <si>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</si>
  <si>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</si>
  <si>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</si>
  <si>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</si>
  <si>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</si>
  <si>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</si>
  <si>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</si>
  <si>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</si>
  <si>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</si>
  <si>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</si>
  <si>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</si>
  <si>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</si>
  <si>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</si>
  <si>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</si>
  <si>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</si>
  <si>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</si>
  <si>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</si>
  <si>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</si>
  <si>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</si>
  <si>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</si>
  <si>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</si>
  <si>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</si>
  <si>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</si>
  <si>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</si>
  <si>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</si>
  <si>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</si>
  <si>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</si>
  <si>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</si>
  <si>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</si>
  <si>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</si>
  <si>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</si>
  <si>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</si>
  <si>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</si>
  <si>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</si>
  <si>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</si>
  <si>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</si>
  <si>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</si>
  <si>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</si>
  <si>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</si>
  <si>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</si>
  <si>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</si>
  <si>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</si>
  <si>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</si>
  <si>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</si>
  <si>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</si>
  <si>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</si>
  <si>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</si>
  <si>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</si>
  <si>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</si>
  <si>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</si>
  <si>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</si>
  <si>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</si>
  <si>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</si>
  <si>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</si>
  <si>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</si>
  <si>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</si>
  <si>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</si>
  <si>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</si>
  <si>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</si>
  <si>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</si>
  <si>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</si>
  <si>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</si>
  <si>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</si>
  <si>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</si>
  <si>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</si>
  <si>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</si>
  <si>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</si>
  <si>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</si>
  <si>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</si>
  <si>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</si>
  <si>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</si>
  <si>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</si>
  <si>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</si>
  <si>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</si>
  <si>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</si>
  <si>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</si>
  <si>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</si>
  <si>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</si>
  <si>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</si>
  <si>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</si>
  <si>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</si>
  <si>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</si>
  <si>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</si>
  <si>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</si>
  <si>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</si>
  <si>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</si>
  <si>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</si>
  <si>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</si>
  <si>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</si>
  <si>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</si>
  <si>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</si>
  <si>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</si>
  <si>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</si>
  <si>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</si>
  <si>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</si>
  <si>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</si>
  <si>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</si>
  <si>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</si>
  <si>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</si>
  <si>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</si>
  <si>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</si>
  <si>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</si>
  <si>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</si>
  <si>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</si>
  <si>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</si>
  <si>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</si>
  <si>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</si>
  <si>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</si>
  <si>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</si>
  <si>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</si>
  <si>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</si>
  <si>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</si>
  <si>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</si>
  <si>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</si>
  <si>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</si>
  <si>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</si>
  <si>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</si>
  <si>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</si>
  <si>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</si>
  <si>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</si>
  <si>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</si>
  <si>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</si>
  <si>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</si>
  <si>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</si>
  <si>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</si>
  <si>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</si>
  <si>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</si>
  <si>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</si>
  <si>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</si>
  <si>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</si>
  <si>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</si>
  <si>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</si>
  <si>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</si>
  <si>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</si>
  <si>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</si>
  <si>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</si>
  <si>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</si>
  <si>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</si>
  <si>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</si>
  <si>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</si>
  <si>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</si>
  <si>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</si>
  <si>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</si>
  <si>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</si>
  <si>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</si>
  <si>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</si>
  <si>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</si>
  <si>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</si>
  <si>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</si>
  <si>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</si>
  <si>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</si>
  <si>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</si>
  <si>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</si>
  <si>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</si>
  <si>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</si>
  <si>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</si>
  <si>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</si>
  <si>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</si>
  <si>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</si>
  <si>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</si>
  <si>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</si>
  <si>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</si>
  <si>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</si>
  <si>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</si>
  <si>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</si>
  <si>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</si>
  <si>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</si>
  <si>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</si>
  <si>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</si>
  <si>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</si>
  <si>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</si>
  <si>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</si>
  <si>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</si>
  <si>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</si>
  <si>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</si>
  <si>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</si>
  <si>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</si>
  <si>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</si>
  <si>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</si>
  <si>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</si>
  <si>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</si>
  <si>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</si>
  <si>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</si>
  <si>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</si>
  <si>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</si>
  <si>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</si>
  <si>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</si>
  <si>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</si>
  <si>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</si>
  <si>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</si>
  <si>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</si>
  <si>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</si>
  <si>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</si>
  <si>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</si>
  <si>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</si>
  <si>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</si>
  <si>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</si>
  <si>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</si>
  <si>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</si>
  <si>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</si>
  <si>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</si>
  <si>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</si>
  <si>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</si>
  <si>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</si>
  <si>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</si>
  <si>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</si>
  <si>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</si>
  <si>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</si>
  <si>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</si>
  <si>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</si>
  <si>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</si>
  <si>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</si>
  <si>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</si>
  <si>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</si>
  <si>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</si>
  <si>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</si>
  <si>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</si>
  <si>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</si>
  <si>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</si>
  <si>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</si>
  <si>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</si>
  <si>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</si>
  <si>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</si>
  <si>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</si>
  <si>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</si>
  <si>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</si>
  <si>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</si>
  <si>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</si>
  <si>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</si>
  <si>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</si>
  <si>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</si>
  <si>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</si>
  <si>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</si>
  <si>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</si>
  <si>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</si>
  <si>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</si>
  <si>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</si>
  <si>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</si>
  <si>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</si>
  <si>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</si>
  <si>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</si>
  <si>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</si>
  <si>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</si>
  <si>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</si>
  <si>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</si>
  <si>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</si>
  <si>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</si>
  <si>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</si>
  <si>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</si>
  <si>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</si>
  <si>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</si>
  <si>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</si>
  <si>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</si>
  <si>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</si>
  <si>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</si>
  <si>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</si>
  <si>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</si>
  <si>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</si>
  <si>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</si>
  <si>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</si>
  <si>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</si>
  <si>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</si>
  <si>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</si>
  <si>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</si>
  <si>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</si>
  <si>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</si>
  <si>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</si>
  <si>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</si>
  <si>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</si>
  <si>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</si>
  <si>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</si>
  <si>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</si>
  <si>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</si>
  <si>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</si>
  <si>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</si>
  <si>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</si>
  <si>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</si>
  <si>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</si>
  <si>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</si>
  <si>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</si>
  <si>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</si>
  <si>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</si>
  <si>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</si>
  <si>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</si>
  <si>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</si>
  <si>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</si>
  <si>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</si>
  <si>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</si>
  <si>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</si>
  <si>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</si>
  <si>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</si>
  <si>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</si>
  <si>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</si>
  <si>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</si>
  <si>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</si>
  <si>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</si>
  <si>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</si>
  <si>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</si>
  <si>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</si>
  <si>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</si>
  <si>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</si>
  <si>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</si>
  <si>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</si>
  <si>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</si>
  <si>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</si>
  <si>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</si>
  <si>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</si>
  <si>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</si>
  <si>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</si>
  <si>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</si>
  <si>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</si>
  <si>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</si>
  <si>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</si>
  <si>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</si>
  <si>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</si>
  <si>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</si>
  <si>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</si>
  <si>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</si>
  <si>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</si>
  <si>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</si>
  <si>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</si>
  <si>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</si>
  <si>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</si>
  <si>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</si>
  <si>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</si>
  <si>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</si>
  <si>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</si>
  <si>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</si>
  <si>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</si>
  <si>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</si>
  <si>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</si>
  <si>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</si>
  <si>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</si>
  <si>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</si>
  <si>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</si>
  <si>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</si>
  <si>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</si>
  <si>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</si>
  <si>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</si>
  <si>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</si>
  <si>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</si>
  <si>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</si>
  <si>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</si>
  <si>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</si>
  <si>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</si>
  <si>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</si>
  <si>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</si>
  <si>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</si>
  <si>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</si>
  <si>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</si>
  <si>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</si>
  <si>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</si>
  <si>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</si>
  <si>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</si>
  <si>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</si>
  <si>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</si>
  <si>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</si>
  <si>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</si>
  <si>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</si>
  <si>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</si>
  <si>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</si>
  <si>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</si>
  <si>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</si>
  <si>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</si>
  <si>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</si>
  <si>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</si>
  <si>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</si>
  <si>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</si>
  <si>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</si>
  <si>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</si>
  <si>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</si>
  <si>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</si>
  <si>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</si>
  <si>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</si>
  <si>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</si>
  <si>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</si>
  <si>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</si>
  <si>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</si>
  <si>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</si>
  <si>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</si>
  <si>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</si>
  <si>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</si>
  <si>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</si>
  <si>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</si>
  <si>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</si>
  <si>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</si>
  <si>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</si>
  <si>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</si>
  <si>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</si>
  <si>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</si>
  <si>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</si>
  <si>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</si>
  <si>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</si>
  <si>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</si>
  <si>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</si>
  <si>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</si>
  <si>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</si>
  <si>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</si>
  <si>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</si>
  <si>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</si>
  <si>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</si>
  <si>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</si>
  <si>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</si>
  <si>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</si>
  <si>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</si>
  <si>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</si>
  <si>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</si>
  <si>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</si>
  <si>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</si>
  <si>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</si>
  <si>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</si>
  <si>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</si>
  <si>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</si>
  <si>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</si>
  <si>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</si>
  <si>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</si>
  <si>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</si>
  <si>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</si>
  <si>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</si>
  <si>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</si>
  <si>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</si>
  <si>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</si>
  <si>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</si>
  <si>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</si>
  <si>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</si>
  <si>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</si>
  <si>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</si>
  <si>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</si>
  <si>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</si>
  <si>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</si>
  <si>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</si>
  <si>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</si>
  <si>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</si>
  <si>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</si>
  <si>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</si>
  <si>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</si>
  <si>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</si>
  <si>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</si>
  <si>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</si>
  <si>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</si>
  <si>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</si>
  <si>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</si>
  <si>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</si>
  <si>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</si>
  <si>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</si>
  <si>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</si>
  <si>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</si>
  <si>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</si>
  <si>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</si>
  <si>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</si>
  <si>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</si>
  <si>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</si>
  <si>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</si>
  <si>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</si>
  <si>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</si>
  <si>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</si>
  <si>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</si>
  <si>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</si>
  <si>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</si>
  <si>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</si>
  <si>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</si>
  <si>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</si>
  <si>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</si>
  <si>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</si>
  <si>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</si>
  <si>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</si>
  <si>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</si>
  <si>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</si>
  <si>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</si>
  <si>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</si>
  <si>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</si>
  <si>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</si>
  <si>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</si>
  <si>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</si>
  <si>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</si>
  <si>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</si>
  <si>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</si>
  <si>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</si>
  <si>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</si>
  <si>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</si>
  <si>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</si>
  <si>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</si>
  <si>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</si>
  <si>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</si>
  <si>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</si>
  <si>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</si>
  <si>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</si>
  <si>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</si>
  <si>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</si>
  <si>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</si>
  <si>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</si>
  <si>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</si>
  <si>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</si>
  <si>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</si>
  <si>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</si>
  <si>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</si>
  <si>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</si>
  <si>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</si>
  <si>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</si>
  <si>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</si>
  <si>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</si>
  <si>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</si>
  <si>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</si>
  <si>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</si>
  <si>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</si>
  <si>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</si>
  <si>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</si>
  <si>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</si>
  <si>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</si>
  <si>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</si>
  <si>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</si>
  <si>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</si>
  <si>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</si>
  <si>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</si>
  <si>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</si>
  <si>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</si>
  <si>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</si>
  <si>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</si>
  <si>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</si>
  <si>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</si>
  <si>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</si>
  <si>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</si>
  <si>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</si>
  <si>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</si>
  <si>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</si>
  <si>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</si>
  <si>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</si>
  <si>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</si>
  <si>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</si>
  <si>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</si>
  <si>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</si>
  <si>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</si>
  <si>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</si>
  <si>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</si>
  <si>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</si>
  <si>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</si>
  <si>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</si>
  <si>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</si>
  <si>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</si>
  <si>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</si>
  <si>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</si>
  <si>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</si>
  <si>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</si>
  <si>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</si>
  <si>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</si>
  <si>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</si>
  <si>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</si>
  <si>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</si>
  <si>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</si>
  <si>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</si>
  <si>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</si>
  <si>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</si>
  <si>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</si>
  <si>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</si>
  <si>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</si>
  <si>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</si>
  <si>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</si>
  <si>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</si>
  <si>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</si>
  <si>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</si>
  <si>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</si>
  <si>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</si>
  <si>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</si>
  <si>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</si>
  <si>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</si>
  <si>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</si>
  <si>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</si>
  <si>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</si>
  <si>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</si>
  <si>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</si>
  <si>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</si>
  <si>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</si>
  <si>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</si>
  <si>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</si>
  <si>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</si>
  <si>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</si>
  <si>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</si>
  <si>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</si>
  <si>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</si>
  <si>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</si>
  <si>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</si>
  <si>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</si>
  <si>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</si>
  <si>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</si>
  <si>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</si>
  <si>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</si>
  <si>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</si>
  <si>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</si>
  <si>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</si>
  <si>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</si>
  <si>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</si>
  <si>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</si>
  <si>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</si>
  <si>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</si>
  <si>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</si>
  <si>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</si>
  <si>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</si>
  <si>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</si>
  <si>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</si>
  <si>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</si>
  <si>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</si>
  <si>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</si>
  <si>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</si>
  <si>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</si>
  <si>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</si>
  <si>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</si>
  <si>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</si>
  <si>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</si>
  <si>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</si>
  <si>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</si>
  <si>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</si>
  <si>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</si>
  <si>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</si>
  <si>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</si>
  <si>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</si>
  <si>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</si>
  <si>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</si>
  <si>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</si>
  <si>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</si>
  <si>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</si>
  <si>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</si>
  <si>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</si>
  <si>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</si>
  <si>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</si>
  <si>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</si>
  <si>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</si>
  <si>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</si>
  <si>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</si>
  <si>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</si>
  <si>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</si>
  <si>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</si>
  <si>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</si>
  <si>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</si>
  <si>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</si>
  <si>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</si>
  <si>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</si>
  <si>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</si>
  <si>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</si>
  <si>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</si>
  <si>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</si>
  <si>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</si>
  <si>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</si>
  <si>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</si>
  <si>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</si>
  <si>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</si>
  <si>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</si>
  <si>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</si>
  <si>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</si>
  <si>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</si>
  <si>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</si>
  <si>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</si>
  <si>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</si>
  <si>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</si>
  <si>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</si>
  <si>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</si>
  <si>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</si>
  <si>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</si>
  <si>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</si>
  <si>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</si>
  <si>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</si>
  <si>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</si>
  <si>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</si>
  <si>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</si>
  <si>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</si>
  <si>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</si>
  <si>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</si>
  <si>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</si>
  <si>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</si>
  <si>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</si>
  <si>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</si>
  <si>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</si>
  <si>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</si>
  <si>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</si>
  <si>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</si>
  <si>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</si>
  <si>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</si>
  <si>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</si>
  <si>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</si>
  <si>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</si>
  <si>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</si>
  <si>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</si>
  <si>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</si>
  <si>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</si>
  <si>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</si>
  <si>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</si>
  <si>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</si>
  <si>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</si>
  <si>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</si>
  <si>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</si>
  <si>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</si>
  <si>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</si>
  <si>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</si>
  <si>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</si>
  <si>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</si>
  <si>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</si>
  <si>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</si>
  <si>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</si>
  <si>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</si>
  <si>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</si>
  <si>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</si>
  <si>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</si>
  <si>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</si>
  <si>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</si>
  <si>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</si>
  <si>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</si>
  <si>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</si>
  <si>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</si>
  <si>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</si>
  <si>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</si>
  <si>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</si>
  <si>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</si>
  <si>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</si>
  <si>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</si>
  <si>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</si>
  <si>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</si>
  <si>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</si>
  <si>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</si>
  <si>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</si>
  <si>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</si>
  <si>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</si>
  <si>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</si>
  <si>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</si>
  <si>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</si>
  <si>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</si>
  <si>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</si>
  <si>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</si>
  <si>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</si>
  <si>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</si>
  <si>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</si>
  <si>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</si>
  <si>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</si>
  <si>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</si>
  <si>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</si>
  <si>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</si>
  <si>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</si>
  <si>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</si>
  <si>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</si>
  <si>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</si>
  <si>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</si>
  <si>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</si>
  <si>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</si>
  <si>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</si>
  <si>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</si>
  <si>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</si>
  <si>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</si>
  <si>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</si>
  <si>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</si>
  <si>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</si>
  <si>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</si>
  <si>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</si>
  <si>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</si>
  <si>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</si>
  <si>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</si>
  <si>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</si>
  <si>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</si>
  <si>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</si>
  <si>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</si>
  <si>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</si>
  <si>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</si>
  <si>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</si>
  <si>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</si>
  <si>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</si>
  <si>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</si>
  <si>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</si>
  <si>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</si>
  <si>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</si>
  <si>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</si>
  <si>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</si>
  <si>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</si>
  <si>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</si>
  <si>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</si>
  <si>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</si>
  <si>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</si>
  <si>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</si>
  <si>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</si>
  <si>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</si>
  <si>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</si>
  <si>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</si>
  <si>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</si>
  <si>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</si>
  <si>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</si>
  <si>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</si>
  <si>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</si>
  <si>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</si>
  <si>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</si>
  <si>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</si>
  <si>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</si>
  <si>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</si>
  <si>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</si>
  <si>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</si>
  <si>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</si>
  <si>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</si>
  <si>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</si>
  <si>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</si>
  <si>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</si>
  <si>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</si>
  <si>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</si>
  <si>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</si>
  <si>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</si>
  <si>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</si>
  <si>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</si>
  <si>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</si>
  <si>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</si>
  <si>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</si>
  <si>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</si>
  <si>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</si>
  <si>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</si>
  <si>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</si>
  <si>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</si>
  <si>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</si>
  <si>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</si>
  <si>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</si>
  <si>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</si>
  <si>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</si>
  <si>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</si>
  <si>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</si>
  <si>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</si>
  <si>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</si>
  <si>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</si>
  <si>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</si>
  <si>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</si>
  <si>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</si>
  <si>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</si>
  <si>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</si>
  <si>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</si>
  <si>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</si>
  <si>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</si>
  <si>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</si>
  <si>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</si>
  <si>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</si>
  <si>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</si>
  <si>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</si>
  <si>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</si>
  <si>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</si>
  <si>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</si>
  <si>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</si>
  <si>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</si>
  <si>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</si>
  <si>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</si>
  <si>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</si>
  <si>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</si>
  <si>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</si>
  <si>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</si>
  <si>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</si>
  <si>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</si>
  <si>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</si>
  <si>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</si>
  <si>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</si>
  <si>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</si>
  <si>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</si>
  <si>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</si>
  <si>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</si>
  <si>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</si>
  <si>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</si>
  <si>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</si>
  <si>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</si>
  <si>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</si>
  <si>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</si>
  <si>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</si>
  <si>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</si>
  <si>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</si>
  <si>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</si>
  <si>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</si>
  <si>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</si>
  <si>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</si>
  <si>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</si>
  <si>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</si>
  <si>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</si>
  <si>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</si>
  <si>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</si>
  <si>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</si>
  <si>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</si>
  <si>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</si>
  <si>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</si>
  <si>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</si>
  <si>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</si>
  <si>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</si>
  <si>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</si>
  <si>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</si>
  <si>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</si>
  <si>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</si>
  <si>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</si>
  <si>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</si>
  <si>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</si>
  <si>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</si>
  <si>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</si>
  <si>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</si>
  <si>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</si>
  <si>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</si>
  <si>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</si>
  <si>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</si>
  <si>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</si>
  <si>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</si>
  <si>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</si>
  <si>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</si>
  <si>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</si>
  <si>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</si>
  <si>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</si>
  <si>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</si>
  <si>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</si>
  <si>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</si>
  <si>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</si>
  <si>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</si>
  <si>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</si>
  <si>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</si>
  <si>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</si>
  <si>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</si>
  <si>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</si>
  <si>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</si>
  <si>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</si>
  <si>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</si>
  <si>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</si>
  <si>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</si>
  <si>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</si>
  <si>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</si>
  <si>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</si>
  <si>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</si>
  <si>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</si>
  <si>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</si>
  <si>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</si>
  <si>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</si>
  <si>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</si>
  <si>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</si>
  <si>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</si>
  <si>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</si>
  <si>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</si>
  <si>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</si>
  <si>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</si>
  <si>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</si>
  <si>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</si>
  <si>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</si>
  <si>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</si>
  <si>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</si>
  <si>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</si>
  <si>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</si>
  <si>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</si>
  <si>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</si>
  <si>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</si>
  <si>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</si>
  <si>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</si>
  <si>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</si>
  <si>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</si>
  <si>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</si>
  <si>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</si>
  <si>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</si>
  <si>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</si>
  <si>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</si>
  <si>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</si>
  <si>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</si>
  <si>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</si>
  <si>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</si>
  <si>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</si>
  <si>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</si>
  <si>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</si>
  <si>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</si>
  <si>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</si>
  <si>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</si>
  <si>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</si>
  <si>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</si>
  <si>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</si>
  <si>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</si>
  <si>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</si>
  <si>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</si>
  <si>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</si>
  <si>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</si>
  <si>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</si>
  <si>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</si>
  <si>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</si>
  <si>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</si>
  <si>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</si>
  <si>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</si>
  <si>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</si>
  <si>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</si>
  <si>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</si>
  <si>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</si>
  <si>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</si>
  <si>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</si>
  <si>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</si>
  <si>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</si>
  <si>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</si>
  <si>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</si>
  <si>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</si>
  <si>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</si>
  <si>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</si>
  <si>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</si>
  <si>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</si>
  <si>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</si>
  <si>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</si>
  <si>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</si>
  <si>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</si>
  <si>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</si>
  <si>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</si>
  <si>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</si>
  <si>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</si>
  <si>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</si>
  <si>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</si>
  <si>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</si>
  <si>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</si>
  <si>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</si>
  <si>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</si>
  <si>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</si>
  <si>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</si>
  <si>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</si>
  <si>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</si>
  <si>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</si>
  <si>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</si>
  <si>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</si>
  <si>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</si>
  <si>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</si>
  <si>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</si>
  <si>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</si>
  <si>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</si>
  <si>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</si>
  <si>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</si>
  <si>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</si>
  <si>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</si>
  <si>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</si>
  <si>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</si>
  <si>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</si>
  <si>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</si>
  <si>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</si>
  <si>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</si>
  <si>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</si>
  <si>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</si>
  <si>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</si>
  <si>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</si>
  <si>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</si>
  <si>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</si>
  <si>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</si>
  <si>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</si>
  <si>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</si>
  <si>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</si>
  <si>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</si>
  <si>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</si>
  <si>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</si>
  <si>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</si>
  <si>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</si>
  <si>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</si>
  <si>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</si>
  <si>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</si>
  <si>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</si>
  <si>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</si>
  <si>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</si>
  <si>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</si>
  <si>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</si>
  <si>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</si>
  <si>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</si>
  <si>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</si>
  <si>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</si>
  <si>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</si>
  <si>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</si>
  <si>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</si>
  <si>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</si>
  <si>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</si>
  <si>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</si>
  <si>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</si>
  <si>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</si>
  <si>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</si>
  <si>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</si>
  <si>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</si>
  <si>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</si>
  <si>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</si>
  <si>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</si>
  <si>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</si>
  <si>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</si>
  <si>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</si>
  <si>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</si>
  <si>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</si>
  <si>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</si>
  <si>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</si>
  <si>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</si>
  <si>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</si>
  <si>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</si>
  <si>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</si>
  <si>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</si>
  <si>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</si>
  <si>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</si>
  <si>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</si>
  <si>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</si>
  <si>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</si>
  <si>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</si>
  <si>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</si>
  <si>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</si>
  <si>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</si>
  <si>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</si>
  <si>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</si>
  <si>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</si>
  <si>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</si>
  <si>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</si>
  <si>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</si>
  <si>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</si>
  <si>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</si>
  <si>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</si>
  <si>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</si>
  <si>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</si>
  <si>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</si>
  <si>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</si>
  <si>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</si>
  <si>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</si>
  <si>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</si>
  <si>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</si>
  <si>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</si>
  <si>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</si>
  <si>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</si>
  <si>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</si>
  <si>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</si>
  <si>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</si>
  <si>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</si>
  <si>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</si>
  <si>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</si>
  <si>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</si>
  <si>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</si>
  <si>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</si>
  <si>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</si>
  <si>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</si>
  <si>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</si>
  <si>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</si>
  <si>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</si>
  <si>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</si>
  <si>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</si>
  <si>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</si>
  <si>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</si>
  <si>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</si>
  <si>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</si>
  <si>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</si>
  <si>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</si>
  <si>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</si>
  <si>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</si>
  <si>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</si>
  <si>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</si>
  <si>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</si>
  <si>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</si>
  <si>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</si>
  <si>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</si>
  <si>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</si>
  <si>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</si>
  <si>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</si>
  <si>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</si>
  <si>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</si>
  <si>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</si>
  <si>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</si>
  <si>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</si>
  <si>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</si>
  <si>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</si>
  <si>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</si>
  <si>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</si>
  <si>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</si>
  <si>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</si>
  <si>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</si>
  <si>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</si>
  <si>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</si>
  <si>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</si>
  <si>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</si>
  <si>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</si>
  <si>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</si>
  <si>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</si>
  <si>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</si>
  <si>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</si>
  <si>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</si>
  <si>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</si>
  <si>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</si>
  <si>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</si>
  <si>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</si>
  <si>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</si>
  <si>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</si>
  <si>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</si>
  <si>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</si>
  <si>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</si>
  <si>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</si>
  <si>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</si>
  <si>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</si>
  <si>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</si>
  <si>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</si>
  <si>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</si>
  <si>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</si>
  <si>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</si>
  <si>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</si>
  <si>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</si>
  <si>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</si>
  <si>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</si>
  <si>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</si>
  <si>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</si>
  <si>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</si>
  <si>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</si>
  <si>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</si>
  <si>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</si>
  <si>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</si>
  <si>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</si>
  <si>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</si>
  <si>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</si>
  <si>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</si>
  <si>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</si>
  <si>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</si>
  <si>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</si>
  <si>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</si>
  <si>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</si>
  <si>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</si>
  <si>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</si>
  <si>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</si>
  <si>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</si>
  <si>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</si>
  <si>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</si>
  <si>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</si>
  <si>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</si>
  <si>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</si>
  <si>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</si>
  <si>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</si>
  <si>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</si>
  <si>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</si>
  <si>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</si>
  <si>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</si>
  <si>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</si>
  <si>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</si>
  <si>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</si>
  <si>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</si>
  <si>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</si>
  <si>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</si>
  <si>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</si>
  <si>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</si>
  <si>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</si>
  <si>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</si>
  <si>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</si>
  <si>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</si>
  <si>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</si>
  <si>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</si>
  <si>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</si>
  <si>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</si>
  <si>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</si>
  <si>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</si>
  <si>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</si>
  <si>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</si>
  <si>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</si>
  <si>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</si>
  <si>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</si>
  <si>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</si>
  <si>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</si>
  <si>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</si>
  <si>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</si>
  <si>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</si>
  <si>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</si>
  <si>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</si>
  <si>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</si>
  <si>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</si>
  <si>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</si>
  <si>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</si>
  <si>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</si>
  <si>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</si>
  <si>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</si>
  <si>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</si>
  <si>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</si>
  <si>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</si>
  <si>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</si>
  <si>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</si>
  <si>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</si>
  <si>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</si>
  <si>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</si>
  <si>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</si>
  <si>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</si>
  <si>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</si>
  <si>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</si>
  <si>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</si>
  <si>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</si>
  <si>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</si>
  <si>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</si>
  <si>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</si>
  <si>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</si>
  <si>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</si>
  <si>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</si>
  <si>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</si>
  <si>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</si>
  <si>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</si>
  <si>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</si>
  <si>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</si>
  <si>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</si>
  <si>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</si>
  <si>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</si>
  <si>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</si>
  <si>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</si>
  <si>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</si>
  <si>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</si>
  <si>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</si>
  <si>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</si>
  <si>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</si>
  <si>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</si>
  <si>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</si>
  <si>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</si>
  <si>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</si>
  <si>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</si>
  <si>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</si>
  <si>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</si>
  <si>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</si>
  <si>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</si>
  <si>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</si>
  <si>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</si>
  <si>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</si>
  <si>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</si>
  <si>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</si>
  <si>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</si>
  <si>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</si>
  <si>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</si>
  <si>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</si>
  <si>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</si>
  <si>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</si>
  <si>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</si>
  <si>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</si>
  <si>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</si>
  <si>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</si>
  <si>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</si>
  <si>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</si>
  <si>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</si>
  <si>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</si>
  <si>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</si>
  <si>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</si>
  <si>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</si>
  <si>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</si>
  <si>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</si>
  <si>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</si>
  <si>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</si>
  <si>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</si>
  <si>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</si>
  <si>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</si>
  <si>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</si>
  <si>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</si>
  <si>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</si>
  <si>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</si>
  <si>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</si>
  <si>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</si>
  <si>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</si>
  <si>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</si>
  <si>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</si>
  <si>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</si>
  <si>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</si>
  <si>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</si>
  <si>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</si>
  <si>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</si>
  <si>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</si>
  <si>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</si>
  <si>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</si>
  <si>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</si>
  <si>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</si>
  <si>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</si>
  <si>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</si>
  <si>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</si>
  <si>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</si>
  <si>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</si>
  <si>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</si>
  <si>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</si>
  <si>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</si>
  <si>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</si>
  <si>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</si>
  <si>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</si>
  <si>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</si>
  <si>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</si>
  <si>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</si>
  <si>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</si>
  <si>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</si>
  <si>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</si>
  <si>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</si>
  <si>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</si>
  <si>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</si>
  <si>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</si>
  <si>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</si>
  <si>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</si>
  <si>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</si>
  <si>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</si>
  <si>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</si>
  <si>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</si>
  <si>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</si>
  <si>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</si>
  <si>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</si>
  <si>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</si>
  <si>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</si>
  <si>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</si>
  <si>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</si>
  <si>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</si>
  <si>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</si>
  <si>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</si>
  <si>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</si>
  <si>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</si>
  <si>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</si>
  <si>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</si>
  <si>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</si>
  <si>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</si>
  <si>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</si>
  <si>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</si>
  <si>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</si>
  <si>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</si>
  <si>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</si>
  <si>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</si>
  <si>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</si>
  <si>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</si>
  <si>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</si>
  <si>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</si>
  <si>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</si>
  <si>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</si>
  <si>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</si>
  <si>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</si>
  <si>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</si>
  <si>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</si>
  <si>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</si>
  <si>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</si>
  <si>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</si>
  <si>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</si>
  <si>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</si>
  <si>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</si>
  <si>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</si>
  <si>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</si>
  <si>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</si>
  <si>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</si>
  <si>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</si>
  <si>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</si>
  <si>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</si>
  <si>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</si>
  <si>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</si>
  <si>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</si>
  <si>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</si>
  <si>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</si>
  <si>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</si>
  <si>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</si>
  <si>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</si>
  <si>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</si>
  <si>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</si>
  <si>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</si>
  <si>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</si>
  <si>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</si>
  <si>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</si>
  <si>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</si>
  <si>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</si>
  <si>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</si>
  <si>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</si>
  <si>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</si>
  <si>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</si>
  <si>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</si>
  <si>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</si>
  <si>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</si>
  <si>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</si>
  <si>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</si>
  <si>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</si>
  <si>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</si>
  <si>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</si>
  <si>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</si>
  <si>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</si>
  <si>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</si>
  <si>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</si>
  <si>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</si>
  <si>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</si>
  <si>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</si>
  <si>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</si>
  <si>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</si>
  <si>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</si>
  <si>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</si>
  <si>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</si>
  <si>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</si>
  <si>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</si>
  <si>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</si>
  <si>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</si>
  <si>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</si>
  <si>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</si>
  <si>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</si>
  <si>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</si>
  <si>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</si>
  <si>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</si>
  <si>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</si>
  <si>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</si>
  <si>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</si>
  <si>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</si>
  <si>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</si>
  <si>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</si>
  <si>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</si>
  <si>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</si>
  <si>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</si>
  <si>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</si>
  <si>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</si>
  <si>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</si>
  <si>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</si>
  <si>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</si>
  <si>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</si>
  <si>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</si>
  <si>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</si>
  <si>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</si>
  <si>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</si>
  <si>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</si>
  <si>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</si>
  <si>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</si>
  <si>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</si>
  <si>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</si>
  <si>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</si>
  <si>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</si>
  <si>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</si>
  <si>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</si>
  <si>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</si>
  <si>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</si>
  <si>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</si>
  <si>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</si>
  <si>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</si>
  <si>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</si>
  <si>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</si>
  <si>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</si>
  <si>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</si>
  <si>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</si>
  <si>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</si>
  <si>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</si>
  <si>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</si>
  <si>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</si>
  <si>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</si>
  <si>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</si>
  <si>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</si>
  <si>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</si>
  <si>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</si>
  <si>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</si>
  <si>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</si>
  <si>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</si>
  <si>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</si>
  <si>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</si>
  <si>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</si>
  <si>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</si>
  <si>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</si>
  <si>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</si>
  <si>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</si>
  <si>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</si>
  <si>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</si>
  <si>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</si>
  <si>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</si>
  <si>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</si>
  <si>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</si>
  <si>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</si>
  <si>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</si>
  <si>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</si>
  <si>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</si>
  <si>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</si>
  <si>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</si>
  <si>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</si>
  <si>
    <t>一般</t>
    <phoneticPr fontId="79" type="noConversion"/>
  </si>
  <si>
    <t>好</t>
  </si>
  <si>
    <t>建筑物价值</t>
  </si>
  <si>
    <t>宗地形状规则</t>
    <phoneticPr fontId="79"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</si>
</sst>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1535</v>
      </c>
    </row>
    <row r="21" spans="1:2" s="1593" customFormat="1">
      <c r="A21" s="1591" t="s">
        <v>1230</v>
      </c>
      <c r="B21" s="1592">
        <f ca="1">'预评函-2'!D7</f>
        <v>7220</v>
      </c>
    </row>
    <row r="22" spans="1:2" s="1593" customFormat="1">
      <c r="A22" s="1591" t="s">
        <v>1231</v>
      </c>
      <c r="B22" s="1592" t="str">
        <f ca="1">'预评函-2'!D6</f>
        <v>壹仟伍佰叁拾伍万元整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1535</v>
      </c>
    </row>
    <row r="31" spans="1:2" s="1593" customFormat="1">
      <c r="A31" s="1591" t="s">
        <v>1269</v>
      </c>
      <c r="B31" s="1592">
        <f ca="1">'预评函-2'!D15</f>
        <v>7220</v>
      </c>
    </row>
    <row r="32" spans="1:2" s="1593" customFormat="1">
      <c r="A32" s="1591" t="s">
        <v>1236</v>
      </c>
      <c r="B32" s="1592" t="str">
        <f ca="1">'预评函-2'!D14</f>
        <v>壹仟伍佰叁拾伍万元整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c r="A42" s="1591" t="s">
        <v>1283</v>
      </c>
      <c r="B42" s="1592" t="str">
        <f>'预评函-3'!B2</f>
        <v>建筑面积</v>
      </c>
    </row>
    <row r="43" spans="1:2" s="1593" customFormat="1">
      <c r="A43" s="1591" t="s">
        <v>1284</v>
      </c>
      <c r="B43" s="1592">
        <f>'预评函-3'!B4</f>
        <v>2125.98</v>
      </c>
    </row>
    <row r="44" spans="1:2" s="1593" customFormat="1">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1137</v>
      </c>
    </row>
    <row r="48" spans="1:2" s="1593" customFormat="1">
      <c r="A48" s="1591" t="s">
        <v>1242</v>
      </c>
      <c r="B48" s="1592">
        <f ca="1">'预评函-3'!E4</f>
        <v>5348</v>
      </c>
    </row>
    <row r="49" spans="1:2" s="1593" customFormat="1">
      <c r="A49" s="1591" t="s">
        <v>1243</v>
      </c>
      <c r="B49" s="1592" t="str">
        <f ca="1">'预评函-3'!D5</f>
        <v>壹仟壹佰叁拾柒万元整</v>
      </c>
    </row>
    <row r="50" spans="1:2" s="1593" customFormat="1">
      <c r="A50" s="1591" t="s">
        <v>1267</v>
      </c>
      <c r="B50" s="1592" t="str">
        <f>'预评函-3'!F2</f>
        <v>建筑物价值</v>
      </c>
    </row>
    <row r="51" spans="1:2" s="1593" customFormat="1">
      <c r="A51" s="1591" t="s">
        <v>1244</v>
      </c>
      <c r="B51" s="1592">
        <f ca="1">'预评函-3'!F4</f>
        <v>398</v>
      </c>
    </row>
    <row r="52" spans="1:2" s="1593" customFormat="1">
      <c r="A52" s="1591" t="s">
        <v>1245</v>
      </c>
      <c r="B52" s="1592">
        <f ca="1">'预评函-3'!G4</f>
        <v>1872</v>
      </c>
    </row>
    <row r="53" spans="1:2" s="1593" customFormat="1">
      <c r="A53" s="1591" t="s">
        <v>1273</v>
      </c>
      <c r="B53" s="1592" t="str">
        <f ca="1">'预评函-3'!F5</f>
        <v>叁佰玖拾捌万元整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03"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3077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3078</v>
      </c>
      <c r="C7" s="2047"/>
      <c r="D7" s="2048"/>
      <c r="E7" s="2033"/>
      <c r="F7" s="2041"/>
      <c r="G7" s="2041"/>
      <c r="H7" s="2041"/>
      <c r="I7" s="2041"/>
      <c r="J7" s="2041"/>
      <c r="K7" s="2050"/>
      <c r="L7" s="2027"/>
      <c r="M7" s="2027"/>
      <c r="N7" s="2028"/>
      <c r="O7" s="2029"/>
      <c r="P7" s="2028"/>
      <c r="Q7" s="2028"/>
      <c r="R7" s="2028"/>
    </row>
    <row r="8" spans="1:19" ht="18" customHeight="1">
      <c r="A8" s="2046" t="s">
        <v>1778</v>
      </c>
      <c r="B8" s="2051" t="s">
        <v>3079</v>
      </c>
      <c r="C8" s="2052"/>
      <c r="D8" s="3006" t="s">
        <v>1779</v>
      </c>
      <c r="E8" s="2053" t="s">
        <v>3080</v>
      </c>
      <c r="F8" s="2054"/>
      <c r="G8" s="2025"/>
      <c r="H8" s="2025"/>
      <c r="I8" s="2025"/>
      <c r="J8" s="2041"/>
      <c r="K8" s="2042"/>
      <c r="L8" s="2027"/>
      <c r="M8" s="2027"/>
      <c r="N8" s="2028"/>
      <c r="O8" s="2029"/>
      <c r="P8" s="2028"/>
      <c r="Q8" s="2028"/>
      <c r="R8" s="2028"/>
    </row>
    <row r="9" spans="1:19" ht="18" customHeight="1" thickBot="1">
      <c r="A9" s="2039" t="s">
        <v>1780</v>
      </c>
      <c r="B9" s="2055" t="s">
        <v>3080</v>
      </c>
      <c r="C9" s="2056"/>
      <c r="D9" s="3007"/>
      <c r="E9" s="2055"/>
      <c r="F9" s="2057"/>
      <c r="G9" s="2058"/>
      <c r="H9" s="2058"/>
      <c r="I9" s="2058"/>
      <c r="J9" s="2041"/>
      <c r="K9" s="2050"/>
      <c r="L9" s="2027"/>
      <c r="M9" s="2027"/>
      <c r="N9" s="2028"/>
      <c r="O9" s="2029"/>
      <c r="P9" s="2028"/>
      <c r="Q9" s="2028"/>
      <c r="R9" s="2028"/>
    </row>
    <row r="10" spans="1:19" ht="18" customHeight="1" thickTop="1">
      <c r="A10" s="2059" t="s">
        <v>1781</v>
      </c>
      <c r="B10" s="2060" t="s">
        <v>3054</v>
      </c>
      <c r="C10" s="2061"/>
      <c r="D10" s="2045"/>
      <c r="E10" s="2062" t="s">
        <v>1782</v>
      </c>
      <c r="F10" s="2953" t="s">
        <v>3081</v>
      </c>
      <c r="G10" s="2063"/>
      <c r="H10" s="2064"/>
      <c r="I10" s="2045"/>
      <c r="J10" s="2041"/>
      <c r="K10" s="2050"/>
      <c r="L10" s="2027"/>
      <c r="M10" s="2027"/>
      <c r="N10" s="2028"/>
      <c r="O10" s="2029"/>
      <c r="P10" s="2028"/>
      <c r="Q10" s="2028"/>
      <c r="R10" s="2028"/>
    </row>
    <row r="11" spans="1:19" ht="18" customHeight="1">
      <c r="A11" s="2065" t="s">
        <v>1783</v>
      </c>
      <c r="B11" s="2066" t="s">
        <v>3055</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3056</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13"/>
      <c r="C16" s="3014"/>
      <c r="D16" s="3015"/>
      <c r="E16" s="2081" t="s">
        <v>1796</v>
      </c>
      <c r="F16" s="3016"/>
      <c r="G16" s="3017"/>
      <c r="H16" s="3017"/>
      <c r="I16" s="3018"/>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19" t="s">
        <v>3083</v>
      </c>
      <c r="F17" s="3020"/>
      <c r="G17" s="3020"/>
      <c r="H17" s="3020"/>
      <c r="I17" s="3021"/>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22" t="s">
        <v>1802</v>
      </c>
      <c r="F18" s="3023"/>
      <c r="G18" s="3023"/>
      <c r="H18" s="3023"/>
      <c r="I18" s="3024"/>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09" t="s">
        <v>1807</v>
      </c>
      <c r="C20" s="3010"/>
      <c r="D20" s="3011" t="s">
        <v>1808</v>
      </c>
      <c r="E20" s="3012"/>
      <c r="F20" s="2093" t="s">
        <v>1809</v>
      </c>
      <c r="G20" s="2041"/>
      <c r="H20" s="2041"/>
      <c r="I20" s="2041"/>
      <c r="J20" s="2041"/>
      <c r="K20" s="3008"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6"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6"/>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6"/>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7"/>
      <c r="B30" s="2034" t="s">
        <v>1826</v>
      </c>
      <c r="C30" s="3028"/>
      <c r="D30" s="302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0"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1"/>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25" t="s">
        <v>1836</v>
      </c>
      <c r="T34" s="2130" t="str">
        <f>NUMBERSTRING(7-K34,1)&amp;"通"</f>
        <v>七通</v>
      </c>
      <c r="U34" s="2028"/>
      <c r="V34" s="2028"/>
    </row>
    <row r="35" spans="1:22" ht="18" customHeight="1">
      <c r="A35" s="2131"/>
      <c r="B35" s="3032" t="s">
        <v>1837</v>
      </c>
      <c r="C35" s="3032"/>
      <c r="D35" s="3032"/>
      <c r="E35" s="3032"/>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3057</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3058</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3059</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3060</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4" t="s">
        <v>1933</v>
      </c>
      <c r="B2" s="3044"/>
      <c r="C2" s="3044"/>
      <c r="D2" s="967" t="s">
        <v>1909</v>
      </c>
      <c r="E2" s="2223" t="s">
        <v>1910</v>
      </c>
      <c r="F2" s="1392"/>
      <c r="G2" s="2224"/>
      <c r="H2" s="2225"/>
      <c r="I2" s="2226" t="s">
        <v>1934</v>
      </c>
      <c r="J2" s="1392"/>
      <c r="K2" s="1392"/>
      <c r="L2" s="1392"/>
      <c r="M2" s="1392"/>
      <c r="N2" s="1427"/>
      <c r="O2" s="1392"/>
      <c r="P2" s="1392"/>
    </row>
    <row r="3" spans="1:16" ht="15.75" thickBot="1">
      <c r="A3" s="3045" t="s">
        <v>1907</v>
      </c>
      <c r="B3" s="3045"/>
      <c r="C3" s="3045"/>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5">
      <c r="A4" s="3046"/>
      <c r="B4" s="3047"/>
      <c r="C4" s="3048"/>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c r="A5" s="47" t="s">
        <v>1911</v>
      </c>
      <c r="B5" s="3049" t="s">
        <v>1912</v>
      </c>
      <c r="C5" s="3049"/>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9" t="s">
        <v>1913</v>
      </c>
      <c r="C6" s="3049"/>
      <c r="D6" s="48">
        <f>ROUND($D$3*E6/$E$3,2)</f>
        <v>9270.09</v>
      </c>
      <c r="E6" s="49">
        <f>E3-E5</f>
        <v>2125.98</v>
      </c>
      <c r="F6" s="1392"/>
      <c r="G6" s="2231" t="s">
        <v>1914</v>
      </c>
      <c r="H6" s="1399" t="s">
        <v>1915</v>
      </c>
      <c r="I6" s="939">
        <f>ROUND(F31/D31,2)</f>
        <v>0.23</v>
      </c>
      <c r="J6" s="1392"/>
      <c r="K6" s="1392"/>
      <c r="L6" s="1392"/>
      <c r="M6" s="1392"/>
      <c r="N6" s="1392"/>
      <c r="O6" s="1392"/>
      <c r="P6" s="1392"/>
    </row>
    <row r="7" spans="1:16" ht="15">
      <c r="A7" s="3041"/>
      <c r="B7" s="3042"/>
      <c r="C7" s="3043"/>
      <c r="D7" s="2227" t="s">
        <v>1909</v>
      </c>
      <c r="E7" s="2232" t="s">
        <v>1916</v>
      </c>
      <c r="F7" s="1392"/>
      <c r="G7" s="2224" t="s">
        <v>1917</v>
      </c>
      <c r="H7" s="64"/>
      <c r="I7" s="420">
        <v>1</v>
      </c>
      <c r="J7" s="1392"/>
      <c r="K7" s="1392"/>
      <c r="L7" s="1392"/>
      <c r="M7" s="1392"/>
      <c r="N7" s="1392"/>
      <c r="O7" s="1392"/>
      <c r="P7" s="1392"/>
    </row>
    <row r="8" spans="1:16">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9270.09</v>
      </c>
      <c r="E16" s="53">
        <f>SUM(E8:E15)</f>
        <v>2125.98</v>
      </c>
      <c r="F16" s="1392"/>
      <c r="G16" s="2233"/>
      <c r="H16" s="2236" t="s">
        <v>1937</v>
      </c>
      <c r="I16" s="2237"/>
      <c r="J16" s="1392"/>
      <c r="K16" s="3038" t="s">
        <v>1937</v>
      </c>
      <c r="L16" s="3039"/>
      <c r="M16" s="3039"/>
      <c r="N16" s="3039"/>
      <c r="O16" s="3039"/>
      <c r="P16" s="3040"/>
    </row>
    <row r="17" spans="1:19" ht="15">
      <c r="A17" s="2238" t="s">
        <v>1938</v>
      </c>
      <c r="B17" s="2239" t="s">
        <v>1939</v>
      </c>
      <c r="C17" s="2240" t="s">
        <v>1940</v>
      </c>
      <c r="D17" s="2241" t="s">
        <v>1928</v>
      </c>
      <c r="E17" s="2242" t="s">
        <v>1929</v>
      </c>
      <c r="F17" s="2243"/>
      <c r="G17" s="2244"/>
      <c r="H17" s="2245" t="s">
        <v>1941</v>
      </c>
      <c r="I17" s="2246" t="s">
        <v>1926</v>
      </c>
      <c r="J17" s="1392"/>
      <c r="K17" s="3035" t="s">
        <v>1942</v>
      </c>
      <c r="L17" s="3036"/>
      <c r="M17" s="3037"/>
      <c r="N17" s="3035" t="s">
        <v>1943</v>
      </c>
      <c r="O17" s="3036"/>
      <c r="P17" s="3037"/>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1" t="s">
        <v>3061</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20" sqref="T19:T2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3063</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2956">
        <v>1994</v>
      </c>
      <c r="M6" s="75">
        <f t="shared" ref="M6:M14" si="0">ROUND(K6*L6/10000,0)</f>
        <v>424</v>
      </c>
      <c r="N6" s="801">
        <f>O19</f>
        <v>0.71</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0.71</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3062</v>
      </c>
      <c r="AO6" s="55">
        <f ca="1">SUMIF(INDIRECT("'"&amp;AN6&amp;"'"&amp;"!A:A"),"总价",INDIRECT("'"&amp;AN6&amp;"'"&amp;"!B:B"))</f>
        <v>1441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1994</v>
      </c>
      <c r="M16" s="102">
        <f>SUM(M6:M14)</f>
        <v>424</v>
      </c>
      <c r="N16" s="103">
        <f>ROUND(SUMPRODUCT(M6:M14,N6:N14)/M16,3)</f>
        <v>0.71</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f>ROUND(1-(1-2%)*(2020-2003)/50,2)</f>
        <v>0.67</v>
      </c>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581">
        <v>1185.69</v>
      </c>
      <c r="L19" s="168">
        <v>2200</v>
      </c>
      <c r="M19" s="1581"/>
      <c r="N19" s="1581">
        <v>0.75</v>
      </c>
      <c r="O19" s="1581">
        <f>(N18+N19)/2</f>
        <v>0.71</v>
      </c>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v>
      </c>
      <c r="C20" s="2273" t="s">
        <v>2016</v>
      </c>
      <c r="D20" s="2274"/>
      <c r="E20" s="2273"/>
      <c r="F20" s="2273"/>
      <c r="G20" s="2273"/>
      <c r="H20" s="2273"/>
      <c r="I20" s="2273"/>
      <c r="J20" s="2273"/>
      <c r="K20" s="1581">
        <v>215.78</v>
      </c>
      <c r="L20" s="168">
        <v>2000</v>
      </c>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v>
      </c>
      <c r="C21" s="2273"/>
      <c r="D21" s="2274"/>
      <c r="E21" s="2273"/>
      <c r="F21" s="2273"/>
      <c r="G21" s="2273"/>
      <c r="H21" s="2273"/>
      <c r="I21" s="2273"/>
      <c r="J21" s="2273"/>
      <c r="K21" s="1581">
        <v>500.58</v>
      </c>
      <c r="L21" s="168">
        <v>1500</v>
      </c>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v>
      </c>
      <c r="C22" s="2273"/>
      <c r="D22" s="2274"/>
      <c r="E22" s="2273"/>
      <c r="F22" s="2273"/>
      <c r="G22" s="2273"/>
      <c r="H22" s="2273"/>
      <c r="I22" s="2273"/>
      <c r="J22" s="2273"/>
      <c r="K22" s="1581">
        <v>223.93</v>
      </c>
      <c r="L22" s="168">
        <v>2000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v>
      </c>
      <c r="C23" s="2273"/>
      <c r="D23" s="2274"/>
      <c r="E23" s="2273"/>
      <c r="F23" s="2273"/>
      <c r="G23" s="2273"/>
      <c r="H23" s="2273"/>
      <c r="I23" s="2273"/>
      <c r="J23" s="2273"/>
      <c r="K23" s="168"/>
      <c r="L23" s="168">
        <f>ROUND((K19*L19+K20*L20+K21*L21+K22*L22)/10000,0)</f>
        <v>424</v>
      </c>
      <c r="M23" s="1581">
        <f>ROUND(L23/K16*10000,0)</f>
        <v>1994</v>
      </c>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0.02</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0.01</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0" t="s">
        <v>2078</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2125.98</v>
      </c>
      <c r="C1" s="1742"/>
      <c r="D1" s="1742"/>
      <c r="E1" s="1742"/>
      <c r="F1" s="1742"/>
      <c r="G1" s="1740"/>
    </row>
    <row r="2" spans="1:10" ht="16.5">
      <c r="A2" s="1743" t="s">
        <v>1348</v>
      </c>
      <c r="B2" s="1743">
        <f>SUM(C14:C23)</f>
        <v>9270.09</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1535</v>
      </c>
      <c r="C5" s="1743">
        <f ca="1">ROUND(B5*10000/$B$1,0)</f>
        <v>7220</v>
      </c>
      <c r="D5" s="1743">
        <f ca="1">ROUND(B5*10000/$B$2,0)</f>
        <v>1656</v>
      </c>
      <c r="E5" s="1742"/>
      <c r="F5" s="1740"/>
      <c r="G5" s="1740"/>
    </row>
    <row r="6" spans="1:10" ht="16.5">
      <c r="A6" s="1743" t="s">
        <v>1351</v>
      </c>
      <c r="B6" s="1743">
        <f ca="1">SUM(G14:G23)</f>
        <v>1535</v>
      </c>
      <c r="C6" s="1743">
        <f ca="1">ROUND(B6*10000/$B$1,0)</f>
        <v>7220</v>
      </c>
      <c r="D6" s="1743">
        <f ca="1">ROUND(B6*10000/$B$2,0)</f>
        <v>1656</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2125.98</v>
      </c>
      <c r="C14" s="1741">
        <f>结果表!C118</f>
        <v>9270.09</v>
      </c>
      <c r="D14" s="1741">
        <f ca="1">结果表!H118</f>
        <v>1535</v>
      </c>
      <c r="E14" s="1741">
        <f ca="1">ROUND(D14*10000/B14,0)</f>
        <v>7220</v>
      </c>
      <c r="F14" s="1741">
        <f ca="1">ROUND(D14*10000/C14,0)</f>
        <v>1656</v>
      </c>
      <c r="G14" s="1741">
        <f ca="1">结果表!D122</f>
        <v>1535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C106" zoomScale="90" zoomScaleNormal="100" zoomScaleSheetLayoutView="90" zoomScalePageLayoutView="80" workbookViewId="0">
      <selection activeCell="D118" sqref="D118:I11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124" t="str">
        <f>项目基本情况!S2</f>
        <v>北京市北京市怀柔区北房镇龙云路9号1幢1至3层；2幢1层；3幢1层；4幢1层出让国有建设用地使用权及在建建筑物房地产</v>
      </c>
      <c r="B2" s="3125"/>
      <c r="C2" s="3125"/>
      <c r="D2" s="3125"/>
      <c r="E2" s="3125"/>
      <c r="F2" s="3125"/>
      <c r="G2" s="3125"/>
      <c r="H2" s="3125"/>
      <c r="I2" s="3126"/>
    </row>
    <row r="3" spans="1:12" ht="12.75">
      <c r="A3" s="3127" t="s">
        <v>2118</v>
      </c>
      <c r="B3" s="3128"/>
      <c r="C3" s="3128"/>
      <c r="D3" s="3128"/>
      <c r="E3" s="3128"/>
      <c r="F3" s="3128"/>
      <c r="G3" s="3128"/>
      <c r="H3" s="3128"/>
      <c r="I3" s="3128"/>
    </row>
    <row r="4" spans="1:12" ht="14.25">
      <c r="A4" s="2421" t="s">
        <v>2119</v>
      </c>
      <c r="B4" s="2422" t="s">
        <v>2120</v>
      </c>
      <c r="C4" s="2423" t="s">
        <v>3076</v>
      </c>
      <c r="D4" s="2423" t="s">
        <v>3062</v>
      </c>
      <c r="E4" s="3108" t="s">
        <v>2121</v>
      </c>
      <c r="F4" s="3121"/>
      <c r="G4" s="3121"/>
      <c r="H4" s="3121"/>
      <c r="I4" s="3109"/>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2122</v>
      </c>
      <c r="B5" s="3025">
        <v>25</v>
      </c>
      <c r="C5" s="3129">
        <v>20</v>
      </c>
      <c r="D5" s="3117">
        <v>18</v>
      </c>
      <c r="E5" s="140" t="s">
        <v>2123</v>
      </c>
      <c r="F5" s="2425"/>
      <c r="G5" s="2425"/>
      <c r="H5" s="2425"/>
      <c r="I5" s="1831"/>
    </row>
    <row r="6" spans="1:12" ht="12.75">
      <c r="A6" s="3099"/>
      <c r="B6" s="3025"/>
      <c r="C6" s="3131"/>
      <c r="D6" s="3117"/>
      <c r="E6" s="140" t="s">
        <v>2124</v>
      </c>
      <c r="F6" s="2425"/>
      <c r="G6" s="2425"/>
      <c r="H6" s="2425"/>
      <c r="I6" s="1831"/>
    </row>
    <row r="7" spans="1:12" ht="12.75">
      <c r="A7" s="3099"/>
      <c r="B7" s="3025"/>
      <c r="C7" s="3130"/>
      <c r="D7" s="3117"/>
      <c r="E7" s="140" t="s">
        <v>2125</v>
      </c>
      <c r="F7" s="2425"/>
      <c r="G7" s="2425"/>
      <c r="H7" s="2425"/>
      <c r="I7" s="1831"/>
    </row>
    <row r="8" spans="1:12" ht="12.75">
      <c r="A8" s="3099" t="s">
        <v>2126</v>
      </c>
      <c r="B8" s="3025">
        <v>15</v>
      </c>
      <c r="C8" s="3129">
        <v>9</v>
      </c>
      <c r="D8" s="3117">
        <v>9</v>
      </c>
      <c r="E8" s="140" t="s">
        <v>2127</v>
      </c>
      <c r="F8" s="2425"/>
      <c r="G8" s="2425"/>
      <c r="H8" s="2425"/>
      <c r="I8" s="1831"/>
    </row>
    <row r="9" spans="1:12" ht="12.75">
      <c r="A9" s="3099"/>
      <c r="B9" s="3025"/>
      <c r="C9" s="3130"/>
      <c r="D9" s="3117"/>
      <c r="E9" s="140" t="s">
        <v>2128</v>
      </c>
      <c r="F9" s="2425"/>
      <c r="G9" s="2425"/>
      <c r="H9" s="2425"/>
      <c r="I9" s="1831"/>
    </row>
    <row r="10" spans="1:12" ht="12.75">
      <c r="A10" s="3099" t="s">
        <v>2129</v>
      </c>
      <c r="B10" s="3025">
        <v>15</v>
      </c>
      <c r="C10" s="3129">
        <v>9</v>
      </c>
      <c r="D10" s="3117">
        <v>9</v>
      </c>
      <c r="E10" s="140" t="s">
        <v>2130</v>
      </c>
      <c r="F10" s="2425"/>
      <c r="G10" s="2425"/>
      <c r="H10" s="2425"/>
      <c r="I10" s="1831"/>
    </row>
    <row r="11" spans="1:12" ht="12.75">
      <c r="A11" s="3099"/>
      <c r="B11" s="3025"/>
      <c r="C11" s="3130"/>
      <c r="D11" s="3117"/>
      <c r="E11" s="140" t="s">
        <v>2131</v>
      </c>
      <c r="F11" s="2425"/>
      <c r="G11" s="2425"/>
      <c r="H11" s="2425"/>
      <c r="I11" s="1831"/>
    </row>
    <row r="12" spans="1:12" ht="12.75">
      <c r="A12" s="3099" t="s">
        <v>2132</v>
      </c>
      <c r="B12" s="3025">
        <v>15</v>
      </c>
      <c r="C12" s="3129">
        <v>8</v>
      </c>
      <c r="D12" s="3117">
        <v>10</v>
      </c>
      <c r="E12" s="140" t="s">
        <v>2133</v>
      </c>
      <c r="F12" s="2425"/>
      <c r="G12" s="2425"/>
      <c r="H12" s="2425"/>
      <c r="I12" s="1831"/>
    </row>
    <row r="13" spans="1:12" ht="12.75">
      <c r="A13" s="3099"/>
      <c r="B13" s="3025"/>
      <c r="C13" s="3130"/>
      <c r="D13" s="3117"/>
      <c r="E13" s="140" t="s">
        <v>2134</v>
      </c>
      <c r="F13" s="2425"/>
      <c r="G13" s="2425"/>
      <c r="H13" s="2425"/>
      <c r="I13" s="1831"/>
    </row>
    <row r="14" spans="1:12" ht="12.75">
      <c r="A14" s="3099" t="s">
        <v>2135</v>
      </c>
      <c r="B14" s="3025">
        <v>30</v>
      </c>
      <c r="C14" s="3129">
        <v>20</v>
      </c>
      <c r="D14" s="3117">
        <v>20</v>
      </c>
      <c r="E14" s="140" t="s">
        <v>2136</v>
      </c>
      <c r="F14" s="2425"/>
      <c r="G14" s="2425"/>
      <c r="H14" s="2425"/>
      <c r="I14" s="1831"/>
    </row>
    <row r="15" spans="1:12" ht="12.75">
      <c r="A15" s="3099"/>
      <c r="B15" s="3025"/>
      <c r="C15" s="3131"/>
      <c r="D15" s="3117"/>
      <c r="E15" s="140" t="s">
        <v>2137</v>
      </c>
      <c r="F15" s="2425"/>
      <c r="G15" s="2425"/>
      <c r="H15" s="2425"/>
      <c r="I15" s="1831"/>
    </row>
    <row r="16" spans="1:12" ht="12.75">
      <c r="A16" s="3099"/>
      <c r="B16" s="3025"/>
      <c r="C16" s="3130"/>
      <c r="D16" s="3117"/>
      <c r="E16" s="140" t="s">
        <v>2138</v>
      </c>
      <c r="F16" s="2425"/>
      <c r="G16" s="2425"/>
      <c r="H16" s="2425"/>
      <c r="I16" s="1831"/>
    </row>
    <row r="17" spans="1:35" ht="15">
      <c r="A17" s="2426" t="s">
        <v>2139</v>
      </c>
      <c r="B17" s="64"/>
      <c r="C17" s="141">
        <f>SUM(C5:C16)</f>
        <v>66</v>
      </c>
      <c r="D17" s="141">
        <f>SUM(D5:D16)</f>
        <v>66</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5">
      <c r="A19" s="2430" t="s">
        <v>2144</v>
      </c>
      <c r="B19" s="2431" t="s">
        <v>2145</v>
      </c>
      <c r="C19" s="143">
        <f ca="1">SUMIF(INDIRECT("'"&amp;C4&amp;"'"&amp;"!A:A"),结果表!B19,INDIRECT("'"&amp;C4&amp;"'"&amp;"!B:B"))</f>
        <v>1628</v>
      </c>
      <c r="D19" s="144">
        <f ca="1">SUMIF(INDIRECT("'"&amp;D4&amp;"'"&amp;"!A:A"),结果表!B19,INDIRECT("'"&amp;D4&amp;"'"&amp;"!B:B"))</f>
        <v>1441</v>
      </c>
      <c r="E19" s="2430" t="s">
        <v>2146</v>
      </c>
      <c r="F19" s="2431" t="s">
        <v>2145</v>
      </c>
      <c r="G19" s="145">
        <f ca="1">ROUND(C19*$C$18+D19*$D$18,0)</f>
        <v>1535</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5">
      <c r="A20" s="2433"/>
      <c r="B20" s="1247" t="s">
        <v>2149</v>
      </c>
      <c r="C20" s="146">
        <f ca="1">SUMIF(INDIRECT("'"&amp;C4&amp;"'"&amp;"!A:A"),结果表!B20,INDIRECT("'"&amp;C4&amp;"'"&amp;"!B:B"))</f>
        <v>7658</v>
      </c>
      <c r="D20" s="147">
        <f ca="1">SUMIF(INDIRECT("'"&amp;D4&amp;"'"&amp;"!A:A"),结果表!B20,INDIRECT("'"&amp;D4&amp;"'"&amp;"!B:B"))</f>
        <v>6778</v>
      </c>
      <c r="E20" s="2433"/>
      <c r="F20" s="1247" t="s">
        <v>2149</v>
      </c>
      <c r="G20" s="148">
        <f ca="1">ROUND(C20*$C$18+D20*$D$18,0)</f>
        <v>7218</v>
      </c>
      <c r="H20" s="980" t="s">
        <v>2150</v>
      </c>
      <c r="I20" s="138"/>
    </row>
    <row r="21" spans="1:35" ht="15" customHeight="1" thickBot="1">
      <c r="A21" s="1000"/>
      <c r="B21" s="2434" t="s">
        <v>2151</v>
      </c>
      <c r="C21" s="789">
        <f ca="1">ROUND(C19*10000/L19,0)</f>
        <v>1756</v>
      </c>
      <c r="D21" s="790">
        <f ca="1">ROUND(D19*10000/L19,0)</f>
        <v>1554</v>
      </c>
      <c r="E21" s="1000"/>
      <c r="F21" s="2434" t="s">
        <v>2151</v>
      </c>
      <c r="G21" s="149">
        <f ca="1">ROUND(G19*10000/L19,0)</f>
        <v>1656</v>
      </c>
      <c r="H21" s="2435" t="s">
        <v>2150</v>
      </c>
      <c r="I21" s="138"/>
    </row>
    <row r="22" spans="1:35" ht="15" thickBot="1">
      <c r="A22" s="2277" t="s">
        <v>2152</v>
      </c>
      <c r="B22" s="2436"/>
      <c r="C22" s="2437"/>
      <c r="D22" s="791">
        <f ca="1">IF(C19&lt;D19,D19/C19-1,C19/D19-1)</f>
        <v>0.12977099236641232</v>
      </c>
      <c r="E22" s="138"/>
      <c r="F22" s="138"/>
      <c r="G22" s="138"/>
      <c r="H22" s="138"/>
      <c r="I22" s="138"/>
    </row>
    <row r="23" spans="1:35" ht="13.5" thickBot="1">
      <c r="A23" s="2414"/>
      <c r="B23" s="2414"/>
      <c r="C23" s="2414"/>
      <c r="D23" s="2414"/>
      <c r="E23" s="138"/>
      <c r="F23" s="138"/>
      <c r="G23" s="138"/>
      <c r="H23" s="138"/>
      <c r="I23" s="138"/>
    </row>
    <row r="24" spans="1:35" ht="14.25">
      <c r="A24" s="3138" t="s">
        <v>2153</v>
      </c>
      <c r="B24" s="2431" t="s">
        <v>2145</v>
      </c>
      <c r="C24" s="145">
        <f>IF(B30=0,0,D30)</f>
        <v>0</v>
      </c>
      <c r="D24" s="2438"/>
      <c r="E24" s="138"/>
      <c r="F24" s="138"/>
      <c r="G24" s="138"/>
      <c r="H24" s="138"/>
      <c r="I24" s="138"/>
    </row>
    <row r="25" spans="1:35" ht="14.25">
      <c r="A25" s="3139"/>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1535</v>
      </c>
      <c r="D32" s="2445" t="s">
        <v>2160</v>
      </c>
      <c r="E32" s="138"/>
      <c r="F32" s="138"/>
      <c r="G32" s="138"/>
      <c r="H32" s="138"/>
      <c r="I32" s="138"/>
    </row>
    <row r="33" spans="1:15" ht="15">
      <c r="A33" s="957" t="s">
        <v>2161</v>
      </c>
      <c r="B33" s="2446"/>
      <c r="C33" s="2447" t="s">
        <v>3084</v>
      </c>
      <c r="D33" s="2448" t="s">
        <v>3076</v>
      </c>
      <c r="E33" s="2449" t="s">
        <v>2162</v>
      </c>
      <c r="F33" s="2450" t="str">
        <f>IF(D32="楼面单价","取值（单价）","取值（总价）")</f>
        <v>取值（总价）</v>
      </c>
      <c r="G33" s="138"/>
      <c r="H33" s="138"/>
      <c r="I33" s="138"/>
    </row>
    <row r="34" spans="1:15" ht="15">
      <c r="A34" s="2451"/>
      <c r="B34" s="2452" t="s">
        <v>2163</v>
      </c>
      <c r="C34" s="157">
        <f ca="1">IF(C33="自定义",F34,C32-C35)</f>
        <v>1137</v>
      </c>
      <c r="D34" s="1055">
        <f ca="1">IF(C33="自定义",ROUND(C34/C32,3),IF(C33="收益比率",SUMIF(INDIRECT("'"&amp;D33&amp;"'"&amp;"!b:b"),"土地收益比率",INDIRECT("'"&amp;D33&amp;"'"&amp;"!c:c")),SUMIF(INDIRECT("'"&amp;D33&amp;"'"&amp;"!b:b"),"土地成本比率",INDIRECT("'"&amp;D33&amp;"'"&amp;"!c:c"))))</f>
        <v>0.74099999999999999</v>
      </c>
      <c r="E34" s="2453" t="s">
        <v>2164</v>
      </c>
      <c r="F34" s="1736"/>
      <c r="G34" s="138"/>
      <c r="H34" s="138"/>
      <c r="I34" s="138"/>
    </row>
    <row r="35" spans="1:15" ht="15.75" thickBot="1">
      <c r="A35" s="2454"/>
      <c r="B35" s="2455" t="s">
        <v>2165</v>
      </c>
      <c r="C35" s="1441">
        <f ca="1">IF(C33="自定义",F35,ROUND(C32*D35,0))</f>
        <v>398</v>
      </c>
      <c r="D35" s="1442">
        <f ca="1">IF(C33="自定义",ROUND(C35/C32,3),IF(C33="收益比率",SUMIF(INDIRECT("'"&amp;D33&amp;"'"&amp;"!b:b"),"建筑物收益比率",INDIRECT("'"&amp;D33&amp;"'"&amp;"!c:c")),SUMIF(INDIRECT("'"&amp;D33&amp;"'"&amp;"!b:b"),"建筑物成本比率",INDIRECT("'"&amp;D33&amp;"'"&amp;"!c:c"))))</f>
        <v>0.25900000000000001</v>
      </c>
      <c r="E35" s="2456" t="s">
        <v>2166</v>
      </c>
      <c r="F35" s="163"/>
      <c r="G35" s="138"/>
      <c r="H35" s="138"/>
      <c r="I35" s="138"/>
    </row>
    <row r="36" spans="1:15" ht="15.75" thickBot="1">
      <c r="A36" s="3118" t="s">
        <v>2167</v>
      </c>
      <c r="B36" s="2457" t="s">
        <v>2168</v>
      </c>
      <c r="C36" s="154"/>
      <c r="D36" s="2458"/>
      <c r="E36" s="2459"/>
      <c r="F36" s="2460"/>
      <c r="G36" s="138"/>
      <c r="H36" s="138"/>
      <c r="I36" s="138"/>
    </row>
    <row r="37" spans="1:15" ht="15.75" thickBot="1">
      <c r="A37" s="3119"/>
      <c r="B37" s="2263" t="s">
        <v>2169</v>
      </c>
      <c r="C37" s="156"/>
      <c r="D37" s="1392"/>
      <c r="E37" s="1392"/>
      <c r="F37" s="2460"/>
      <c r="G37" s="138"/>
      <c r="H37" s="138"/>
      <c r="I37" s="138"/>
    </row>
    <row r="38" spans="1:15" ht="15.75" thickBot="1">
      <c r="A38" s="3120"/>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35" t="s">
        <v>2181</v>
      </c>
      <c r="B45" s="3136"/>
      <c r="C45" s="3137"/>
      <c r="D45" s="164">
        <f ca="1">ROUND(H101*F45,0)</f>
        <v>1535</v>
      </c>
      <c r="E45" s="165" t="s">
        <v>2182</v>
      </c>
      <c r="F45" s="166">
        <v>1</v>
      </c>
      <c r="G45" s="167" t="s">
        <v>2183</v>
      </c>
      <c r="H45" s="138"/>
      <c r="I45" s="138"/>
      <c r="J45" s="3054" t="s">
        <v>2184</v>
      </c>
      <c r="K45" s="3054"/>
      <c r="L45" s="3054"/>
      <c r="M45" s="3054"/>
      <c r="N45" s="3054"/>
      <c r="O45" s="3054"/>
    </row>
    <row r="46" spans="1:15" ht="14.25" customHeight="1">
      <c r="A46" s="3132" t="s">
        <v>2185</v>
      </c>
      <c r="B46" s="3133"/>
      <c r="C46" s="3133"/>
      <c r="D46" s="3133"/>
      <c r="E46" s="3133"/>
      <c r="F46" s="3133"/>
      <c r="G46" s="3134"/>
      <c r="H46" s="2476"/>
      <c r="I46" s="168"/>
      <c r="J46" s="1809">
        <v>1</v>
      </c>
      <c r="K46" s="3054" t="s">
        <v>2186</v>
      </c>
      <c r="L46" s="3054"/>
      <c r="M46" s="3055"/>
      <c r="N46" s="3055"/>
      <c r="O46" s="3055"/>
    </row>
    <row r="47" spans="1:15" ht="12" customHeight="1">
      <c r="A47" s="169" t="s">
        <v>2187</v>
      </c>
      <c r="B47" s="170"/>
      <c r="C47" s="171"/>
      <c r="D47" s="172" t="s">
        <v>2188</v>
      </c>
      <c r="E47" s="24" t="s">
        <v>2189</v>
      </c>
      <c r="F47" s="173" t="s">
        <v>2190</v>
      </c>
      <c r="G47" s="174" t="s">
        <v>2191</v>
      </c>
      <c r="H47" s="2476"/>
      <c r="I47" s="168"/>
      <c r="J47" s="1809">
        <v>2</v>
      </c>
      <c r="K47" s="3054" t="s">
        <v>2192</v>
      </c>
      <c r="L47" s="3054"/>
      <c r="M47" s="3056">
        <f>'数据-取费表'!B2</f>
        <v>43894</v>
      </c>
      <c r="N47" s="3056"/>
      <c r="O47" s="3056"/>
    </row>
    <row r="48" spans="1:15" ht="25.5">
      <c r="A48" s="3122" t="s">
        <v>2193</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54" t="s">
        <v>2196</v>
      </c>
      <c r="L48" s="3054"/>
      <c r="M48" s="3057">
        <f ca="1">H101</f>
        <v>1535</v>
      </c>
      <c r="N48" s="3057"/>
      <c r="O48" s="3057"/>
    </row>
    <row r="49" spans="1:35" ht="25.5" customHeight="1">
      <c r="A49" s="176" t="s">
        <v>2197</v>
      </c>
      <c r="B49" s="3102" t="s">
        <v>2198</v>
      </c>
      <c r="C49" s="3102"/>
      <c r="D49" s="177">
        <v>0</v>
      </c>
      <c r="E49" s="23" t="s">
        <v>2199</v>
      </c>
      <c r="F49" s="28" t="s">
        <v>34</v>
      </c>
      <c r="G49" s="3083"/>
      <c r="H49" s="138"/>
      <c r="I49" s="2479"/>
      <c r="J49" s="1809">
        <v>4</v>
      </c>
      <c r="K49" s="3054" t="str">
        <f>IF(项目基本情况!E8="房地产抵押价值","房地产抵押价值","抵押担保权已注销时的房地产抵押价值")</f>
        <v>房地产抵押价值</v>
      </c>
      <c r="L49" s="3054"/>
      <c r="M49" s="3057">
        <f ca="1">IF(项目基本情况!E8="房地产抵押价值",H107,H109)</f>
        <v>1535</v>
      </c>
      <c r="N49" s="3057"/>
      <c r="O49" s="3057"/>
    </row>
    <row r="50" spans="1:35" ht="25.5" customHeight="1">
      <c r="A50" s="178"/>
      <c r="B50" s="3102" t="s">
        <v>2200</v>
      </c>
      <c r="C50" s="3102"/>
      <c r="D50" s="179"/>
      <c r="E50" s="31"/>
      <c r="F50" s="180"/>
      <c r="G50" s="3084"/>
      <c r="H50" s="138"/>
      <c r="I50" s="2479"/>
      <c r="J50" s="3054" t="s">
        <v>2201</v>
      </c>
      <c r="K50" s="3054"/>
      <c r="L50" s="3054"/>
      <c r="M50" s="3054"/>
      <c r="N50" s="3054"/>
      <c r="O50" s="3054"/>
    </row>
    <row r="51" spans="1:35" ht="12" customHeight="1">
      <c r="A51" s="181"/>
      <c r="B51" s="3102" t="s">
        <v>2202</v>
      </c>
      <c r="C51" s="3102"/>
      <c r="D51" s="182"/>
      <c r="E51" s="30"/>
      <c r="F51" s="180"/>
      <c r="G51" s="3085"/>
      <c r="H51" s="138"/>
      <c r="I51" s="2479"/>
      <c r="J51" s="2480" t="s">
        <v>2203</v>
      </c>
      <c r="K51" s="3054" t="s">
        <v>2204</v>
      </c>
      <c r="L51" s="3054"/>
      <c r="M51" s="2480" t="s">
        <v>2205</v>
      </c>
      <c r="N51" s="2480" t="s">
        <v>2206</v>
      </c>
      <c r="O51" s="2480" t="s">
        <v>2207</v>
      </c>
    </row>
    <row r="52" spans="1:35" ht="24" customHeight="1">
      <c r="A52" s="183" t="s">
        <v>2208</v>
      </c>
      <c r="B52" s="3102" t="s">
        <v>2209</v>
      </c>
      <c r="C52" s="3102"/>
      <c r="D52" s="182">
        <f ca="1">ROUND(D45*'数据-取费表'!B41/(1+'数据-取费表'!C42),0)</f>
        <v>80</v>
      </c>
      <c r="E52" s="11" t="s">
        <v>2210</v>
      </c>
      <c r="F52" s="184">
        <f>'数据-取费表'!B41</f>
        <v>5.5000000000000007E-2</v>
      </c>
      <c r="G52" s="2481"/>
      <c r="H52" s="138"/>
      <c r="I52" s="2479"/>
      <c r="J52" s="1809">
        <v>1</v>
      </c>
      <c r="K52" s="3077" t="s">
        <v>2211</v>
      </c>
      <c r="L52" s="3077"/>
      <c r="M52" s="1751">
        <f>D48</f>
        <v>0</v>
      </c>
      <c r="N52" s="1809" t="str">
        <f>E48</f>
        <v>销售额×税（费）率</v>
      </c>
      <c r="O52" s="1752" t="str">
        <f>F48</f>
        <v>免征</v>
      </c>
    </row>
    <row r="53" spans="1:35" ht="12" customHeight="1">
      <c r="A53" s="183" t="s">
        <v>2212</v>
      </c>
      <c r="B53" s="3103" t="s">
        <v>2213</v>
      </c>
      <c r="C53" s="3104"/>
      <c r="D53" s="182">
        <f ca="1">ROUND(D45*'数据-取费表'!B41/(1+'数据-取费表'!C42),0)</f>
        <v>80</v>
      </c>
      <c r="E53" s="11" t="s">
        <v>2210</v>
      </c>
      <c r="F53" s="184">
        <f>'数据-取费表'!B41</f>
        <v>5.5000000000000007E-2</v>
      </c>
      <c r="G53" s="2481"/>
      <c r="H53" s="138"/>
      <c r="I53" s="2479"/>
      <c r="J53" s="1809">
        <v>2</v>
      </c>
      <c r="K53" s="3077" t="s">
        <v>2214</v>
      </c>
      <c r="L53" s="3077"/>
      <c r="M53" s="1751">
        <f t="shared" ref="M53:O54" ca="1" si="0">D55</f>
        <v>1</v>
      </c>
      <c r="N53" s="1809" t="str">
        <f t="shared" si="0"/>
        <v>销售额×税（费）率</v>
      </c>
      <c r="O53" s="1752">
        <f t="shared" si="0"/>
        <v>5.0000000000000001E-4</v>
      </c>
    </row>
    <row r="54" spans="1:35" ht="12" customHeight="1">
      <c r="A54" s="183" t="s">
        <v>2215</v>
      </c>
      <c r="B54" s="3103" t="s">
        <v>2216</v>
      </c>
      <c r="C54" s="3104"/>
      <c r="D54" s="182">
        <f ca="1">C68</f>
        <v>80</v>
      </c>
      <c r="E54" s="30" t="s">
        <v>2217</v>
      </c>
      <c r="F54" s="184">
        <f>'数据-取费表'!B41</f>
        <v>5.5000000000000007E-2</v>
      </c>
      <c r="G54" s="2481"/>
      <c r="H54" s="2482"/>
      <c r="I54" s="2479"/>
      <c r="J54" s="1809">
        <v>3</v>
      </c>
      <c r="K54" s="3077" t="s">
        <v>2218</v>
      </c>
      <c r="L54" s="3077"/>
      <c r="M54" s="1751">
        <f t="shared" ca="1" si="0"/>
        <v>871</v>
      </c>
      <c r="N54" s="1809" t="str">
        <f t="shared" si="0"/>
        <v>增值额×税（费）率</v>
      </c>
      <c r="O54" s="1753" t="str">
        <f t="shared" si="0"/>
        <v>——</v>
      </c>
    </row>
    <row r="55" spans="1:35" ht="24" customHeight="1">
      <c r="A55" s="3141" t="s">
        <v>2219</v>
      </c>
      <c r="B55" s="3123"/>
      <c r="C55" s="3123"/>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2222</v>
      </c>
      <c r="B56" s="3123"/>
      <c r="C56" s="3123"/>
      <c r="D56" s="185">
        <f ca="1">IF(H56="个人住宅",D57,D58)</f>
        <v>871</v>
      </c>
      <c r="E56" s="11" t="s">
        <v>2223</v>
      </c>
      <c r="F56" s="184" t="str">
        <f>IF(H56="正常",F58,"免征")</f>
        <v>——</v>
      </c>
      <c r="G56" s="2483" t="s">
        <v>2224</v>
      </c>
      <c r="H56" s="2484" t="s">
        <v>2221</v>
      </c>
      <c r="I56" s="2485"/>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2197</v>
      </c>
      <c r="B57" s="3108" t="s">
        <v>2225</v>
      </c>
      <c r="C57" s="3109"/>
      <c r="D57" s="187">
        <v>0</v>
      </c>
      <c r="E57" s="23" t="s">
        <v>2199</v>
      </c>
      <c r="F57" s="155"/>
      <c r="G57" s="2481"/>
      <c r="H57" s="2485"/>
      <c r="I57" s="2485"/>
      <c r="J57" s="3077">
        <f>IF(AND(J55="",J56=""),4,IF(项目基本情况!K6="上海银行",结果表!J56+1,结果表!J55+1))</f>
        <v>4</v>
      </c>
      <c r="K57" s="3077" t="s">
        <v>2226</v>
      </c>
      <c r="L57" s="2486" t="s">
        <v>2227</v>
      </c>
      <c r="M57" s="1756"/>
      <c r="N57" s="1757">
        <f ca="1">SUMIF(M52:M56,"&lt;9e307")</f>
        <v>872</v>
      </c>
      <c r="O57" s="2487"/>
      <c r="P57" s="1750">
        <f ca="1">N57/M49</f>
        <v>0.56807817589576548</v>
      </c>
    </row>
    <row r="58" spans="1:35" ht="24.75">
      <c r="A58" s="183" t="s">
        <v>2208</v>
      </c>
      <c r="B58" s="3108" t="s">
        <v>2228</v>
      </c>
      <c r="C58" s="3121"/>
      <c r="D58" s="185">
        <f ca="1">IF(H58="转让取得",C81,C97)</f>
        <v>871</v>
      </c>
      <c r="E58" s="11" t="s">
        <v>2223</v>
      </c>
      <c r="F58" s="24" t="s">
        <v>34</v>
      </c>
      <c r="G58" s="2481"/>
      <c r="H58" s="2484" t="s">
        <v>2229</v>
      </c>
      <c r="I58" s="2485"/>
      <c r="J58" s="3077"/>
      <c r="K58" s="3077"/>
      <c r="L58" s="2486" t="s">
        <v>2230</v>
      </c>
      <c r="M58" s="1758"/>
      <c r="N58" s="2488" t="str">
        <f ca="1">NUMBERSTRING(INT(N57*10000),2)&amp;"元整"</f>
        <v>捌佰柒拾贰万元整</v>
      </c>
      <c r="O58" s="2489"/>
    </row>
    <row r="59" spans="1:35" ht="24.75" thickBot="1">
      <c r="A59" s="3081" t="s">
        <v>2231</v>
      </c>
      <c r="B59" s="3082"/>
      <c r="C59" s="3082"/>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079">
        <f>J57+1</f>
        <v>5</v>
      </c>
      <c r="K59" s="3077" t="s">
        <v>2233</v>
      </c>
      <c r="L59" s="1809" t="s">
        <v>2227</v>
      </c>
      <c r="M59" s="1759"/>
      <c r="N59" s="1760">
        <f ca="1">M49-N57</f>
        <v>663</v>
      </c>
      <c r="O59" s="2491"/>
    </row>
    <row r="60" spans="1:35" ht="12" customHeight="1">
      <c r="A60" s="2492"/>
      <c r="B60" s="2414"/>
      <c r="C60" s="2414"/>
      <c r="D60" s="2414"/>
      <c r="E60" s="2162"/>
      <c r="F60" s="2485"/>
      <c r="G60" s="2485"/>
      <c r="H60" s="2493"/>
      <c r="I60" s="138"/>
      <c r="J60" s="3080"/>
      <c r="K60" s="3077"/>
      <c r="L60" s="2486" t="s">
        <v>2230</v>
      </c>
      <c r="M60" s="1758"/>
      <c r="N60" s="2488" t="str">
        <f ca="1">NUMBERSTRING(INT(N59*10000),2)&amp;"元整"</f>
        <v>陆佰陆拾叁万元整</v>
      </c>
      <c r="O60" s="2489"/>
    </row>
    <row r="61" spans="1:35" ht="13.5" thickBot="1">
      <c r="A61" s="3140" t="s">
        <v>2234</v>
      </c>
      <c r="B61" s="3140"/>
      <c r="C61" s="3140"/>
      <c r="D61" s="3140"/>
      <c r="E61" s="3140"/>
      <c r="F61" s="2485"/>
      <c r="G61" s="2485"/>
      <c r="H61" s="2493"/>
      <c r="I61" s="138"/>
      <c r="J61" s="1809">
        <f>J59+1</f>
        <v>6</v>
      </c>
      <c r="K61" s="3077" t="s">
        <v>2235</v>
      </c>
      <c r="L61" s="3077"/>
      <c r="M61" s="1761"/>
      <c r="N61" s="1762">
        <f ca="1">ROUND(N59*10000/'数据-汇总表'!E3,0)</f>
        <v>3119</v>
      </c>
      <c r="O61" s="2494"/>
    </row>
    <row r="62" spans="1:35" ht="12.75">
      <c r="A62" s="3097" t="s">
        <v>2236</v>
      </c>
      <c r="B62" s="3098"/>
      <c r="C62" s="1801"/>
      <c r="D62" s="1801" t="s">
        <v>2237</v>
      </c>
      <c r="E62" s="192" t="s">
        <v>2238</v>
      </c>
      <c r="F62" s="2485"/>
      <c r="G62" s="2485"/>
      <c r="H62" s="2493"/>
      <c r="I62" s="138"/>
    </row>
    <row r="63" spans="1:35" ht="12.75">
      <c r="A63" s="203" t="s">
        <v>775</v>
      </c>
      <c r="B63" s="193" t="s">
        <v>2239</v>
      </c>
      <c r="C63" s="194">
        <f ca="1">ROUND((C64+C65)/(1+'数据-取费表'!C42),0)</f>
        <v>1462</v>
      </c>
      <c r="D63" s="195"/>
      <c r="E63" s="196"/>
      <c r="F63" s="2485"/>
      <c r="G63" s="2485"/>
      <c r="H63" s="2493"/>
      <c r="I63" s="138"/>
      <c r="J63" s="3062" t="s">
        <v>2240</v>
      </c>
      <c r="K63" s="2495" t="s">
        <v>2241</v>
      </c>
      <c r="L63" s="1749">
        <f ca="1">IF(M49&gt;10000,M49*0.5%,IF(AND(M49&gt;1000,M49&lt;=10000),M49*1%,IF(AND(M49&gt;100,M49&lt;=1000),M49*3%,IF(AND(M49&gt;10,M49&lt;=100),M49*5%,M49*8%))))</f>
        <v>15.35</v>
      </c>
      <c r="M63" s="24">
        <f ca="1">ROUND(L63,1)</f>
        <v>15.4</v>
      </c>
      <c r="Z63" s="2419"/>
      <c r="AI63" s="2420"/>
    </row>
    <row r="64" spans="1:35" ht="14.25" customHeight="1">
      <c r="A64" s="197" t="s">
        <v>770</v>
      </c>
      <c r="B64" s="198" t="s">
        <v>2242</v>
      </c>
      <c r="C64" s="199">
        <f ca="1">D45</f>
        <v>1535</v>
      </c>
      <c r="D64" s="200" t="s">
        <v>32</v>
      </c>
      <c r="E64" s="201"/>
      <c r="F64" s="2485"/>
      <c r="G64" s="2485"/>
      <c r="H64" s="2493"/>
      <c r="I64" s="138"/>
      <c r="J64" s="3062"/>
      <c r="K64" s="2495" t="s">
        <v>2243</v>
      </c>
      <c r="L64" s="1749">
        <f ca="1">IF(M49&gt;2000,M49*0.5%,IF(AND(M49&gt;1000,M49&lt;=2000),M49*0.6%,IF(AND(M49&gt;500,M49&lt;=1000),M49*0.7%,IF(AND(M49&gt;200,M49&lt;=500),M49*0.8%,IF(AND(M49&gt;100,M49&lt;=200),M49*0.9%,IF(AND(M49&gt;50,M49&lt;=100),M49*1%,IF(AND(M49&gt;20,M49&lt;=50),M49*1.5%,IF(AND(M49&gt;10,M49&lt;=20),M49*2%,IF(AND(M49&gt;1,M49&lt;=10),M49*2.5%)))))))))</f>
        <v>9.2100000000000009</v>
      </c>
      <c r="M64" s="24">
        <f t="shared" ref="M64:M65" ca="1" si="1">ROUND(L64,1)</f>
        <v>9.1999999999999993</v>
      </c>
      <c r="N64" s="138" t="s">
        <v>2244</v>
      </c>
      <c r="Z64" s="2419"/>
      <c r="AI64" s="2420"/>
    </row>
    <row r="65" spans="1:35" ht="14.25" customHeight="1">
      <c r="A65" s="197" t="s">
        <v>771</v>
      </c>
      <c r="B65" s="198" t="s">
        <v>2245</v>
      </c>
      <c r="C65" s="202"/>
      <c r="D65" s="200"/>
      <c r="E65" s="201"/>
      <c r="F65" s="2485"/>
      <c r="G65" s="2485"/>
      <c r="H65" s="2493"/>
      <c r="I65" s="138"/>
      <c r="J65" s="3062"/>
      <c r="K65" s="2495" t="s">
        <v>2246</v>
      </c>
      <c r="L65" s="1749">
        <f ca="1">IF(M49&gt;1000,M49*0.1%,IF(AND(M49&gt;500,M49&lt;=1000),M49*0.5%,IF(AND(M49&gt;50,M49&lt;=500),M49*1%,IF(AND(M49&gt;1,M49&lt;=50),M49*1.5%))))</f>
        <v>1.5350000000000001</v>
      </c>
      <c r="M65" s="24">
        <f t="shared" ca="1" si="1"/>
        <v>1.5</v>
      </c>
      <c r="N65" s="138" t="s">
        <v>2244</v>
      </c>
      <c r="Z65" s="2419"/>
      <c r="AI65" s="2420"/>
    </row>
    <row r="66" spans="1:35" ht="14.25" customHeight="1">
      <c r="A66" s="203" t="s">
        <v>772</v>
      </c>
      <c r="B66" s="204" t="s">
        <v>2247</v>
      </c>
      <c r="C66" s="205"/>
      <c r="D66" s="206" t="s">
        <v>32</v>
      </c>
      <c r="E66" s="1773" t="s">
        <v>1366</v>
      </c>
      <c r="F66" s="2485"/>
      <c r="G66" s="2485"/>
      <c r="H66" s="2493"/>
      <c r="I66" s="138"/>
      <c r="J66" s="3062"/>
      <c r="K66" s="2495" t="s">
        <v>2248</v>
      </c>
      <c r="L66" s="1749">
        <f ca="1">M49*0.5%</f>
        <v>7.6749999999999998</v>
      </c>
      <c r="M66" s="24">
        <f ca="1">IF(L66&gt;0.5,0.5,ROUND(L66,0))</f>
        <v>0.5</v>
      </c>
      <c r="N66" s="138" t="s">
        <v>2249</v>
      </c>
      <c r="Z66" s="2419"/>
      <c r="AI66" s="2420"/>
    </row>
    <row r="67" spans="1:35" ht="14.25" customHeight="1">
      <c r="A67" s="203" t="s">
        <v>773</v>
      </c>
      <c r="B67" s="204" t="s">
        <v>2250</v>
      </c>
      <c r="C67" s="207">
        <f ca="1">C63-C66</f>
        <v>1462</v>
      </c>
      <c r="D67" s="200" t="s">
        <v>32</v>
      </c>
      <c r="E67" s="201"/>
      <c r="F67" s="2485"/>
      <c r="G67" s="2485"/>
      <c r="H67" s="2493"/>
      <c r="I67" s="138"/>
      <c r="J67" s="3062"/>
      <c r="K67" s="2495" t="s">
        <v>2251</v>
      </c>
      <c r="L67" s="1749">
        <f ca="1">IF(M49&gt;=10000,(8.25+(M49-10000)*0.01%),IF(AND(M49&gt;=8000,M49&lt;10000),(7.85+(M49-8000)*0.02%),IF(AND(M49&gt;=5000,M49&lt;8000),(6.65+(M49-5000)*0.04%),IF(AND(M49&gt;=2000,M49&lt;5000),(4.25+(PM49-2000)*0.08%),IF(AND(M49&gt;=1000,M49&lt;2000),(2.75+(M49-1000)*0.15%),IF(AND(M49&gt;=100,M49&lt;1000),(0.5+(M49-100)*0.25%),IF(AND(M49&gt;0,M49&lt;100),M49*0.5%)))))))</f>
        <v>3.5525000000000002</v>
      </c>
      <c r="M67" s="24">
        <f ca="1">ROUND(L67*0.9,1)</f>
        <v>3.2</v>
      </c>
      <c r="Z67" s="2419"/>
      <c r="AI67" s="2420"/>
    </row>
    <row r="68" spans="1:35" ht="14.25" customHeight="1" thickBot="1">
      <c r="A68" s="208" t="s">
        <v>774</v>
      </c>
      <c r="B68" s="209" t="s">
        <v>2252</v>
      </c>
      <c r="C68" s="210">
        <f ca="1">IF(C67&lt;=0,0,ROUND(C67*D68,0))</f>
        <v>80</v>
      </c>
      <c r="D68" s="211">
        <f>'数据-取费表'!B41</f>
        <v>5.5000000000000007E-2</v>
      </c>
      <c r="E68" s="212"/>
      <c r="F68" s="2485"/>
      <c r="G68" s="2485"/>
      <c r="H68" s="2493"/>
      <c r="I68" s="138"/>
      <c r="J68" s="3062"/>
      <c r="K68" s="2495" t="s">
        <v>2253</v>
      </c>
      <c r="L68" s="1749">
        <f ca="1">IF(M49&gt;10000,M49*0.5%,IF(AND(M49&gt;5000,M49&lt;=10000),M49*1%,IF(AND(M49&gt;1000,M49&lt;=5000),M49*2%,IF(AND(M49&gt;200,M49&lt;=1000),M49*3%,M49*5%))))</f>
        <v>30.7</v>
      </c>
      <c r="M68" s="24">
        <f ca="1">ROUND(L68,1)</f>
        <v>30.7</v>
      </c>
      <c r="Z68" s="2419"/>
      <c r="AI68" s="2420"/>
    </row>
    <row r="69" spans="1:35" s="2442" customFormat="1" ht="16.5" customHeight="1">
      <c r="A69" s="2496"/>
      <c r="B69" s="2497"/>
      <c r="C69" s="2498"/>
      <c r="D69" s="2499"/>
      <c r="E69" s="2500"/>
      <c r="F69" s="2162"/>
      <c r="G69" s="2162"/>
      <c r="H69" s="2161"/>
      <c r="I69" s="2414"/>
      <c r="J69" s="3062"/>
      <c r="K69" s="2495" t="s">
        <v>2254</v>
      </c>
      <c r="L69" s="2501"/>
      <c r="M69" s="24">
        <f ca="1">ROUND(SUM(M63:M68),0)</f>
        <v>61</v>
      </c>
      <c r="N69" s="1750">
        <f ca="1">M69/M49</f>
        <v>3.9739413680781759E-2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6" t="s">
        <v>2255</v>
      </c>
      <c r="B70" s="3107"/>
      <c r="C70" s="3107"/>
      <c r="D70" s="3107"/>
      <c r="E70" s="3107"/>
      <c r="F70" s="3107"/>
      <c r="G70" s="3107"/>
      <c r="H70" s="310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7" t="s">
        <v>2236</v>
      </c>
      <c r="B71" s="3098"/>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1462</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03" t="s">
        <v>2264</v>
      </c>
      <c r="F76" s="3102"/>
      <c r="G76" s="3102"/>
      <c r="H76" s="310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94" t="s">
        <v>2269</v>
      </c>
      <c r="F78" s="3095"/>
      <c r="G78" s="3095"/>
      <c r="H78" s="309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1455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207.85714285714286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6" t="s">
        <v>2273</v>
      </c>
      <c r="B83" s="3107"/>
      <c r="C83" s="3107"/>
      <c r="D83" s="3107"/>
      <c r="E83" s="3107"/>
      <c r="F83" s="3107"/>
      <c r="G83" s="3107"/>
      <c r="H83" s="310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7" t="s">
        <v>2236</v>
      </c>
      <c r="B84" s="3098"/>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1462</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94" t="s">
        <v>2282</v>
      </c>
      <c r="F91" s="3095"/>
      <c r="G91" s="3095"/>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94" t="s">
        <v>2286</v>
      </c>
      <c r="F92" s="3095"/>
      <c r="G92" s="3095"/>
      <c r="H92" s="309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94" t="s">
        <v>2269</v>
      </c>
      <c r="F93" s="3095"/>
      <c r="G93" s="3095"/>
      <c r="H93" s="309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42" t="s">
        <v>2290</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1455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207.85714285714286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6" t="s">
        <v>2292</v>
      </c>
      <c r="B100" s="3047"/>
      <c r="C100" s="3047"/>
      <c r="D100" s="3078"/>
      <c r="E100" s="3047" t="s">
        <v>2293</v>
      </c>
      <c r="F100" s="3047"/>
      <c r="G100" s="3047"/>
      <c r="H100" s="3078"/>
      <c r="I100" s="138"/>
    </row>
    <row r="101" spans="1:35" ht="18.75" customHeight="1">
      <c r="A101" s="3086" t="s">
        <v>2294</v>
      </c>
      <c r="B101" s="3087"/>
      <c r="C101" s="736" t="str">
        <f>C4</f>
        <v>成本法</v>
      </c>
      <c r="D101" s="737" t="str">
        <f>D4</f>
        <v>收益法</v>
      </c>
      <c r="E101" s="3058" t="s">
        <v>2295</v>
      </c>
      <c r="F101" s="3059"/>
      <c r="G101" s="2516" t="s">
        <v>2296</v>
      </c>
      <c r="H101" s="1045">
        <f ca="1">H118</f>
        <v>1535</v>
      </c>
      <c r="I101" s="138"/>
    </row>
    <row r="102" spans="1:35" ht="18.75" customHeight="1">
      <c r="A102" s="3088" t="s">
        <v>2297</v>
      </c>
      <c r="B102" s="2516" t="s">
        <v>2296</v>
      </c>
      <c r="C102" s="736">
        <f ca="1">C19</f>
        <v>1628</v>
      </c>
      <c r="D102" s="737">
        <f ca="1">D19</f>
        <v>1441</v>
      </c>
      <c r="E102" s="3058"/>
      <c r="F102" s="3059"/>
      <c r="G102" s="2516" t="s">
        <v>2298</v>
      </c>
      <c r="H102" s="371">
        <f ca="1">I118</f>
        <v>7220</v>
      </c>
      <c r="I102" s="138"/>
    </row>
    <row r="103" spans="1:35" ht="42.75" customHeight="1">
      <c r="A103" s="3088"/>
      <c r="B103" s="2516" t="s">
        <v>2298</v>
      </c>
      <c r="C103" s="738">
        <f ca="1">C20</f>
        <v>7658</v>
      </c>
      <c r="D103" s="739">
        <f ca="1">D20</f>
        <v>6778</v>
      </c>
      <c r="E103" s="3052" t="s">
        <v>2299</v>
      </c>
      <c r="F103" s="3053"/>
      <c r="G103" s="2517" t="s">
        <v>2300</v>
      </c>
      <c r="H103" s="1045">
        <f>IF(D36="正常操作",H104+H105+H106,H105+H106)</f>
        <v>0</v>
      </c>
      <c r="I103" s="138"/>
    </row>
    <row r="104" spans="1:35" ht="18.75" customHeight="1">
      <c r="A104" s="3088" t="s">
        <v>2301</v>
      </c>
      <c r="B104" s="2518" t="s">
        <v>2296</v>
      </c>
      <c r="C104" s="740">
        <f ca="1">H118</f>
        <v>1535</v>
      </c>
      <c r="D104" s="741"/>
      <c r="E104" s="2263" t="s">
        <v>2302</v>
      </c>
      <c r="F104" s="2254"/>
      <c r="G104" s="2517" t="s">
        <v>2300</v>
      </c>
      <c r="H104" s="1046">
        <f>IF(D36="同一抵押权人同一抵押物续贷",C36&amp;"（未扣减，详见特别提示）",C36)</f>
        <v>0</v>
      </c>
      <c r="I104" s="138"/>
    </row>
    <row r="105" spans="1:35" ht="18.75" customHeight="1" thickBot="1">
      <c r="A105" s="3100"/>
      <c r="B105" s="2519" t="s">
        <v>2298</v>
      </c>
      <c r="C105" s="742">
        <f ca="1">I118</f>
        <v>7220</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89" t="str">
        <f>IF(项目基本情况!E8="已注销","——","3.房地产抵押价值")</f>
        <v>3.房地产抵押价值</v>
      </c>
      <c r="F107" s="3059"/>
      <c r="G107" s="2516" t="s">
        <v>2296</v>
      </c>
      <c r="H107" s="1045">
        <f ca="1">IF(E107="——","——",H101-H103)</f>
        <v>1535</v>
      </c>
      <c r="I107" s="138"/>
    </row>
    <row r="108" spans="1:35" ht="18.75" customHeight="1">
      <c r="A108" s="138"/>
      <c r="B108" s="138"/>
      <c r="C108" s="138"/>
      <c r="D108" s="138"/>
      <c r="E108" s="3089"/>
      <c r="F108" s="3059"/>
      <c r="G108" s="2516" t="s">
        <v>2298</v>
      </c>
      <c r="H108" s="371">
        <f ca="1">ROUND(H107*10000/'数据-汇总表'!E3,0)</f>
        <v>7220</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6" t="s">
        <v>2296</v>
      </c>
      <c r="H109" s="348" t="str">
        <f>IF(E109="——","——",H101-H105-H106)</f>
        <v>——</v>
      </c>
      <c r="I109" s="138"/>
    </row>
    <row r="110" spans="1:35" ht="18.75" customHeight="1">
      <c r="A110" s="138"/>
      <c r="B110" s="138"/>
      <c r="C110" s="138"/>
      <c r="D110" s="138"/>
      <c r="E110" s="3089"/>
      <c r="F110" s="3059"/>
      <c r="G110" s="2516" t="s">
        <v>2298</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6" t="s">
        <v>2296</v>
      </c>
      <c r="H111" s="1045" t="str">
        <f>IF(E111="——","——",N59)</f>
        <v>——</v>
      </c>
      <c r="I111" s="138"/>
    </row>
    <row r="112" spans="1:35" ht="18.75" customHeight="1" thickBot="1">
      <c r="A112" s="138"/>
      <c r="B112" s="138"/>
      <c r="C112" s="138"/>
      <c r="D112" s="138"/>
      <c r="E112" s="3092"/>
      <c r="F112" s="3093"/>
      <c r="G112" s="2521" t="s">
        <v>2298</v>
      </c>
      <c r="H112" s="790" t="str">
        <f>IF(E111="——","——",N61)</f>
        <v>——</v>
      </c>
      <c r="I112" s="138"/>
    </row>
    <row r="113" spans="1:11" ht="18.75" customHeight="1">
      <c r="A113" s="138"/>
      <c r="B113" s="138"/>
      <c r="C113" s="138"/>
      <c r="D113" s="138"/>
      <c r="E113" s="3101" t="s">
        <v>2304</v>
      </c>
      <c r="F113" s="3101"/>
      <c r="G113" s="3101"/>
      <c r="H113" s="3101"/>
      <c r="I113" s="138"/>
    </row>
    <row r="114" spans="1:11" ht="3.75" customHeight="1">
      <c r="A114" s="2414"/>
      <c r="B114" s="2414"/>
      <c r="C114" s="2414"/>
      <c r="D114" s="2414"/>
      <c r="E114" s="2492"/>
      <c r="F114" s="2492"/>
      <c r="G114" s="2492"/>
      <c r="H114" s="2492"/>
      <c r="I114" s="2414"/>
    </row>
    <row r="115" spans="1:11" ht="18.75" customHeight="1">
      <c r="A115" s="3114" t="s">
        <v>2306</v>
      </c>
      <c r="B115" s="3115"/>
      <c r="C115" s="3115"/>
      <c r="D115" s="3115"/>
      <c r="E115" s="3115"/>
      <c r="F115" s="3115"/>
      <c r="G115" s="3115"/>
      <c r="H115" s="3115"/>
      <c r="I115" s="3116"/>
    </row>
    <row r="116" spans="1:11" ht="27" customHeight="1">
      <c r="A116" s="3025" t="s">
        <v>2307</v>
      </c>
      <c r="B116" s="3068" t="s">
        <v>2308</v>
      </c>
      <c r="C116" s="3068" t="s">
        <v>2309</v>
      </c>
      <c r="D116" s="3074" t="s">
        <v>2310</v>
      </c>
      <c r="E116" s="3075"/>
      <c r="F116" s="3110" t="s">
        <v>3096</v>
      </c>
      <c r="G116" s="3110"/>
      <c r="H116" s="3025" t="s">
        <v>2311</v>
      </c>
      <c r="I116" s="3025"/>
    </row>
    <row r="117" spans="1:11" ht="18.75" customHeight="1">
      <c r="A117" s="3025"/>
      <c r="B117" s="3069"/>
      <c r="C117" s="3069"/>
      <c r="D117" s="1795" t="s">
        <v>2312</v>
      </c>
      <c r="E117" s="1795" t="s">
        <v>2313</v>
      </c>
      <c r="F117" s="1795" t="s">
        <v>2312</v>
      </c>
      <c r="G117" s="1795" t="s">
        <v>2314</v>
      </c>
      <c r="H117" s="1795" t="s">
        <v>2312</v>
      </c>
      <c r="I117" s="1795" t="s">
        <v>2314</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1137</v>
      </c>
      <c r="E118" s="1795">
        <f ca="1">ROUND(IF(C33="自定义",IF(D32="楼面单价",C34,D118*10000/B118),I118-G118),0)</f>
        <v>5348</v>
      </c>
      <c r="F118" s="1795">
        <f ca="1">ROUND(IF(D32="总价",C35,G118*B118/10000),0)</f>
        <v>398</v>
      </c>
      <c r="G118" s="1795">
        <f ca="1">ROUND(IF(D32="楼面单价",C35,F118*10000/B118),0)</f>
        <v>1872</v>
      </c>
      <c r="H118" s="1795">
        <f ca="1">ROUND(IF(D32="总价",C32,I118*B118/10000),0)</f>
        <v>1535</v>
      </c>
      <c r="I118" s="1795">
        <f ca="1">ROUND(IF(D32="楼面单价",C32,H118*10000/B118),0)</f>
        <v>7220</v>
      </c>
    </row>
    <row r="119" spans="1:11" ht="18.75" customHeight="1">
      <c r="A119" s="3025" t="s">
        <v>2315</v>
      </c>
      <c r="B119" s="3025"/>
      <c r="C119" s="3025"/>
      <c r="D119" s="3070" t="str">
        <f ca="1">NUMBERSTRING(INT(D118*10000),2)&amp;"元整"</f>
        <v>壹仟壹佰叁拾柒万元整</v>
      </c>
      <c r="E119" s="3071"/>
      <c r="F119" s="3070" t="str">
        <f ca="1">NUMBERSTRING(INT(F118*10000),2)&amp;"元整"</f>
        <v>叁佰玖拾捌万元整</v>
      </c>
      <c r="G119" s="3071"/>
      <c r="H119" s="3070" t="str">
        <f ca="1">NUMBERSTRING(INT(H118*10000),2)&amp;"元整"</f>
        <v>壹仟伍佰叁拾伍万元整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19" t="str">
        <f>IF(D120=0,"故，本次评估不存在"&amp;A120,"故，本次评估"&amp;A120&amp;"为人民币"&amp;D120&amp;"万元整。")</f>
        <v>故，本次评估不存在估价师知悉的法定优先受偿款</v>
      </c>
    </row>
    <row r="121" spans="1:11" ht="18.75" customHeight="1">
      <c r="A121" s="3111" t="s">
        <v>2315</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1535</v>
      </c>
      <c r="E122" s="3066"/>
      <c r="F122" s="3066"/>
      <c r="G122" s="3066"/>
      <c r="H122" s="3066"/>
      <c r="I122" s="3067"/>
    </row>
    <row r="123" spans="1:11" ht="18.75" customHeight="1">
      <c r="A123" s="3025" t="s">
        <v>2315</v>
      </c>
      <c r="B123" s="3025"/>
      <c r="C123" s="3025"/>
      <c r="D123" s="3070" t="str">
        <f ca="1">NUMBERSTRING(INT(D122*10000),2)&amp;"元整"</f>
        <v>壹仟伍佰叁拾伍万元整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2315</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2315</v>
      </c>
      <c r="B127" s="3025"/>
      <c r="C127" s="3025"/>
      <c r="D127" s="3070" t="e">
        <f>NUMBERSTRING(INT(D126*10000),2)&amp;"元整"</f>
        <v>#VALUE!</v>
      </c>
      <c r="E127" s="3072"/>
      <c r="F127" s="3072"/>
      <c r="G127" s="3072"/>
      <c r="H127" s="3072"/>
      <c r="I127" s="3071"/>
    </row>
    <row r="128" spans="1:11" ht="21.75" customHeight="1">
      <c r="A128" s="3073" t="s">
        <v>2316</v>
      </c>
      <c r="B128" s="3073"/>
      <c r="C128" s="3073"/>
      <c r="D128" s="3073"/>
      <c r="E128" s="3073"/>
      <c r="F128" s="3073"/>
      <c r="G128" s="3073"/>
      <c r="H128" s="3073"/>
      <c r="I128" s="3073"/>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517</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2432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340157</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340157</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425196</v>
      </c>
      <c r="D19" s="1036">
        <f ca="1">D9+D10</f>
        <v>2125.98</v>
      </c>
      <c r="E19" s="255">
        <f>'数据-取费表'!B31</f>
        <v>200</v>
      </c>
      <c r="F19" s="275"/>
      <c r="G19" s="2548"/>
    </row>
    <row r="20" spans="1:7" s="258" customFormat="1" ht="13.5" customHeight="1">
      <c r="A20" s="299" t="s">
        <v>2437</v>
      </c>
      <c r="B20" s="254" t="s">
        <v>2438</v>
      </c>
      <c r="C20" s="276">
        <f ca="1">ROUND((C5+C19)*F20,0)</f>
        <v>15307</v>
      </c>
      <c r="D20" s="276"/>
      <c r="E20" s="276"/>
      <c r="F20" s="277">
        <f>'数据-取费表'!B37</f>
        <v>0.02</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0">
        <f ca="1">ROUND(SUM(C23:C25),0)</f>
        <v>33626</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14797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18496</v>
      </c>
      <c r="D24" s="282"/>
      <c r="E24" s="282"/>
      <c r="F24" s="283"/>
      <c r="G24" s="284" t="s">
        <v>2449</v>
      </c>
    </row>
    <row r="25" spans="1:7" s="258" customFormat="1" ht="24">
      <c r="A25" s="951" t="s">
        <v>2339</v>
      </c>
      <c r="B25" s="259" t="s">
        <v>2450</v>
      </c>
      <c r="C25" s="1381">
        <f ca="1">ROUND(IF('数据-取费表'!B22&lt;=1,C20*F22*'数据-取费表'!B22/2,C20*(POWER((1+F22),'数据-取费表'!B22/2)-1)),0)</f>
        <v>333</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78066</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ROUND((C5+C19+C20)*F27,0)</f>
        <v>78066</v>
      </c>
      <c r="D28" s="279"/>
      <c r="E28" s="280"/>
      <c r="F28" s="290"/>
      <c r="G28" s="291"/>
    </row>
    <row r="29" spans="1:7" s="258" customFormat="1" ht="13.5" customHeight="1">
      <c r="A29" s="951" t="s">
        <v>792</v>
      </c>
      <c r="B29" s="292" t="s">
        <v>2380</v>
      </c>
      <c r="C29" s="282">
        <f ca="1">ROUND(C21*F27,4)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952960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4855164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4239204</v>
      </c>
      <c r="D34" s="261"/>
      <c r="E34" s="264"/>
      <c r="F34" s="301"/>
      <c r="G34" s="263"/>
    </row>
    <row r="35" spans="1:7" ht="13.5" customHeight="1">
      <c r="A35" s="951" t="s">
        <v>796</v>
      </c>
      <c r="B35" s="259" t="s">
        <v>2390</v>
      </c>
      <c r="C35" s="264">
        <f ca="1">ROUND(C34*F35,0)</f>
        <v>127176</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425196</v>
      </c>
      <c r="D37" s="261">
        <f ca="1">D19</f>
        <v>2125.98</v>
      </c>
      <c r="E37" s="293">
        <f>'数据-取费表'!B35</f>
        <v>200</v>
      </c>
      <c r="F37" s="303"/>
      <c r="G37" s="305"/>
    </row>
    <row r="38" spans="1:7" ht="13.5" customHeight="1">
      <c r="A38" s="951" t="s">
        <v>799</v>
      </c>
      <c r="B38" s="259" t="s">
        <v>2396</v>
      </c>
      <c r="C38" s="264">
        <f ca="1">ROUND(C34*F38,0)</f>
        <v>63588</v>
      </c>
      <c r="D38" s="264"/>
      <c r="E38" s="264"/>
      <c r="F38" s="303">
        <f>'数据-取费表'!B36</f>
        <v>1.4999999999999999E-2</v>
      </c>
      <c r="G38" s="263" t="s">
        <v>2391</v>
      </c>
    </row>
    <row r="39" spans="1:7" s="258" customFormat="1" ht="13.5" customHeight="1">
      <c r="A39" s="299" t="s">
        <v>2397</v>
      </c>
      <c r="B39" s="254" t="s">
        <v>2398</v>
      </c>
      <c r="C39" s="276">
        <f ca="1">ROUND(C33*F20,0)</f>
        <v>97103</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107712</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105600</v>
      </c>
      <c r="D42" s="282"/>
      <c r="E42" s="282"/>
      <c r="F42" s="283"/>
      <c r="G42" s="3145" t="s">
        <v>2454</v>
      </c>
    </row>
    <row r="43" spans="1:7" ht="13.5" customHeight="1">
      <c r="A43" s="951" t="s">
        <v>792</v>
      </c>
      <c r="B43" s="259" t="s">
        <v>2408</v>
      </c>
      <c r="C43" s="282">
        <f ca="1">ROUND(IF('数据-取费表'!B22&lt;=1,C39*F22*'数据-取费表'!B20/2,C39*(POWER((1+F22),'数据-取费表'!B20/2)-1)),0)</f>
        <v>2112</v>
      </c>
      <c r="D43" s="282"/>
      <c r="E43" s="282"/>
      <c r="F43" s="283"/>
      <c r="G43" s="3146"/>
    </row>
    <row r="44" spans="1:7" ht="13.5" customHeight="1">
      <c r="A44" s="951" t="s">
        <v>793</v>
      </c>
      <c r="B44" s="259" t="s">
        <v>2409</v>
      </c>
      <c r="C44" s="282">
        <f ca="1">ROUND(IF('数据-取费表'!B22&lt;=1,C40*F22*'数据-取费表'!B20/2,C40*(POWER((1+F22),'数据-取费表'!B20/2)-1)),4)</f>
        <v>2.0000000000000001E-4</v>
      </c>
      <c r="D44" s="282"/>
      <c r="E44" s="282"/>
      <c r="F44" s="283"/>
      <c r="G44" s="3147"/>
    </row>
    <row r="45" spans="1:7" s="258" customFormat="1" ht="13.5" customHeight="1">
      <c r="A45" s="299" t="s">
        <v>2410</v>
      </c>
      <c r="B45" s="288" t="s">
        <v>2376</v>
      </c>
      <c r="C45" s="289">
        <f ca="1">C46</f>
        <v>495227</v>
      </c>
      <c r="D45" s="279">
        <f ca="1">C47</f>
        <v>1E-3</v>
      </c>
      <c r="E45" s="280" t="s">
        <v>2402</v>
      </c>
      <c r="F45" s="290"/>
      <c r="G45" s="291" t="s">
        <v>2411</v>
      </c>
    </row>
    <row r="46" spans="1:7" s="258" customFormat="1" ht="13.5" customHeight="1">
      <c r="A46" s="951" t="s">
        <v>791</v>
      </c>
      <c r="B46" s="292" t="s">
        <v>2412</v>
      </c>
      <c r="C46" s="293">
        <f ca="1">ROUND((C33+C39)*F27,0)</f>
        <v>495227</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5932514</v>
      </c>
      <c r="D49" s="276"/>
      <c r="E49" s="276"/>
      <c r="F49" s="308"/>
      <c r="G49" s="278" t="s">
        <v>2417</v>
      </c>
    </row>
    <row r="50" spans="1:7" s="302" customFormat="1">
      <c r="A50" s="299" t="s">
        <v>2418</v>
      </c>
      <c r="B50" s="254" t="s">
        <v>2419</v>
      </c>
      <c r="C50" s="276"/>
      <c r="D50" s="276"/>
      <c r="E50" s="276"/>
      <c r="F50" s="308">
        <f>IF('数据-取费表'!B24=0,'数据-取费表'!N16,1)</f>
        <v>0.71</v>
      </c>
      <c r="G50" s="291"/>
    </row>
    <row r="51" spans="1:7" ht="16.5" customHeight="1">
      <c r="A51" s="299" t="s">
        <v>2421</v>
      </c>
      <c r="B51" s="254" t="s">
        <v>2456</v>
      </c>
      <c r="C51" s="276">
        <f ca="1">ROUND(C49*F50,0)</f>
        <v>4212085</v>
      </c>
      <c r="D51" s="276"/>
      <c r="E51" s="276"/>
      <c r="F51" s="308"/>
      <c r="G51" s="278" t="s">
        <v>2423</v>
      </c>
    </row>
    <row r="52" spans="1:7" s="252" customFormat="1" ht="16.5" thickBot="1">
      <c r="A52" s="309" t="s">
        <v>2424</v>
      </c>
      <c r="B52" s="310"/>
      <c r="C52" s="311">
        <f ca="1">C31+C51</f>
        <v>5165045</v>
      </c>
      <c r="D52" s="310"/>
      <c r="E52" s="310"/>
      <c r="F52" s="310"/>
      <c r="G52" s="312"/>
    </row>
    <row r="55" spans="1:7" ht="15">
      <c r="B55" s="314" t="s">
        <v>2425</v>
      </c>
      <c r="C55" s="315"/>
    </row>
    <row r="56" spans="1:7">
      <c r="B56" s="317" t="s">
        <v>1507</v>
      </c>
      <c r="C56" s="319">
        <f ca="1">1-C57</f>
        <v>0.18500000000000005</v>
      </c>
    </row>
    <row r="57" spans="1:7">
      <c r="B57" s="317" t="s">
        <v>1508</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北京市北京市怀柔区北房镇龙云路9号1幢1至3层；2幢1层；3幢1层；4幢1层出让国有建设用地使用权及在建建筑物房地产抵押价值预评估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2125.98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2125.98</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4"/>
      <c r="H18" s="1577"/>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topLeftCell="A28" zoomScale="70" zoomScaleNormal="70"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1441</v>
      </c>
      <c r="C2" s="1845" t="s">
        <v>1510</v>
      </c>
      <c r="D2" s="1845"/>
      <c r="E2" s="1846"/>
      <c r="F2" s="1847"/>
      <c r="G2" s="1848"/>
      <c r="H2" s="1840"/>
      <c r="I2" s="1840"/>
      <c r="J2" s="1840"/>
      <c r="K2" s="1841"/>
      <c r="L2" s="1840"/>
      <c r="M2" s="1840"/>
    </row>
    <row r="3" spans="1:37" ht="18" customHeight="1" thickBot="1">
      <c r="A3" s="1849" t="s">
        <v>1511</v>
      </c>
      <c r="B3" s="1850">
        <f ca="1">IF(ISERROR(B2*10000/F43),0,ROUND(B2*10000/F43,0))</f>
        <v>6778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50" t="s">
        <v>1397</v>
      </c>
      <c r="C6" s="1296">
        <f ca="1">ROUND(F6*F8*F7*(1-F9)/10000,0)</f>
        <v>112</v>
      </c>
      <c r="D6" s="164" t="s">
        <v>3027</v>
      </c>
      <c r="E6" s="347" t="s">
        <v>1399</v>
      </c>
      <c r="F6" s="348">
        <f ca="1">INDIRECT("'数据-取费表'!u"&amp;$G$1)</f>
        <v>1.6</v>
      </c>
      <c r="G6" s="1851"/>
      <c r="H6" s="1291" t="s">
        <v>1031</v>
      </c>
      <c r="I6" s="3150" t="s">
        <v>1397</v>
      </c>
      <c r="J6" s="346">
        <f ca="1">ROUND(M6*M8*M7*(1-M9)/10000,0)</f>
        <v>0</v>
      </c>
      <c r="K6" s="164" t="s">
        <v>3026</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2125.98</v>
      </c>
      <c r="G7" s="1851"/>
      <c r="H7" s="349"/>
      <c r="I7" s="3151"/>
      <c r="J7" s="351"/>
      <c r="K7" s="352"/>
      <c r="L7" s="347" t="s">
        <v>1400</v>
      </c>
      <c r="M7" s="348">
        <f ca="1">F7</f>
        <v>2125.98</v>
      </c>
    </row>
    <row r="8" spans="1:37" ht="18" customHeight="1">
      <c r="A8" s="349"/>
      <c r="B8" s="3151"/>
      <c r="C8" s="351"/>
      <c r="D8" s="352"/>
      <c r="E8" s="347" t="s">
        <v>1401</v>
      </c>
      <c r="F8" s="348">
        <f ca="1">INDIRECT("'数据-取费表'!ai"&amp;$G$1)</f>
        <v>365</v>
      </c>
      <c r="G8" s="1851"/>
      <c r="H8" s="349"/>
      <c r="I8" s="3151"/>
      <c r="J8" s="351"/>
      <c r="K8" s="352"/>
      <c r="L8" s="347" t="s">
        <v>1401</v>
      </c>
      <c r="M8" s="348">
        <f ca="1">INDIRECT("'数据-取费表'!ai"&amp;$G$1)</f>
        <v>365</v>
      </c>
    </row>
    <row r="9" spans="1:37" ht="18" customHeight="1">
      <c r="A9" s="349"/>
      <c r="B9" s="3152"/>
      <c r="C9" s="351"/>
      <c r="D9" s="352"/>
      <c r="E9" s="347" t="s">
        <v>1402</v>
      </c>
      <c r="F9" s="357">
        <f ca="1">INDIRECT("'数据-取费表'!w"&amp;$G$1)</f>
        <v>0.1</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3036</v>
      </c>
      <c r="E10" s="358" t="s">
        <v>1404</v>
      </c>
      <c r="F10" s="1366" t="s">
        <v>3072</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422</v>
      </c>
      <c r="D13" s="1331" t="s">
        <v>1409</v>
      </c>
      <c r="E13" s="1331" t="s">
        <v>1410</v>
      </c>
      <c r="F13" s="1332">
        <f ca="1">INDIRECT("'数据-取费表'!y"&amp;$G$1)</f>
        <v>0.71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424</v>
      </c>
      <c r="D14" s="1800" t="s">
        <v>1412</v>
      </c>
      <c r="E14" s="1794"/>
      <c r="F14" s="364"/>
      <c r="G14" s="1851"/>
      <c r="H14" s="1201" t="s">
        <v>1031</v>
      </c>
      <c r="I14" s="347" t="s">
        <v>1413</v>
      </c>
      <c r="J14" s="24">
        <f ca="1">C29</f>
        <v>595</v>
      </c>
      <c r="K14" s="15"/>
      <c r="L14" s="979"/>
      <c r="M14" s="980"/>
    </row>
    <row r="15" spans="1:37" s="1858" customFormat="1" ht="18" customHeight="1" thickBot="1">
      <c r="A15" s="1201" t="s">
        <v>1032</v>
      </c>
      <c r="B15" s="347" t="s">
        <v>1414</v>
      </c>
      <c r="C15" s="24">
        <f ca="1">ROUND(C14*F15,0)</f>
        <v>13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6.4</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486</v>
      </c>
      <c r="D19" s="140" t="s">
        <v>1430</v>
      </c>
      <c r="E19" s="1818"/>
      <c r="F19" s="26"/>
      <c r="G19" s="1851"/>
      <c r="H19" s="1201" t="s">
        <v>1032</v>
      </c>
      <c r="I19" s="347" t="s">
        <v>1431</v>
      </c>
      <c r="J19" s="24">
        <f ca="1">IF(K19="按租金收入计税",ROUND(J6*M19/(1+'数据-取费表'!C42),2),ROUND(C29*M19*0.7,2))</f>
        <v>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10</v>
      </c>
      <c r="D20" s="369" t="s">
        <v>1434</v>
      </c>
      <c r="E20" s="347" t="s">
        <v>1416</v>
      </c>
      <c r="F20" s="367">
        <f>'数据-取费表'!B37</f>
        <v>0.02</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8.9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v>
      </c>
      <c r="K25" s="1345" t="s">
        <v>1458</v>
      </c>
      <c r="L25" s="1346"/>
      <c r="M25" s="1347"/>
    </row>
    <row r="26" spans="1:37">
      <c r="A26" s="1201" t="s">
        <v>1030</v>
      </c>
      <c r="B26" s="347" t="s">
        <v>1459</v>
      </c>
      <c r="C26" s="24">
        <f ca="1">ROUND((C19+C20)*F26,0)</f>
        <v>50</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595</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3073</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8.9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81.099999999999994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1441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6778</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-2313</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3074</v>
      </c>
      <c r="K47" s="1882" t="s">
        <v>1521</v>
      </c>
      <c r="L47" s="1883">
        <f ca="1">INDIRECT("'数据-取费表'!d"&amp;$G$1)</f>
        <v>50</v>
      </c>
      <c r="M47" s="1838" t="str">
        <f>IF(ISNUMBER(FIND("住宅",C1)),"住宅","非住宅")</f>
        <v>非住宅</v>
      </c>
      <c r="O47" s="1884" t="s">
        <v>1036</v>
      </c>
      <c r="P47" s="1885" t="s">
        <v>1522</v>
      </c>
      <c r="Q47" s="1886">
        <f ca="1">C40+J29</f>
        <v>1441</v>
      </c>
      <c r="R47" s="1886" t="s">
        <v>1523</v>
      </c>
    </row>
    <row r="48" spans="1:18" s="1842" customFormat="1" ht="28.5" thickBot="1">
      <c r="A48" s="1360" t="s">
        <v>1131</v>
      </c>
      <c r="B48" s="345" t="s">
        <v>1395</v>
      </c>
      <c r="C48" s="1817">
        <f ca="1">C49+C53+C55</f>
        <v>0</v>
      </c>
      <c r="D48" s="1362"/>
      <c r="E48" s="1363"/>
      <c r="F48" s="1181"/>
      <c r="G48" s="792"/>
      <c r="H48" s="793"/>
      <c r="I48" s="1887" t="s">
        <v>1524</v>
      </c>
      <c r="J48" s="1888" t="s">
        <v>3075</v>
      </c>
      <c r="K48" s="1889" t="s">
        <v>1525</v>
      </c>
      <c r="L48" s="1890">
        <f ca="1">INDIRECT("'数据-取费表'!f"&amp;$G$1)</f>
        <v>28.82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2003</v>
      </c>
      <c r="K49" s="1889" t="s">
        <v>1529</v>
      </c>
      <c r="L49" s="1893"/>
      <c r="O49" s="1894" t="s">
        <v>1038</v>
      </c>
      <c r="P49" s="1885" t="s">
        <v>1530</v>
      </c>
      <c r="Q49" s="1886">
        <f ca="1">C29</f>
        <v>595</v>
      </c>
      <c r="R49" s="1886" t="s">
        <v>1523</v>
      </c>
    </row>
    <row r="50" spans="1:18" s="1842" customFormat="1" ht="13.5"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683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48">
        <f ca="1">IF(M47="住宅",IF(D1="——",MAX(J51,L48),MAX(J51,L48-'数据-取费表'!B24)),IF(D1="——",MIN(J51,L48),MIN(J51,L48-'数据-取费表'!B24)))</f>
        <v>28.82</v>
      </c>
      <c r="K53" s="3148" t="s">
        <v>1542</v>
      </c>
      <c r="L53" s="3149"/>
      <c r="O53" s="1884" t="s">
        <v>1042</v>
      </c>
      <c r="P53" s="1885" t="s">
        <v>1543</v>
      </c>
      <c r="Q53" s="1886">
        <f ca="1">Q47+Q48</f>
        <v>1441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422</v>
      </c>
      <c r="D56" s="1913"/>
      <c r="E56" s="1914"/>
      <c r="F56" s="1906"/>
      <c r="I56" s="1915" t="s">
        <v>1548</v>
      </c>
      <c r="J56" s="1916" t="s">
        <v>3060</v>
      </c>
      <c r="K56" s="1887" t="s">
        <v>1549</v>
      </c>
      <c r="L56" s="1890" t="str">
        <f ca="1">IF(L48&lt;J51,"——",L48-J53)</f>
        <v>——</v>
      </c>
      <c r="O56" s="1884" t="s">
        <v>1036</v>
      </c>
      <c r="P56" s="1885" t="s">
        <v>1522</v>
      </c>
      <c r="Q56" s="1886">
        <f ca="1">C40+J29</f>
        <v>1441</v>
      </c>
      <c r="R56" s="1886" t="s">
        <v>1523</v>
      </c>
    </row>
    <row r="57" spans="1:18" s="1842" customFormat="1" ht="24.75" thickBot="1">
      <c r="A57" s="1917"/>
      <c r="B57" s="1169" t="s">
        <v>1472</v>
      </c>
      <c r="C57" s="282">
        <f ca="1">C29</f>
        <v>595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51.4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49.98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1441</v>
      </c>
      <c r="R62" s="1886" t="s">
        <v>1043</v>
      </c>
    </row>
    <row r="63" spans="1:18" s="1842" customFormat="1" ht="13.5"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0.6</v>
      </c>
      <c r="D65" s="1183" t="s">
        <v>1448</v>
      </c>
      <c r="E65" s="1169" t="s">
        <v>1449</v>
      </c>
      <c r="F65" s="376">
        <f t="shared" ca="1" si="0"/>
        <v>1.5E-3</v>
      </c>
      <c r="I65" s="1928" t="s">
        <v>1573</v>
      </c>
      <c r="J65" s="1929">
        <v>40</v>
      </c>
      <c r="K65" s="1929">
        <v>30</v>
      </c>
      <c r="L65" s="1929">
        <v>50</v>
      </c>
      <c r="M65" s="1931">
        <v>0.02</v>
      </c>
      <c r="O65" s="1884" t="s">
        <v>1036</v>
      </c>
      <c r="P65" s="1885" t="s">
        <v>1574</v>
      </c>
      <c r="Q65" s="1886">
        <f ca="1">C40+J29</f>
        <v>1441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-61</v>
      </c>
      <c r="D67" s="1182" t="s">
        <v>1458</v>
      </c>
      <c r="E67" s="1187"/>
      <c r="F67" s="1188"/>
      <c r="O67" s="1894" t="s">
        <v>1038</v>
      </c>
      <c r="P67" s="1885" t="s">
        <v>1556</v>
      </c>
      <c r="Q67" s="1932">
        <f ca="1">L51</f>
        <v>683</v>
      </c>
      <c r="R67" s="1886" t="s">
        <v>1576</v>
      </c>
    </row>
    <row r="68" spans="1:18" s="1842" customFormat="1" ht="16.5" thickBot="1">
      <c r="A68" s="1166" t="s">
        <v>1028</v>
      </c>
      <c r="B68" s="1167" t="s">
        <v>1479</v>
      </c>
      <c r="C68" s="346">
        <f ca="1">ROUND(C67*(1-((1+F70)/(1+F68))^F69)/(F68-F70),0)</f>
        <v>-872</v>
      </c>
      <c r="D68" s="1184" t="s">
        <v>1463</v>
      </c>
      <c r="E68" s="1169" t="s">
        <v>1464</v>
      </c>
      <c r="F68" s="357">
        <f ca="1">F40</f>
        <v>5.5E-2</v>
      </c>
      <c r="O68" s="1894" t="s">
        <v>1039</v>
      </c>
      <c r="P68" s="1933" t="s">
        <v>1577</v>
      </c>
      <c r="Q68" s="1886">
        <f ca="1">ROUND(Q69-Q70*Q71,0)</f>
        <v>45</v>
      </c>
      <c r="R68" s="1886" t="s">
        <v>1047</v>
      </c>
    </row>
    <row r="69" spans="1:18" s="1842" customFormat="1" ht="13.5" thickBot="1">
      <c r="A69" s="1170"/>
      <c r="B69" s="1171"/>
      <c r="C69" s="351"/>
      <c r="D69" s="1189" t="s">
        <v>1467</v>
      </c>
      <c r="E69" s="1169" t="s">
        <v>1468</v>
      </c>
      <c r="F69" s="379">
        <f ca="1">F41</f>
        <v>28.82</v>
      </c>
      <c r="O69" s="1894" t="s">
        <v>1044</v>
      </c>
      <c r="P69" s="1933" t="s">
        <v>1578</v>
      </c>
      <c r="Q69" s="1886">
        <f ca="1">C39</f>
        <v>81.099999999999994</v>
      </c>
      <c r="R69" s="1886" t="s">
        <v>1523</v>
      </c>
    </row>
    <row r="70" spans="1:18" s="1842" customFormat="1" ht="13.5" thickBot="1">
      <c r="A70" s="1173"/>
      <c r="B70" s="1174"/>
      <c r="C70" s="355"/>
      <c r="D70" s="1185"/>
      <c r="E70" s="1169" t="s">
        <v>1471</v>
      </c>
      <c r="F70" s="1275"/>
      <c r="O70" s="1894" t="s">
        <v>1045</v>
      </c>
      <c r="P70" s="1933" t="s">
        <v>1579</v>
      </c>
      <c r="Q70" s="1886">
        <f ca="1">C13</f>
        <v>422</v>
      </c>
      <c r="R70" s="1886" t="s">
        <v>1523</v>
      </c>
    </row>
    <row r="71" spans="1:18" s="1842" customFormat="1" ht="13.5" thickBot="1">
      <c r="A71" s="1190" t="s">
        <v>1029</v>
      </c>
      <c r="B71" s="1191" t="s">
        <v>1481</v>
      </c>
      <c r="C71" s="382">
        <f ca="1">ROUND(C68*10000/F71,0)</f>
        <v>-4102</v>
      </c>
      <c r="D71" s="1192" t="s">
        <v>1482</v>
      </c>
      <c r="E71" s="1193" t="s">
        <v>1483</v>
      </c>
      <c r="F71" s="385">
        <f ca="1">F43</f>
        <v>2125.98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36</v>
      </c>
      <c r="D75" s="1842"/>
      <c r="E75" s="1842"/>
      <c r="F75" s="1842"/>
      <c r="K75" s="1868"/>
      <c r="L75" s="1842"/>
      <c r="O75" s="1884" t="s">
        <v>1042</v>
      </c>
      <c r="P75" s="1885" t="s">
        <v>1543</v>
      </c>
      <c r="Q75" s="1886">
        <f ca="1">Q65+Q66</f>
        <v>1441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0.55600000000000005</v>
      </c>
    </row>
    <row r="80" spans="1:18">
      <c r="B80" s="386" t="s">
        <v>1505</v>
      </c>
      <c r="C80" s="318">
        <f ca="1">ROUND(C75/C39,3)</f>
        <v>0.44400000000000001</v>
      </c>
    </row>
    <row r="81" spans="2:3">
      <c r="B81" s="314" t="s">
        <v>1506</v>
      </c>
      <c r="C81" s="282"/>
    </row>
    <row r="82" spans="2:3">
      <c r="B82" s="317" t="s">
        <v>1507</v>
      </c>
      <c r="C82" s="319">
        <f ca="1">1-C83</f>
        <v>0.70700000000000007</v>
      </c>
    </row>
    <row r="83" spans="2:3">
      <c r="B83" s="317" t="s">
        <v>1508</v>
      </c>
      <c r="C83" s="318">
        <f ca="1">ROUND(C13/C40,3)</f>
        <v>0.29299999999999998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0" t="s">
        <v>1397</v>
      </c>
      <c r="C6" s="1296">
        <f ca="1">ROUND(F6*F8*F7*(1-F9),0)</f>
        <v>0</v>
      </c>
      <c r="D6" s="164" t="s">
        <v>3024</v>
      </c>
      <c r="E6" s="347" t="s">
        <v>1399</v>
      </c>
      <c r="F6" s="348">
        <f ca="1">INDIRECT("'数据-取费表'!u"&amp;$G$1)</f>
        <v>0</v>
      </c>
      <c r="G6" s="1851"/>
      <c r="H6" s="1291" t="s">
        <v>1031</v>
      </c>
      <c r="I6" s="3150" t="s">
        <v>1397</v>
      </c>
      <c r="J6" s="346">
        <f ca="1">ROUND(M6*M8*M7*(1-M9),0)</f>
        <v>0</v>
      </c>
      <c r="K6" s="1834" t="s">
        <v>3025</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0</v>
      </c>
      <c r="G7" s="1851"/>
      <c r="H7" s="349"/>
      <c r="I7" s="3151"/>
      <c r="J7" s="351"/>
      <c r="K7" s="352"/>
      <c r="L7" s="347" t="s">
        <v>1400</v>
      </c>
      <c r="M7" s="348">
        <f ca="1">F7</f>
        <v>0</v>
      </c>
    </row>
    <row r="8" spans="1:37" ht="18" customHeight="1">
      <c r="A8" s="349"/>
      <c r="B8" s="3151"/>
      <c r="C8" s="351"/>
      <c r="D8" s="352"/>
      <c r="E8" s="347" t="s">
        <v>1401</v>
      </c>
      <c r="F8" s="348">
        <f ca="1">INDIRECT("'数据-取费表'!ai"&amp;$G$1)</f>
        <v>0</v>
      </c>
      <c r="G8" s="1851"/>
      <c r="H8" s="349"/>
      <c r="I8" s="3151"/>
      <c r="J8" s="351"/>
      <c r="K8" s="352"/>
      <c r="L8" s="347" t="s">
        <v>1401</v>
      </c>
      <c r="M8" s="348">
        <f ca="1">INDIRECT("'数据-取费表'!ai"&amp;$G$1)</f>
        <v>0</v>
      </c>
    </row>
    <row r="9" spans="1:37" ht="18" customHeight="1">
      <c r="A9" s="349"/>
      <c r="B9" s="3152"/>
      <c r="C9" s="351"/>
      <c r="D9" s="352"/>
      <c r="E9" s="347" t="s">
        <v>1402</v>
      </c>
      <c r="F9" s="357">
        <f ca="1">INDIRECT("'数据-取费表'!w"&amp;$G$1)</f>
        <v>0</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48">
        <f ca="1">IF(M47="住宅",IF(D1="——",MAX(J51,L48),MAX(J51,L48-'数据-取费表'!B24)),IF(D1="——",MIN(J51,L48),MIN(J51,L48-'数据-取费表'!B24)))</f>
        <v>0</v>
      </c>
      <c r="K53" s="3148" t="s">
        <v>1542</v>
      </c>
      <c r="L53" s="314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2524</v>
      </c>
      <c r="B1" s="2560"/>
      <c r="C1" s="2560"/>
      <c r="D1" s="2560"/>
      <c r="E1" s="2561"/>
    </row>
    <row r="2" spans="1:6" ht="15.75">
      <c r="A2" s="2562" t="s">
        <v>2325</v>
      </c>
      <c r="B2" s="2563">
        <f ca="1">SUMIF(B6:B13,"&lt;&gt;#ref!",B6:B13)</f>
        <v>1441</v>
      </c>
      <c r="C2" s="2564" t="s">
        <v>2517</v>
      </c>
      <c r="D2" s="2565" t="s">
        <v>2518</v>
      </c>
      <c r="E2" s="2566">
        <f>SUM(E6:E13)</f>
        <v>2125.98</v>
      </c>
    </row>
    <row r="3" spans="1:6" ht="15.75">
      <c r="A3" s="2562" t="s">
        <v>1389</v>
      </c>
      <c r="B3" s="2563">
        <f ca="1">ROUND(B2*10000/E2,0)</f>
        <v>6778</v>
      </c>
      <c r="C3" s="2564" t="s">
        <v>2525</v>
      </c>
      <c r="D3" s="2567"/>
      <c r="E3" s="2568"/>
    </row>
    <row r="4" spans="1:6" ht="15.75">
      <c r="A4" s="2569"/>
      <c r="B4" s="2567"/>
      <c r="C4" s="2567"/>
      <c r="D4" s="2567"/>
      <c r="E4" s="2568"/>
    </row>
    <row r="5" spans="1:6" ht="15">
      <c r="A5" s="2570" t="s">
        <v>2519</v>
      </c>
      <c r="B5" s="3153" t="s">
        <v>2520</v>
      </c>
      <c r="C5" s="3153"/>
      <c r="D5" s="2571"/>
      <c r="E5" s="2572" t="s">
        <v>2521</v>
      </c>
      <c r="F5" s="2573" t="s">
        <v>2522</v>
      </c>
    </row>
    <row r="6" spans="1:6">
      <c r="A6" s="2574" t="str">
        <f>'数据-取费表'!AN6</f>
        <v>收益法</v>
      </c>
      <c r="B6" s="2573">
        <f ca="1">IF(F6="是",'数据-取费表'!AO6,0)</f>
        <v>1441</v>
      </c>
      <c r="C6" s="2564" t="s">
        <v>2517</v>
      </c>
      <c r="D6" s="2567"/>
      <c r="E6" s="2575">
        <f>IF(OR(A6=0,F6="否"),0,'数据-取费表'!K6+'数据-取费表'!S6)</f>
        <v>2125.98</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4" t="s">
        <v>1072</v>
      </c>
      <c r="B1" s="3155"/>
      <c r="C1" s="3156"/>
      <c r="D1" s="3157">
        <f>SUM(I10,I15,I20,I21,I23)</f>
        <v>0</v>
      </c>
      <c r="E1" s="3157"/>
      <c r="F1" s="3157"/>
      <c r="G1" s="3157"/>
      <c r="H1" s="3157"/>
      <c r="I1" s="3158"/>
    </row>
    <row r="2" spans="1:9">
      <c r="A2" s="3159" t="s">
        <v>1073</v>
      </c>
      <c r="B2" s="3160" t="s">
        <v>1074</v>
      </c>
      <c r="C2" s="3160"/>
      <c r="D2" s="1301" t="s">
        <v>1075</v>
      </c>
      <c r="E2" s="1301" t="s">
        <v>1076</v>
      </c>
      <c r="F2" s="1301" t="s">
        <v>1077</v>
      </c>
      <c r="G2" s="1301" t="s">
        <v>1078</v>
      </c>
      <c r="H2" s="1301" t="s">
        <v>1079</v>
      </c>
      <c r="I2" s="1302" t="s">
        <v>1080</v>
      </c>
    </row>
    <row r="3" spans="1:9">
      <c r="A3" s="3159"/>
      <c r="B3" s="3160" t="s">
        <v>1081</v>
      </c>
      <c r="C3" s="3160"/>
      <c r="D3" s="1303"/>
      <c r="E3" s="1301"/>
      <c r="F3" s="1304"/>
      <c r="G3" s="1304"/>
      <c r="H3" s="1305"/>
      <c r="I3" s="1306">
        <f>ROUND(D3*E3*F3*G3*H3/10000,0)</f>
        <v>0</v>
      </c>
    </row>
    <row r="4" spans="1:9">
      <c r="A4" s="3159"/>
      <c r="B4" s="3160" t="s">
        <v>1082</v>
      </c>
      <c r="C4" s="3160"/>
      <c r="D4" s="1303"/>
      <c r="E4" s="1301"/>
      <c r="F4" s="1304"/>
      <c r="G4" s="1304"/>
      <c r="H4" s="1305"/>
      <c r="I4" s="1306">
        <f t="shared" ref="I4:I9" si="0">ROUND(D4*E4*F4*G4*H4/10000,0)</f>
        <v>0</v>
      </c>
    </row>
    <row r="5" spans="1:9">
      <c r="A5" s="3159"/>
      <c r="B5" s="3160" t="s">
        <v>1083</v>
      </c>
      <c r="C5" s="3160"/>
      <c r="D5" s="1303"/>
      <c r="E5" s="1301"/>
      <c r="F5" s="1304"/>
      <c r="G5" s="1304"/>
      <c r="H5" s="1305"/>
      <c r="I5" s="1306">
        <f t="shared" si="0"/>
        <v>0</v>
      </c>
    </row>
    <row r="6" spans="1:9">
      <c r="A6" s="3159"/>
      <c r="B6" s="3160" t="s">
        <v>1084</v>
      </c>
      <c r="C6" s="3160"/>
      <c r="D6" s="1303"/>
      <c r="E6" s="1301"/>
      <c r="F6" s="1304"/>
      <c r="G6" s="1304"/>
      <c r="H6" s="1305"/>
      <c r="I6" s="1306">
        <f t="shared" si="0"/>
        <v>0</v>
      </c>
    </row>
    <row r="7" spans="1:9">
      <c r="A7" s="3159"/>
      <c r="B7" s="3160" t="s">
        <v>1085</v>
      </c>
      <c r="C7" s="3160"/>
      <c r="D7" s="1303"/>
      <c r="E7" s="1301"/>
      <c r="F7" s="1304"/>
      <c r="G7" s="1304"/>
      <c r="H7" s="1305"/>
      <c r="I7" s="1306">
        <f t="shared" si="0"/>
        <v>0</v>
      </c>
    </row>
    <row r="8" spans="1:9">
      <c r="A8" s="3159"/>
      <c r="B8" s="3160" t="s">
        <v>1086</v>
      </c>
      <c r="C8" s="3160"/>
      <c r="D8" s="1303"/>
      <c r="E8" s="1301"/>
      <c r="F8" s="1304"/>
      <c r="G8" s="1304"/>
      <c r="H8" s="1305"/>
      <c r="I8" s="1306">
        <f t="shared" si="0"/>
        <v>0</v>
      </c>
    </row>
    <row r="9" spans="1:9">
      <c r="A9" s="3159"/>
      <c r="B9" s="3160" t="s">
        <v>1087</v>
      </c>
      <c r="C9" s="3160"/>
      <c r="D9" s="1303"/>
      <c r="E9" s="1301"/>
      <c r="F9" s="1304"/>
      <c r="G9" s="1304"/>
      <c r="H9" s="1305"/>
      <c r="I9" s="1306">
        <f t="shared" si="0"/>
        <v>0</v>
      </c>
    </row>
    <row r="10" spans="1:9">
      <c r="A10" s="3159"/>
      <c r="B10" s="3161" t="s">
        <v>1088</v>
      </c>
      <c r="C10" s="3161"/>
      <c r="D10" s="1307"/>
      <c r="E10" s="1307" t="e">
        <f>ROUND(D1*10000/D10/H9,0)</f>
        <v>#DIV/0!</v>
      </c>
      <c r="F10" s="1308"/>
      <c r="G10" s="1308"/>
      <c r="H10" s="1309"/>
      <c r="I10" s="1310">
        <f>SUM(I3:I9)</f>
        <v>0</v>
      </c>
    </row>
    <row r="11" spans="1:9" ht="14.25">
      <c r="A11" s="3159" t="s">
        <v>1089</v>
      </c>
      <c r="B11" s="3160" t="s">
        <v>1090</v>
      </c>
      <c r="C11" s="3160"/>
      <c r="D11" s="1303" t="s">
        <v>1091</v>
      </c>
      <c r="E11" s="1303" t="s">
        <v>1092</v>
      </c>
      <c r="F11" s="1304" t="s">
        <v>1093</v>
      </c>
      <c r="G11" s="1304" t="s">
        <v>1079</v>
      </c>
      <c r="H11" s="1311" t="s">
        <v>1094</v>
      </c>
      <c r="I11" s="1302" t="s">
        <v>1080</v>
      </c>
    </row>
    <row r="12" spans="1:9">
      <c r="A12" s="3159"/>
      <c r="B12" s="3160" t="s">
        <v>1095</v>
      </c>
      <c r="C12" s="3160"/>
      <c r="D12" s="1303"/>
      <c r="E12" s="1303"/>
      <c r="F12" s="1304"/>
      <c r="G12" s="1305"/>
      <c r="H12" s="1312"/>
      <c r="I12" s="1302">
        <f>ROUND(D12*E12*F12*G12/10000,0)</f>
        <v>0</v>
      </c>
    </row>
    <row r="13" spans="1:9">
      <c r="A13" s="3159"/>
      <c r="B13" s="3160" t="s">
        <v>1096</v>
      </c>
      <c r="C13" s="3160"/>
      <c r="D13" s="1303"/>
      <c r="E13" s="1303"/>
      <c r="F13" s="1304"/>
      <c r="G13" s="1305"/>
      <c r="H13" s="1312"/>
      <c r="I13" s="1302">
        <f>ROUND(D13*E13*F13*G13/10000,0)</f>
        <v>0</v>
      </c>
    </row>
    <row r="14" spans="1:9">
      <c r="A14" s="3159"/>
      <c r="B14" s="3160" t="s">
        <v>1097</v>
      </c>
      <c r="C14" s="3160"/>
      <c r="D14" s="1303"/>
      <c r="E14" s="1303"/>
      <c r="F14" s="1304"/>
      <c r="G14" s="1305"/>
      <c r="H14" s="1312"/>
      <c r="I14" s="1302">
        <f>ROUND(D14*E14*F14*G14/10000,0)</f>
        <v>0</v>
      </c>
    </row>
    <row r="15" spans="1:9">
      <c r="A15" s="3159"/>
      <c r="B15" s="3161" t="s">
        <v>1088</v>
      </c>
      <c r="C15" s="3161"/>
      <c r="D15" s="1307"/>
      <c r="E15" s="1307">
        <f>SUM(E12:E14)</f>
        <v>0</v>
      </c>
      <c r="F15" s="1308"/>
      <c r="G15" s="1305"/>
      <c r="H15" s="1312"/>
      <c r="I15" s="1313">
        <f>SUM(I12:I14)</f>
        <v>0</v>
      </c>
    </row>
    <row r="16" spans="1:9" ht="24">
      <c r="A16" s="3159" t="s">
        <v>1098</v>
      </c>
      <c r="B16" s="3160" t="s">
        <v>1099</v>
      </c>
      <c r="C16" s="3160"/>
      <c r="D16" s="1303" t="s">
        <v>1075</v>
      </c>
      <c r="E16" s="1314" t="s">
        <v>1100</v>
      </c>
      <c r="F16" s="1304" t="s">
        <v>1101</v>
      </c>
      <c r="G16" s="1305" t="s">
        <v>1079</v>
      </c>
      <c r="H16" s="1311" t="s">
        <v>1094</v>
      </c>
      <c r="I16" s="1302" t="s">
        <v>1080</v>
      </c>
    </row>
    <row r="17" spans="1:9" ht="14.25">
      <c r="A17" s="3159"/>
      <c r="B17" s="3160" t="s">
        <v>1102</v>
      </c>
      <c r="C17" s="3160"/>
      <c r="D17" s="1303"/>
      <c r="E17" s="1303"/>
      <c r="F17" s="1304"/>
      <c r="G17" s="1305"/>
      <c r="H17" s="1315"/>
      <c r="I17" s="1316">
        <f>ROUND(D17*E17*F17*G17/10000,0)</f>
        <v>0</v>
      </c>
    </row>
    <row r="18" spans="1:9" ht="14.25">
      <c r="A18" s="3159"/>
      <c r="B18" s="3160" t="s">
        <v>1103</v>
      </c>
      <c r="C18" s="3160"/>
      <c r="D18" s="1303"/>
      <c r="E18" s="1303"/>
      <c r="F18" s="1304"/>
      <c r="G18" s="1305"/>
      <c r="H18" s="1315"/>
      <c r="I18" s="1316">
        <f>ROUND(D18*E18*F18*G18/10000,0)</f>
        <v>0</v>
      </c>
    </row>
    <row r="19" spans="1:9" ht="14.25">
      <c r="A19" s="3159"/>
      <c r="B19" s="3160" t="s">
        <v>1104</v>
      </c>
      <c r="C19" s="3160"/>
      <c r="D19" s="1303"/>
      <c r="E19" s="1303"/>
      <c r="F19" s="1304"/>
      <c r="G19" s="1305"/>
      <c r="H19" s="1315"/>
      <c r="I19" s="1316">
        <f>ROUND(D19*E19*F19*G19/10000,0)</f>
        <v>0</v>
      </c>
    </row>
    <row r="20" spans="1:9">
      <c r="A20" s="3159"/>
      <c r="B20" s="3161" t="s">
        <v>1088</v>
      </c>
      <c r="C20" s="3161"/>
      <c r="D20" s="1307">
        <f>SUM(D17:D19)</f>
        <v>0</v>
      </c>
      <c r="E20" s="1307"/>
      <c r="F20" s="1308"/>
      <c r="G20" s="1305"/>
      <c r="H20" s="1312"/>
      <c r="I20" s="1313">
        <f>SUM(I17:I19)</f>
        <v>0</v>
      </c>
    </row>
    <row r="21" spans="1:9">
      <c r="A21" s="3159" t="s">
        <v>1105</v>
      </c>
      <c r="B21" s="3163"/>
      <c r="C21" s="3163"/>
      <c r="D21" s="3163"/>
      <c r="E21" s="3163"/>
      <c r="F21" s="3163"/>
      <c r="G21" s="3163"/>
      <c r="H21" s="1765">
        <v>0.1</v>
      </c>
      <c r="I21" s="1310">
        <f>ROUND(I10*H21,0)</f>
        <v>0</v>
      </c>
    </row>
    <row r="22" spans="1:9" ht="14.25">
      <c r="A22" s="3164" t="s">
        <v>1106</v>
      </c>
      <c r="B22" s="3165"/>
      <c r="C22" s="3166"/>
      <c r="D22" s="1317" t="s">
        <v>1107</v>
      </c>
      <c r="E22" s="1317" t="s">
        <v>1108</v>
      </c>
      <c r="F22" s="1318" t="s">
        <v>1109</v>
      </c>
      <c r="G22" s="1318" t="s">
        <v>1110</v>
      </c>
      <c r="H22" s="1311" t="s">
        <v>1111</v>
      </c>
      <c r="I22" s="1302" t="s">
        <v>1112</v>
      </c>
    </row>
    <row r="23" spans="1:9" ht="14.25" thickBot="1">
      <c r="A23" s="3167"/>
      <c r="B23" s="3168"/>
      <c r="C23" s="3169"/>
      <c r="D23" s="1319"/>
      <c r="E23" s="1319"/>
      <c r="F23" s="1319"/>
      <c r="G23" s="1320"/>
      <c r="H23" s="1321"/>
      <c r="I23" s="1322">
        <f>ROUND(E23*D23*F23*(1-G23)/10000,0)</f>
        <v>0</v>
      </c>
    </row>
    <row r="26" spans="1:9">
      <c r="A26" s="1323" t="s">
        <v>1113</v>
      </c>
      <c r="B26" s="1323"/>
      <c r="C26" s="1323"/>
      <c r="D26" s="1323"/>
      <c r="E26" s="3170">
        <f>C27-C30-C31-C32</f>
        <v>0</v>
      </c>
      <c r="F26" s="3170"/>
      <c r="G26" s="3170"/>
      <c r="H26" s="1737" t="s">
        <v>1335</v>
      </c>
    </row>
    <row r="27" spans="1:9">
      <c r="A27" s="1324">
        <v>1</v>
      </c>
      <c r="B27" s="1325" t="s">
        <v>1114</v>
      </c>
      <c r="C27" s="1325">
        <f>C28+C29</f>
        <v>0</v>
      </c>
      <c r="D27" s="1325"/>
      <c r="E27" s="3171"/>
      <c r="F27" s="3171"/>
      <c r="G27" s="3171"/>
    </row>
    <row r="28" spans="1:9">
      <c r="A28" s="1326" t="s">
        <v>1115</v>
      </c>
      <c r="B28" s="1325" t="s">
        <v>1116</v>
      </c>
      <c r="C28" s="1325"/>
      <c r="D28" s="1325"/>
      <c r="E28" s="3171"/>
      <c r="F28" s="3171"/>
      <c r="G28" s="31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2"/>
      <c r="F32" s="3162"/>
      <c r="G32" s="3162"/>
    </row>
    <row r="33" spans="1:7" hidden="1">
      <c r="A33" s="3172" t="s">
        <v>1125</v>
      </c>
      <c r="B33" s="3173"/>
      <c r="C33" s="3173"/>
      <c r="D33" s="3174"/>
      <c r="E33" s="3170"/>
      <c r="F33" s="3170"/>
      <c r="G33" s="3170"/>
    </row>
    <row r="34" spans="1:7" hidden="1">
      <c r="A34" s="1328">
        <v>1</v>
      </c>
      <c r="B34" s="1325" t="s">
        <v>1126</v>
      </c>
      <c r="C34" s="1325"/>
      <c r="D34" s="1325"/>
      <c r="E34" s="3171"/>
      <c r="F34" s="3171"/>
      <c r="G34" s="3171"/>
    </row>
    <row r="35" spans="1:7" hidden="1">
      <c r="A35" s="1328">
        <v>2</v>
      </c>
      <c r="B35" s="1325" t="s">
        <v>1127</v>
      </c>
      <c r="C35" s="1325"/>
      <c r="D35" s="1325"/>
      <c r="E35" s="3171"/>
      <c r="F35" s="3171"/>
      <c r="G35" s="3171"/>
    </row>
    <row r="36" spans="1:7" hidden="1">
      <c r="A36" s="1328">
        <v>3</v>
      </c>
      <c r="B36" s="1325" t="s">
        <v>1128</v>
      </c>
      <c r="C36" s="1325"/>
      <c r="D36" s="1325"/>
      <c r="E36" s="3171"/>
      <c r="F36" s="3171"/>
      <c r="G36" s="3171"/>
    </row>
    <row r="37" spans="1:7" hidden="1">
      <c r="A37" s="1328">
        <v>4</v>
      </c>
      <c r="B37" s="1325" t="s">
        <v>1129</v>
      </c>
      <c r="C37" s="1325"/>
      <c r="D37" s="1325"/>
      <c r="E37" s="3171"/>
      <c r="F37" s="3171"/>
      <c r="G37" s="3171"/>
    </row>
    <row r="38" spans="1:7" hidden="1">
      <c r="A38" s="3172" t="s">
        <v>1130</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2532</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193" t="s">
        <v>2534</v>
      </c>
      <c r="D4" s="3194"/>
      <c r="E4" s="3195" t="s">
        <v>2535</v>
      </c>
      <c r="F4" s="3196"/>
      <c r="G4" s="3193" t="s">
        <v>2536</v>
      </c>
      <c r="H4" s="3194"/>
      <c r="I4" s="3193" t="s">
        <v>2537</v>
      </c>
      <c r="J4" s="3194"/>
      <c r="K4" s="2594" t="s">
        <v>2538</v>
      </c>
      <c r="L4" s="1130"/>
      <c r="M4" s="1131"/>
      <c r="N4" s="1131"/>
      <c r="O4" s="1131"/>
      <c r="P4" s="3197" t="s">
        <v>2539</v>
      </c>
      <c r="Q4" s="3198"/>
      <c r="R4" s="3180" t="s">
        <v>2535</v>
      </c>
      <c r="S4" s="3181"/>
      <c r="T4" s="3180" t="s">
        <v>2536</v>
      </c>
      <c r="U4" s="3181"/>
      <c r="V4" s="3205" t="s">
        <v>2537</v>
      </c>
      <c r="W4" s="3205"/>
      <c r="X4" s="1813"/>
      <c r="Y4" s="3180" t="s">
        <v>2539</v>
      </c>
      <c r="Z4" s="3181"/>
      <c r="AA4" s="3175" t="s">
        <v>2535</v>
      </c>
      <c r="AB4" s="3175" t="s">
        <v>2536</v>
      </c>
      <c r="AC4" s="3175" t="s">
        <v>2537</v>
      </c>
    </row>
    <row r="5" spans="1:29" ht="15">
      <c r="A5" s="404"/>
      <c r="B5" s="405"/>
      <c r="C5" s="3186" t="s">
        <v>2540</v>
      </c>
      <c r="D5" s="3187"/>
      <c r="E5" s="3184" t="s">
        <v>2541</v>
      </c>
      <c r="F5" s="3185"/>
      <c r="G5" s="3186" t="s">
        <v>2542</v>
      </c>
      <c r="H5" s="3187"/>
      <c r="I5" s="3186" t="s">
        <v>2543</v>
      </c>
      <c r="J5" s="3187"/>
      <c r="K5" s="2595"/>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2544</v>
      </c>
      <c r="D6" s="3189"/>
      <c r="E6" s="3190" t="s">
        <v>2544</v>
      </c>
      <c r="F6" s="3191"/>
      <c r="G6" s="3188" t="s">
        <v>2544</v>
      </c>
      <c r="H6" s="3189"/>
      <c r="I6" s="3188" t="s">
        <v>2544</v>
      </c>
      <c r="J6" s="3189"/>
      <c r="K6" s="2595" t="s">
        <v>2545</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2546</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8" t="s">
        <v>2547</v>
      </c>
      <c r="Q7" s="3206"/>
      <c r="R7" s="770" t="s">
        <v>23</v>
      </c>
      <c r="S7" s="771">
        <f t="shared" ref="S7:S15" si="0">F7</f>
        <v>0</v>
      </c>
      <c r="T7" s="770" t="s">
        <v>23</v>
      </c>
      <c r="U7" s="771">
        <f t="shared" ref="U7:U15" si="1">H7</f>
        <v>0</v>
      </c>
      <c r="V7" s="770" t="s">
        <v>23</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8" t="s">
        <v>2550</v>
      </c>
      <c r="Q8" s="3179"/>
      <c r="R8" s="770" t="s">
        <v>23</v>
      </c>
      <c r="S8" s="771">
        <f t="shared" si="0"/>
        <v>0</v>
      </c>
      <c r="T8" s="770" t="s">
        <v>23</v>
      </c>
      <c r="U8" s="771">
        <f t="shared" si="1"/>
        <v>0</v>
      </c>
      <c r="V8" s="770" t="s">
        <v>23</v>
      </c>
      <c r="W8" s="771">
        <f t="shared" si="2"/>
        <v>0</v>
      </c>
      <c r="X8" s="772"/>
      <c r="Y8" s="3178" t="s">
        <v>2550</v>
      </c>
      <c r="Z8" s="317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2"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9" t="s">
        <v>2558</v>
      </c>
      <c r="Q15" s="1810" t="str">
        <f t="shared" si="6"/>
        <v>居住社区成熟度</v>
      </c>
      <c r="R15" s="774" t="s">
        <v>21</v>
      </c>
      <c r="S15" s="775">
        <f t="shared" si="0"/>
        <v>100</v>
      </c>
      <c r="T15" s="774" t="s">
        <v>21</v>
      </c>
      <c r="U15" s="775">
        <f t="shared" si="1"/>
        <v>100</v>
      </c>
      <c r="V15" s="774" t="s">
        <v>21</v>
      </c>
      <c r="W15" s="775">
        <f t="shared" si="2"/>
        <v>100</v>
      </c>
      <c r="X15" s="1813"/>
      <c r="Y15" s="3212"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0"/>
      <c r="Q17" s="1810" t="str">
        <f>B17</f>
        <v>交通便捷度</v>
      </c>
      <c r="R17" s="774" t="s">
        <v>21</v>
      </c>
      <c r="S17" s="775">
        <f>F17</f>
        <v>100</v>
      </c>
      <c r="T17" s="774" t="s">
        <v>21</v>
      </c>
      <c r="U17" s="775">
        <f>H17</f>
        <v>100</v>
      </c>
      <c r="V17" s="774" t="s">
        <v>21</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0"/>
      <c r="Q19" s="1810" t="str">
        <f>B19</f>
        <v>公共配套设施</v>
      </c>
      <c r="R19" s="774" t="s">
        <v>21</v>
      </c>
      <c r="S19" s="775">
        <f>F19</f>
        <v>100</v>
      </c>
      <c r="T19" s="774" t="s">
        <v>21</v>
      </c>
      <c r="U19" s="775">
        <f>H19</f>
        <v>100</v>
      </c>
      <c r="V19" s="774" t="s">
        <v>21</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0"/>
      <c r="Q23" s="1810" t="str">
        <f>B23</f>
        <v>自然及人文环境</v>
      </c>
      <c r="R23" s="774" t="s">
        <v>21</v>
      </c>
      <c r="S23" s="775">
        <f>F23</f>
        <v>100</v>
      </c>
      <c r="T23" s="774" t="s">
        <v>21</v>
      </c>
      <c r="U23" s="775">
        <f>H23</f>
        <v>100</v>
      </c>
      <c r="V23" s="774" t="s">
        <v>21</v>
      </c>
      <c r="W23" s="775">
        <f>J23</f>
        <v>100</v>
      </c>
      <c r="X23" s="1813"/>
      <c r="Y23" s="3213"/>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0"/>
      <c r="Q26" s="1810" t="str">
        <f t="shared" si="11"/>
        <v>朝向</v>
      </c>
      <c r="R26" s="774" t="s">
        <v>21</v>
      </c>
      <c r="S26" s="775">
        <f t="shared" si="12"/>
        <v>100</v>
      </c>
      <c r="T26" s="774" t="s">
        <v>21</v>
      </c>
      <c r="U26" s="775">
        <f t="shared" si="13"/>
        <v>100</v>
      </c>
      <c r="V26" s="774" t="s">
        <v>21</v>
      </c>
      <c r="W26" s="775">
        <f t="shared" si="14"/>
        <v>100</v>
      </c>
      <c r="X26" s="1813"/>
      <c r="Y26" s="321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0"/>
      <c r="Q27" s="1795">
        <f t="shared" si="11"/>
        <v>111</v>
      </c>
      <c r="R27" s="770" t="s">
        <v>21</v>
      </c>
      <c r="S27" s="771">
        <f t="shared" si="12"/>
        <v>100</v>
      </c>
      <c r="T27" s="770" t="s">
        <v>21</v>
      </c>
      <c r="U27" s="771">
        <f t="shared" si="13"/>
        <v>100</v>
      </c>
      <c r="V27" s="770" t="s">
        <v>21</v>
      </c>
      <c r="W27" s="771">
        <f t="shared" si="14"/>
        <v>100</v>
      </c>
      <c r="X27" s="772"/>
      <c r="Y27" s="321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0"/>
      <c r="Q28" s="1810">
        <f t="shared" si="11"/>
        <v>111</v>
      </c>
      <c r="R28" s="774" t="s">
        <v>21</v>
      </c>
      <c r="S28" s="775">
        <f t="shared" si="12"/>
        <v>100</v>
      </c>
      <c r="T28" s="774" t="s">
        <v>21</v>
      </c>
      <c r="U28" s="775">
        <f t="shared" si="13"/>
        <v>100</v>
      </c>
      <c r="V28" s="774" t="s">
        <v>21</v>
      </c>
      <c r="W28" s="775">
        <f t="shared" si="14"/>
        <v>100</v>
      </c>
      <c r="X28" s="1813"/>
      <c r="Y28" s="321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0"/>
      <c r="Q29" s="1810">
        <f t="shared" si="11"/>
        <v>111</v>
      </c>
      <c r="R29" s="774" t="s">
        <v>21</v>
      </c>
      <c r="S29" s="775">
        <f t="shared" si="12"/>
        <v>100</v>
      </c>
      <c r="T29" s="774" t="s">
        <v>21</v>
      </c>
      <c r="U29" s="775">
        <f t="shared" si="13"/>
        <v>100</v>
      </c>
      <c r="V29" s="774" t="s">
        <v>21</v>
      </c>
      <c r="W29" s="775">
        <f t="shared" si="14"/>
        <v>100</v>
      </c>
      <c r="X29" s="1813"/>
      <c r="Y29" s="321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0"/>
      <c r="Q30" s="1810">
        <f t="shared" si="11"/>
        <v>111</v>
      </c>
      <c r="R30" s="774" t="s">
        <v>21</v>
      </c>
      <c r="S30" s="775">
        <f t="shared" si="12"/>
        <v>100</v>
      </c>
      <c r="T30" s="774" t="s">
        <v>21</v>
      </c>
      <c r="U30" s="775">
        <f t="shared" si="13"/>
        <v>100</v>
      </c>
      <c r="V30" s="774" t="s">
        <v>21</v>
      </c>
      <c r="W30" s="775">
        <f t="shared" si="14"/>
        <v>100</v>
      </c>
      <c r="X30" s="1813"/>
      <c r="Y30" s="321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0"/>
      <c r="Q31" s="1810">
        <f t="shared" si="11"/>
        <v>111</v>
      </c>
      <c r="R31" s="774" t="s">
        <v>21</v>
      </c>
      <c r="S31" s="775">
        <f t="shared" si="12"/>
        <v>100</v>
      </c>
      <c r="T31" s="774" t="s">
        <v>21</v>
      </c>
      <c r="U31" s="775">
        <f t="shared" si="13"/>
        <v>100</v>
      </c>
      <c r="V31" s="774" t="s">
        <v>21</v>
      </c>
      <c r="W31" s="775">
        <f t="shared" si="14"/>
        <v>100</v>
      </c>
      <c r="X31" s="1813"/>
      <c r="Y31" s="3213"/>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4" t="s">
        <v>2563</v>
      </c>
      <c r="Q32" s="1810" t="str">
        <f t="shared" si="11"/>
        <v>建筑类型</v>
      </c>
      <c r="R32" s="774" t="s">
        <v>21</v>
      </c>
      <c r="S32" s="775">
        <f t="shared" si="12"/>
        <v>100</v>
      </c>
      <c r="T32" s="774" t="s">
        <v>21</v>
      </c>
      <c r="U32" s="775">
        <f t="shared" si="13"/>
        <v>100</v>
      </c>
      <c r="V32" s="774" t="s">
        <v>21</v>
      </c>
      <c r="W32" s="775">
        <f t="shared" si="14"/>
        <v>100</v>
      </c>
      <c r="X32" s="1813"/>
      <c r="Y32" s="3217"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5"/>
      <c r="Q34" s="1810" t="str">
        <f t="shared" si="11"/>
        <v>建筑结构</v>
      </c>
      <c r="R34" s="774" t="s">
        <v>21</v>
      </c>
      <c r="S34" s="775">
        <f t="shared" si="12"/>
        <v>100</v>
      </c>
      <c r="T34" s="774" t="s">
        <v>21</v>
      </c>
      <c r="U34" s="775">
        <f t="shared" si="13"/>
        <v>100</v>
      </c>
      <c r="V34" s="774" t="s">
        <v>21</v>
      </c>
      <c r="W34" s="775">
        <f t="shared" si="14"/>
        <v>100</v>
      </c>
      <c r="X34" s="1813"/>
      <c r="Y34" s="3217"/>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5"/>
      <c r="Q35" s="1810" t="str">
        <f t="shared" si="11"/>
        <v>建筑品质</v>
      </c>
      <c r="R35" s="774" t="s">
        <v>21</v>
      </c>
      <c r="S35" s="775">
        <f t="shared" si="12"/>
        <v>100</v>
      </c>
      <c r="T35" s="774" t="s">
        <v>21</v>
      </c>
      <c r="U35" s="775">
        <f t="shared" si="13"/>
        <v>100</v>
      </c>
      <c r="V35" s="774" t="s">
        <v>21</v>
      </c>
      <c r="W35" s="775">
        <f t="shared" si="14"/>
        <v>100</v>
      </c>
      <c r="X35" s="1813"/>
      <c r="Y35" s="3217"/>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5"/>
      <c r="Q36" s="1810" t="str">
        <f t="shared" si="11"/>
        <v>公共部分装修</v>
      </c>
      <c r="R36" s="774" t="s">
        <v>21</v>
      </c>
      <c r="S36" s="775">
        <f t="shared" si="12"/>
        <v>100</v>
      </c>
      <c r="T36" s="774" t="s">
        <v>21</v>
      </c>
      <c r="U36" s="775">
        <f t="shared" si="13"/>
        <v>100</v>
      </c>
      <c r="V36" s="774" t="s">
        <v>21</v>
      </c>
      <c r="W36" s="775">
        <f t="shared" si="14"/>
        <v>100</v>
      </c>
      <c r="X36" s="1813"/>
      <c r="Y36" s="3217"/>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5"/>
      <c r="Q37" s="1795"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5" t="s">
        <v>2563</v>
      </c>
      <c r="Q38" s="1810" t="str">
        <f t="shared" si="11"/>
        <v>物业管理</v>
      </c>
      <c r="R38" s="774" t="s">
        <v>21</v>
      </c>
      <c r="S38" s="775">
        <f t="shared" si="12"/>
        <v>100</v>
      </c>
      <c r="T38" s="774" t="s">
        <v>21</v>
      </c>
      <c r="U38" s="775">
        <f t="shared" si="13"/>
        <v>100</v>
      </c>
      <c r="V38" s="774" t="s">
        <v>21</v>
      </c>
      <c r="W38" s="775">
        <f t="shared" si="14"/>
        <v>100</v>
      </c>
      <c r="X38" s="1813"/>
      <c r="Y38" s="3217"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5"/>
      <c r="Q39" s="1810" t="str">
        <f t="shared" si="11"/>
        <v>市政基础设施</v>
      </c>
      <c r="R39" s="774" t="s">
        <v>21</v>
      </c>
      <c r="S39" s="775">
        <f t="shared" si="12"/>
        <v>100</v>
      </c>
      <c r="T39" s="774" t="s">
        <v>21</v>
      </c>
      <c r="U39" s="775">
        <f t="shared" si="13"/>
        <v>100</v>
      </c>
      <c r="V39" s="774" t="s">
        <v>21</v>
      </c>
      <c r="W39" s="775">
        <f t="shared" si="14"/>
        <v>100</v>
      </c>
      <c r="X39" s="1813"/>
      <c r="Y39" s="3217"/>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5"/>
      <c r="Q40" s="1810" t="str">
        <f t="shared" si="11"/>
        <v>房型</v>
      </c>
      <c r="R40" s="774" t="s">
        <v>21</v>
      </c>
      <c r="S40" s="775">
        <f t="shared" si="12"/>
        <v>100</v>
      </c>
      <c r="T40" s="774" t="s">
        <v>21</v>
      </c>
      <c r="U40" s="775">
        <f t="shared" si="13"/>
        <v>100</v>
      </c>
      <c r="V40" s="774" t="s">
        <v>21</v>
      </c>
      <c r="W40" s="775">
        <f t="shared" si="14"/>
        <v>100</v>
      </c>
      <c r="X40" s="1813"/>
      <c r="Y40" s="3217"/>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5"/>
      <c r="Q42" s="1810" t="str">
        <f t="shared" si="11"/>
        <v>内部装修</v>
      </c>
      <c r="R42" s="774" t="s">
        <v>21</v>
      </c>
      <c r="S42" s="775">
        <f t="shared" si="12"/>
        <v>100</v>
      </c>
      <c r="T42" s="774" t="s">
        <v>21</v>
      </c>
      <c r="U42" s="775">
        <f t="shared" si="13"/>
        <v>100</v>
      </c>
      <c r="V42" s="774" t="s">
        <v>21</v>
      </c>
      <c r="W42" s="775">
        <f t="shared" si="14"/>
        <v>100</v>
      </c>
      <c r="X42" s="1813"/>
      <c r="Y42" s="3217"/>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5"/>
      <c r="Q43" s="1810" t="str">
        <f t="shared" si="11"/>
        <v>内部装修维护情况</v>
      </c>
      <c r="R43" s="774" t="s">
        <v>21</v>
      </c>
      <c r="S43" s="775">
        <f t="shared" si="12"/>
        <v>100</v>
      </c>
      <c r="T43" s="774" t="s">
        <v>21</v>
      </c>
      <c r="U43" s="775">
        <f t="shared" si="13"/>
        <v>100</v>
      </c>
      <c r="V43" s="774" t="s">
        <v>21</v>
      </c>
      <c r="W43" s="775">
        <f t="shared" si="14"/>
        <v>100</v>
      </c>
      <c r="X43" s="1813"/>
      <c r="Y43" s="321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5"/>
      <c r="Q44" s="1795">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5"/>
      <c r="Q45" s="1810">
        <f t="shared" si="11"/>
        <v>111</v>
      </c>
      <c r="R45" s="774" t="s">
        <v>21</v>
      </c>
      <c r="S45" s="775">
        <f t="shared" si="12"/>
        <v>100</v>
      </c>
      <c r="T45" s="774" t="s">
        <v>21</v>
      </c>
      <c r="U45" s="775">
        <f t="shared" si="13"/>
        <v>100</v>
      </c>
      <c r="V45" s="774" t="s">
        <v>21</v>
      </c>
      <c r="W45" s="775">
        <f t="shared" si="14"/>
        <v>100</v>
      </c>
      <c r="X45" s="1813"/>
      <c r="Y45" s="3217"/>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6"/>
      <c r="Q46" s="1810">
        <f t="shared" si="11"/>
        <v>111</v>
      </c>
      <c r="R46" s="774" t="s">
        <v>20</v>
      </c>
      <c r="S46" s="775">
        <f t="shared" si="12"/>
        <v>100</v>
      </c>
      <c r="T46" s="774" t="s">
        <v>20</v>
      </c>
      <c r="U46" s="775">
        <f t="shared" si="13"/>
        <v>100</v>
      </c>
      <c r="V46" s="774" t="s">
        <v>20</v>
      </c>
      <c r="W46" s="775">
        <f t="shared" si="14"/>
        <v>100</v>
      </c>
      <c r="X46" s="1813"/>
      <c r="Y46" s="3218"/>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3"/>
      <c r="M47" s="1144"/>
      <c r="N47" s="1131"/>
      <c r="O47" s="1144"/>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0"/>
      <c r="L48" s="1143"/>
      <c r="M48" s="1144"/>
      <c r="N48" s="1144"/>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1"/>
      <c r="L49" s="1143"/>
      <c r="M49" s="1144"/>
      <c r="N49" s="1144"/>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2561</v>
      </c>
      <c r="B100" s="528" t="s">
        <v>2610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205" t="s">
        <v>2646</v>
      </c>
      <c r="AC4" s="3175" t="s">
        <v>2647</v>
      </c>
    </row>
    <row r="5" spans="1:29"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205"/>
      <c r="AC5" s="3176"/>
    </row>
    <row r="6" spans="1:29" ht="15.75" thickBot="1">
      <c r="A6" s="406"/>
      <c r="B6" s="407"/>
      <c r="C6" s="3188" t="s">
        <v>2544</v>
      </c>
      <c r="D6" s="3189"/>
      <c r="E6" s="3190" t="s">
        <v>2544</v>
      </c>
      <c r="F6" s="3191"/>
      <c r="G6" s="3188" t="s">
        <v>2544</v>
      </c>
      <c r="H6" s="3189"/>
      <c r="I6" s="3188" t="s">
        <v>2544</v>
      </c>
      <c r="J6" s="3189"/>
      <c r="K6" s="610" t="s">
        <v>2545</v>
      </c>
      <c r="L6" s="1130"/>
      <c r="M6" s="1131"/>
      <c r="N6" s="1131"/>
      <c r="O6" s="1131"/>
      <c r="P6" s="3201"/>
      <c r="Q6" s="3202"/>
      <c r="R6" s="3182"/>
      <c r="S6" s="3183"/>
      <c r="T6" s="3203"/>
      <c r="U6" s="3204"/>
      <c r="V6" s="3205"/>
      <c r="W6" s="3205"/>
      <c r="X6" s="1813"/>
      <c r="Y6" s="3203"/>
      <c r="Z6" s="3204"/>
      <c r="AA6" s="3177"/>
      <c r="AB6" s="3205"/>
      <c r="AC6" s="3177"/>
    </row>
    <row r="7" spans="1:29" s="117" customFormat="1" ht="15.75" thickBot="1">
      <c r="A7" s="408" t="s">
        <v>2546</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8" t="s">
        <v>2547</v>
      </c>
      <c r="Q7" s="3206"/>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2558</v>
      </c>
      <c r="Q15" s="1810" t="str">
        <f t="shared" si="6"/>
        <v>商业繁华度</v>
      </c>
      <c r="R15" s="774" t="s">
        <v>17</v>
      </c>
      <c r="S15" s="775">
        <f t="shared" si="0"/>
        <v>100</v>
      </c>
      <c r="T15" s="774" t="s">
        <v>17</v>
      </c>
      <c r="U15" s="775">
        <f t="shared" si="1"/>
        <v>100</v>
      </c>
      <c r="V15" s="774" t="s">
        <v>17</v>
      </c>
      <c r="W15" s="775">
        <f t="shared" si="2"/>
        <v>100</v>
      </c>
      <c r="X15" s="1813"/>
      <c r="Y15" s="3212"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10" t="str">
        <f>B23</f>
        <v>自然及人文环境</v>
      </c>
      <c r="R23" s="774" t="s">
        <v>17</v>
      </c>
      <c r="S23" s="775">
        <f>F23</f>
        <v>100</v>
      </c>
      <c r="T23" s="774" t="s">
        <v>17</v>
      </c>
      <c r="U23" s="775">
        <f>H23</f>
        <v>100</v>
      </c>
      <c r="V23" s="774" t="s">
        <v>17</v>
      </c>
      <c r="W23" s="775">
        <f>J23</f>
        <v>100</v>
      </c>
      <c r="X23" s="1813"/>
      <c r="Y23" s="3213"/>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10" t="str">
        <f t="shared" ref="Q25:Q46" si="11">B25</f>
        <v>临街状况</v>
      </c>
      <c r="R25" s="774" t="s">
        <v>17</v>
      </c>
      <c r="S25" s="775">
        <f>F25</f>
        <v>100</v>
      </c>
      <c r="T25" s="774" t="s">
        <v>17</v>
      </c>
      <c r="U25" s="775">
        <f>H25</f>
        <v>100</v>
      </c>
      <c r="V25" s="774" t="s">
        <v>17</v>
      </c>
      <c r="W25" s="775">
        <f>J25</f>
        <v>100</v>
      </c>
      <c r="X25" s="1813"/>
      <c r="Y25" s="3213"/>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10" t="str">
        <f t="shared" si="11"/>
        <v>平面位置/可视性</v>
      </c>
      <c r="R26" s="774" t="s">
        <v>17</v>
      </c>
      <c r="S26" s="775">
        <f>F26</f>
        <v>100</v>
      </c>
      <c r="T26" s="774" t="s">
        <v>17</v>
      </c>
      <c r="U26" s="775">
        <f>H26</f>
        <v>100</v>
      </c>
      <c r="V26" s="774" t="s">
        <v>17</v>
      </c>
      <c r="W26" s="775">
        <f>J26</f>
        <v>100</v>
      </c>
      <c r="X26" s="1813"/>
      <c r="Y26" s="3213"/>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0"/>
      <c r="Q27" s="1795" t="str">
        <f t="shared" si="11"/>
        <v>人流量</v>
      </c>
      <c r="R27" s="770" t="s">
        <v>17</v>
      </c>
      <c r="S27" s="771">
        <f>F27</f>
        <v>100</v>
      </c>
      <c r="T27" s="770" t="s">
        <v>17</v>
      </c>
      <c r="U27" s="771">
        <f>H27</f>
        <v>100</v>
      </c>
      <c r="V27" s="770" t="s">
        <v>17</v>
      </c>
      <c r="W27" s="771">
        <f>J27</f>
        <v>100</v>
      </c>
      <c r="X27" s="772"/>
      <c r="Y27" s="3213"/>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10">
        <f t="shared" si="11"/>
        <v>111</v>
      </c>
      <c r="R29" s="774" t="s">
        <v>17</v>
      </c>
      <c r="S29" s="775">
        <f t="shared" si="12"/>
        <v>100</v>
      </c>
      <c r="T29" s="774" t="s">
        <v>17</v>
      </c>
      <c r="U29" s="775">
        <f t="shared" si="13"/>
        <v>100</v>
      </c>
      <c r="V29" s="774" t="s">
        <v>17</v>
      </c>
      <c r="W29" s="775">
        <f t="shared" si="14"/>
        <v>100</v>
      </c>
      <c r="X29" s="1813"/>
      <c r="Y29" s="321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4" t="s">
        <v>2563</v>
      </c>
      <c r="Q32" s="1810" t="str">
        <f t="shared" si="11"/>
        <v>商业类型</v>
      </c>
      <c r="R32" s="774" t="s">
        <v>17</v>
      </c>
      <c r="S32" s="775">
        <f t="shared" si="12"/>
        <v>100</v>
      </c>
      <c r="T32" s="774" t="s">
        <v>17</v>
      </c>
      <c r="U32" s="775">
        <f t="shared" si="13"/>
        <v>100</v>
      </c>
      <c r="V32" s="774" t="s">
        <v>17</v>
      </c>
      <c r="W32" s="775">
        <f t="shared" si="14"/>
        <v>100</v>
      </c>
      <c r="X32" s="1813"/>
      <c r="Y32" s="3217"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5"/>
      <c r="Q34" s="1810" t="str">
        <f t="shared" si="11"/>
        <v>建筑结构</v>
      </c>
      <c r="R34" s="774" t="s">
        <v>17</v>
      </c>
      <c r="S34" s="775">
        <f t="shared" si="12"/>
        <v>100</v>
      </c>
      <c r="T34" s="774" t="s">
        <v>17</v>
      </c>
      <c r="U34" s="775">
        <f t="shared" si="13"/>
        <v>100</v>
      </c>
      <c r="V34" s="774" t="s">
        <v>17</v>
      </c>
      <c r="W34" s="775">
        <f t="shared" si="14"/>
        <v>100</v>
      </c>
      <c r="X34" s="1813"/>
      <c r="Y34" s="3217"/>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5"/>
      <c r="Q35" s="1810" t="str">
        <f t="shared" si="11"/>
        <v>公共部分装修</v>
      </c>
      <c r="R35" s="774" t="s">
        <v>17</v>
      </c>
      <c r="S35" s="775">
        <f t="shared" si="12"/>
        <v>100</v>
      </c>
      <c r="T35" s="774" t="s">
        <v>17</v>
      </c>
      <c r="U35" s="775">
        <f t="shared" si="13"/>
        <v>100</v>
      </c>
      <c r="V35" s="774" t="s">
        <v>17</v>
      </c>
      <c r="W35" s="775">
        <f t="shared" si="14"/>
        <v>100</v>
      </c>
      <c r="X35" s="1813"/>
      <c r="Y35" s="3217"/>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5"/>
      <c r="Q36" s="1810" t="str">
        <f t="shared" si="11"/>
        <v>成新度</v>
      </c>
      <c r="R36" s="774" t="s">
        <v>17</v>
      </c>
      <c r="S36" s="775" t="e">
        <f t="shared" si="12"/>
        <v>#N/A</v>
      </c>
      <c r="T36" s="774" t="s">
        <v>17</v>
      </c>
      <c r="U36" s="775" t="e">
        <f t="shared" si="13"/>
        <v>#N/A</v>
      </c>
      <c r="V36" s="774" t="s">
        <v>17</v>
      </c>
      <c r="W36" s="775" t="e">
        <f t="shared" si="14"/>
        <v>#N/A</v>
      </c>
      <c r="X36" s="1813"/>
      <c r="Y36" s="3217"/>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5"/>
      <c r="Q37" s="1795"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5" t="s">
        <v>2563</v>
      </c>
      <c r="Q38" s="1810" t="str">
        <f t="shared" si="11"/>
        <v>业态</v>
      </c>
      <c r="R38" s="774" t="s">
        <v>17</v>
      </c>
      <c r="S38" s="775">
        <f t="shared" si="12"/>
        <v>100</v>
      </c>
      <c r="T38" s="774" t="s">
        <v>17</v>
      </c>
      <c r="U38" s="775">
        <f t="shared" si="13"/>
        <v>100</v>
      </c>
      <c r="V38" s="774" t="s">
        <v>17</v>
      </c>
      <c r="W38" s="775">
        <f t="shared" si="14"/>
        <v>100</v>
      </c>
      <c r="X38" s="1813"/>
      <c r="Y38" s="3217"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5"/>
      <c r="Q39" s="1810" t="str">
        <f t="shared" si="11"/>
        <v>层高</v>
      </c>
      <c r="R39" s="774" t="s">
        <v>17</v>
      </c>
      <c r="S39" s="775">
        <f t="shared" si="12"/>
        <v>100</v>
      </c>
      <c r="T39" s="774" t="s">
        <v>17</v>
      </c>
      <c r="U39" s="775">
        <f t="shared" si="13"/>
        <v>100</v>
      </c>
      <c r="V39" s="774" t="s">
        <v>17</v>
      </c>
      <c r="W39" s="775">
        <f t="shared" si="14"/>
        <v>100</v>
      </c>
      <c r="X39" s="1813"/>
      <c r="Y39" s="3217"/>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5"/>
      <c r="Q40" s="1810" t="str">
        <f t="shared" si="11"/>
        <v>单套建筑面积</v>
      </c>
      <c r="R40" s="774" t="s">
        <v>17</v>
      </c>
      <c r="S40" s="775">
        <f t="shared" si="12"/>
        <v>100</v>
      </c>
      <c r="T40" s="774" t="s">
        <v>17</v>
      </c>
      <c r="U40" s="775">
        <f t="shared" si="13"/>
        <v>100</v>
      </c>
      <c r="V40" s="774" t="s">
        <v>17</v>
      </c>
      <c r="W40" s="775">
        <f t="shared" si="14"/>
        <v>100</v>
      </c>
      <c r="X40" s="1813"/>
      <c r="Y40" s="3217"/>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5"/>
      <c r="Q42" s="1810" t="str">
        <f t="shared" si="11"/>
        <v>内部装修</v>
      </c>
      <c r="R42" s="774" t="s">
        <v>17</v>
      </c>
      <c r="S42" s="775">
        <f t="shared" si="12"/>
        <v>100</v>
      </c>
      <c r="T42" s="774" t="s">
        <v>17</v>
      </c>
      <c r="U42" s="775">
        <f t="shared" si="13"/>
        <v>100</v>
      </c>
      <c r="V42" s="774" t="s">
        <v>17</v>
      </c>
      <c r="W42" s="775">
        <f t="shared" si="14"/>
        <v>100</v>
      </c>
      <c r="X42" s="1813"/>
      <c r="Y42" s="3217"/>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5"/>
      <c r="Q43" s="1810" t="str">
        <f t="shared" si="11"/>
        <v>内部装修维护情况</v>
      </c>
      <c r="R43" s="774" t="s">
        <v>17</v>
      </c>
      <c r="S43" s="775">
        <f t="shared" si="12"/>
        <v>100</v>
      </c>
      <c r="T43" s="774" t="s">
        <v>17</v>
      </c>
      <c r="U43" s="775">
        <f t="shared" si="13"/>
        <v>100</v>
      </c>
      <c r="V43" s="774" t="s">
        <v>17</v>
      </c>
      <c r="W43" s="775">
        <f t="shared" si="14"/>
        <v>100</v>
      </c>
      <c r="X43" s="1813"/>
      <c r="Y43" s="321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5"/>
      <c r="Q44" s="1795">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5"/>
      <c r="Q45" s="1810">
        <f t="shared" si="11"/>
        <v>111</v>
      </c>
      <c r="R45" s="774" t="s">
        <v>17</v>
      </c>
      <c r="S45" s="775">
        <f t="shared" si="12"/>
        <v>100</v>
      </c>
      <c r="T45" s="774" t="s">
        <v>17</v>
      </c>
      <c r="U45" s="775">
        <f t="shared" si="13"/>
        <v>100</v>
      </c>
      <c r="V45" s="774" t="s">
        <v>17</v>
      </c>
      <c r="W45" s="775">
        <f t="shared" si="14"/>
        <v>100</v>
      </c>
      <c r="X45" s="1813"/>
      <c r="Y45" s="3217"/>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2546</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2561</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227" t="s">
        <v>2649</v>
      </c>
      <c r="Q4" s="3228"/>
      <c r="R4" s="3222" t="s">
        <v>2645</v>
      </c>
      <c r="S4" s="3223"/>
      <c r="T4" s="3222" t="s">
        <v>2646</v>
      </c>
      <c r="U4" s="3223"/>
      <c r="V4" s="3231" t="s">
        <v>2647</v>
      </c>
      <c r="W4" s="3231"/>
      <c r="X4" s="2668"/>
      <c r="Y4" s="3222" t="s">
        <v>2649</v>
      </c>
      <c r="Z4" s="3223"/>
      <c r="AA4" s="3221" t="s">
        <v>2645</v>
      </c>
      <c r="AB4" s="3221" t="s">
        <v>2646</v>
      </c>
      <c r="AC4" s="3224" t="s">
        <v>2647</v>
      </c>
    </row>
    <row r="5" spans="1:29" ht="15">
      <c r="A5" s="404"/>
      <c r="B5" s="405"/>
      <c r="C5" s="3186" t="s">
        <v>2540</v>
      </c>
      <c r="D5" s="3187"/>
      <c r="E5" s="3184" t="s">
        <v>2541</v>
      </c>
      <c r="F5" s="3185"/>
      <c r="G5" s="3186" t="s">
        <v>2542</v>
      </c>
      <c r="H5" s="3187"/>
      <c r="I5" s="3186" t="s">
        <v>2543</v>
      </c>
      <c r="J5" s="3187"/>
      <c r="K5" s="610"/>
      <c r="L5" s="1130"/>
      <c r="M5" s="1131"/>
      <c r="N5" s="1131"/>
      <c r="O5" s="1131"/>
      <c r="P5" s="3229"/>
      <c r="Q5" s="3200"/>
      <c r="R5" s="3182"/>
      <c r="S5" s="3183"/>
      <c r="T5" s="3182"/>
      <c r="U5" s="3183"/>
      <c r="V5" s="3205"/>
      <c r="W5" s="3205"/>
      <c r="X5" s="1813"/>
      <c r="Y5" s="3182"/>
      <c r="Z5" s="3183"/>
      <c r="AA5" s="3176"/>
      <c r="AB5" s="3176"/>
      <c r="AC5" s="3225"/>
    </row>
    <row r="6" spans="1:29" ht="15.75" thickBot="1">
      <c r="A6" s="406"/>
      <c r="B6" s="407"/>
      <c r="C6" s="3188" t="s">
        <v>2544</v>
      </c>
      <c r="D6" s="3189"/>
      <c r="E6" s="3190" t="s">
        <v>2544</v>
      </c>
      <c r="F6" s="3191"/>
      <c r="G6" s="3188" t="s">
        <v>2544</v>
      </c>
      <c r="H6" s="3189"/>
      <c r="I6" s="3188" t="s">
        <v>2544</v>
      </c>
      <c r="J6" s="3189"/>
      <c r="K6" s="610" t="s">
        <v>2545</v>
      </c>
      <c r="L6" s="1130"/>
      <c r="M6" s="1131"/>
      <c r="N6" s="1131"/>
      <c r="O6" s="1131"/>
      <c r="P6" s="3230"/>
      <c r="Q6" s="3202"/>
      <c r="R6" s="3182"/>
      <c r="S6" s="3183"/>
      <c r="T6" s="3203"/>
      <c r="U6" s="3204"/>
      <c r="V6" s="3205"/>
      <c r="W6" s="3205"/>
      <c r="X6" s="1813"/>
      <c r="Y6" s="3203"/>
      <c r="Z6" s="3204"/>
      <c r="AA6" s="3177"/>
      <c r="AB6" s="3177"/>
      <c r="AC6" s="3226"/>
    </row>
    <row r="7" spans="1:29" s="117" customFormat="1" ht="15.75" thickBot="1">
      <c r="A7" s="408" t="s">
        <v>2546</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2547</v>
      </c>
      <c r="Q7" s="3206"/>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2550</v>
      </c>
      <c r="Q8" s="3179"/>
      <c r="R8" s="770" t="s">
        <v>17</v>
      </c>
      <c r="S8" s="771">
        <f t="shared" si="0"/>
        <v>0</v>
      </c>
      <c r="T8" s="770" t="s">
        <v>17</v>
      </c>
      <c r="U8" s="771">
        <f t="shared" si="1"/>
        <v>0</v>
      </c>
      <c r="V8" s="770" t="s">
        <v>17</v>
      </c>
      <c r="W8" s="771">
        <f t="shared" si="2"/>
        <v>0</v>
      </c>
      <c r="X8" s="772"/>
      <c r="Y8" s="3178" t="s">
        <v>2550</v>
      </c>
      <c r="Z8" s="3179"/>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2"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2558</v>
      </c>
      <c r="Q15" s="1810" t="str">
        <f t="shared" si="6"/>
        <v>办公集聚程度</v>
      </c>
      <c r="R15" s="774" t="s">
        <v>17</v>
      </c>
      <c r="S15" s="775">
        <f t="shared" si="0"/>
        <v>100</v>
      </c>
      <c r="T15" s="774" t="s">
        <v>17</v>
      </c>
      <c r="U15" s="775">
        <f t="shared" si="1"/>
        <v>100</v>
      </c>
      <c r="V15" s="774" t="s">
        <v>17</v>
      </c>
      <c r="W15" s="775">
        <f t="shared" si="2"/>
        <v>100</v>
      </c>
      <c r="X15" s="1813"/>
      <c r="Y15" s="3212"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2672">
        <v>1</v>
      </c>
    </row>
    <row r="19" spans="1:29" ht="42.75">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0"/>
      <c r="Q22" s="1810"/>
      <c r="R22" s="774"/>
      <c r="S22" s="775"/>
      <c r="T22" s="774"/>
      <c r="U22" s="775"/>
      <c r="V22" s="774"/>
      <c r="W22" s="775"/>
      <c r="X22" s="1813"/>
      <c r="Y22" s="3213"/>
      <c r="Z22" s="1814"/>
      <c r="AA22" s="1811">
        <v>1</v>
      </c>
      <c r="AB22" s="1811">
        <v>1</v>
      </c>
      <c r="AC22" s="2672">
        <v>1</v>
      </c>
    </row>
    <row r="23" spans="1:29" ht="42.75">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0"/>
      <c r="Q25" s="1810" t="str">
        <f>B25</f>
        <v>毗邻道路的类型与等级</v>
      </c>
      <c r="R25" s="774" t="s">
        <v>17</v>
      </c>
      <c r="S25" s="775">
        <f>F25</f>
        <v>100</v>
      </c>
      <c r="T25" s="774" t="s">
        <v>17</v>
      </c>
      <c r="U25" s="775">
        <f>H25</f>
        <v>100</v>
      </c>
      <c r="V25" s="774" t="s">
        <v>17</v>
      </c>
      <c r="W25" s="775">
        <f>J25</f>
        <v>100</v>
      </c>
      <c r="X25" s="1813"/>
      <c r="Y25" s="3213"/>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0"/>
      <c r="Q26" s="1810"/>
      <c r="R26" s="774"/>
      <c r="S26" s="775"/>
      <c r="T26" s="774"/>
      <c r="U26" s="775"/>
      <c r="V26" s="774"/>
      <c r="W26" s="775"/>
      <c r="X26" s="1813"/>
      <c r="Y26" s="3213"/>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10" t="str">
        <f t="shared" ref="Q27:Q47" si="11">B27</f>
        <v>楼层</v>
      </c>
      <c r="R27" s="774" t="s">
        <v>17</v>
      </c>
      <c r="S27" s="775">
        <f>F27</f>
        <v>100</v>
      </c>
      <c r="T27" s="774" t="s">
        <v>17</v>
      </c>
      <c r="U27" s="775">
        <f>H27</f>
        <v>100</v>
      </c>
      <c r="V27" s="774" t="s">
        <v>17</v>
      </c>
      <c r="W27" s="775">
        <f>J27</f>
        <v>100</v>
      </c>
      <c r="X27" s="1813"/>
      <c r="Y27" s="3213"/>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0"/>
      <c r="Q28" s="1795" t="str">
        <f t="shared" si="11"/>
        <v>朝向</v>
      </c>
      <c r="R28" s="770" t="s">
        <v>17</v>
      </c>
      <c r="S28" s="771">
        <f>F28</f>
        <v>100</v>
      </c>
      <c r="T28" s="770" t="s">
        <v>17</v>
      </c>
      <c r="U28" s="771">
        <f>H28</f>
        <v>100</v>
      </c>
      <c r="V28" s="770" t="s">
        <v>17</v>
      </c>
      <c r="W28" s="771">
        <f>J28</f>
        <v>100</v>
      </c>
      <c r="X28" s="772"/>
      <c r="Y28" s="3213"/>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0"/>
      <c r="Q29" s="1810">
        <f t="shared" si="11"/>
        <v>111</v>
      </c>
      <c r="R29" s="774" t="s">
        <v>17</v>
      </c>
      <c r="S29" s="775">
        <f t="shared" ref="S29:S47" si="12">F29</f>
        <v>100</v>
      </c>
      <c r="T29" s="774" t="s">
        <v>17</v>
      </c>
      <c r="U29" s="775">
        <f t="shared" ref="U29:U47" si="13">H29</f>
        <v>100</v>
      </c>
      <c r="V29" s="774" t="s">
        <v>17</v>
      </c>
      <c r="W29" s="775">
        <f t="shared" ref="W29:W47" si="14">J29</f>
        <v>100</v>
      </c>
      <c r="X29" s="1813"/>
      <c r="Y29" s="3213"/>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0"/>
      <c r="Q32" s="1810">
        <f t="shared" si="11"/>
        <v>111</v>
      </c>
      <c r="R32" s="774" t="s">
        <v>17</v>
      </c>
      <c r="S32" s="775">
        <f t="shared" si="12"/>
        <v>100</v>
      </c>
      <c r="T32" s="774" t="s">
        <v>17</v>
      </c>
      <c r="U32" s="775">
        <f t="shared" si="13"/>
        <v>100</v>
      </c>
      <c r="V32" s="774" t="s">
        <v>17</v>
      </c>
      <c r="W32" s="775">
        <f t="shared" si="14"/>
        <v>100</v>
      </c>
      <c r="X32" s="1813"/>
      <c r="Y32" s="3213"/>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4" t="s">
        <v>2563</v>
      </c>
      <c r="Q33" s="1810" t="str">
        <f t="shared" si="11"/>
        <v>建筑类型</v>
      </c>
      <c r="R33" s="774" t="s">
        <v>17</v>
      </c>
      <c r="S33" s="775">
        <f t="shared" si="12"/>
        <v>100</v>
      </c>
      <c r="T33" s="774" t="s">
        <v>17</v>
      </c>
      <c r="U33" s="775">
        <f t="shared" si="13"/>
        <v>100</v>
      </c>
      <c r="V33" s="774" t="s">
        <v>17</v>
      </c>
      <c r="W33" s="775">
        <f t="shared" si="14"/>
        <v>100</v>
      </c>
      <c r="X33" s="1813"/>
      <c r="Y33" s="3217"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5"/>
      <c r="Q35" s="1810" t="str">
        <f t="shared" si="11"/>
        <v>建筑结构</v>
      </c>
      <c r="R35" s="774" t="s">
        <v>17</v>
      </c>
      <c r="S35" s="775">
        <f t="shared" si="12"/>
        <v>100</v>
      </c>
      <c r="T35" s="774" t="s">
        <v>17</v>
      </c>
      <c r="U35" s="775">
        <f t="shared" si="13"/>
        <v>100</v>
      </c>
      <c r="V35" s="774" t="s">
        <v>17</v>
      </c>
      <c r="W35" s="775">
        <f t="shared" si="14"/>
        <v>100</v>
      </c>
      <c r="X35" s="1813"/>
      <c r="Y35" s="3217"/>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5"/>
      <c r="Q36" s="1810" t="str">
        <f t="shared" si="11"/>
        <v>公共部分装修</v>
      </c>
      <c r="R36" s="774" t="s">
        <v>17</v>
      </c>
      <c r="S36" s="775">
        <f t="shared" si="12"/>
        <v>100</v>
      </c>
      <c r="T36" s="774" t="s">
        <v>17</v>
      </c>
      <c r="U36" s="775">
        <f t="shared" si="13"/>
        <v>100</v>
      </c>
      <c r="V36" s="774" t="s">
        <v>17</v>
      </c>
      <c r="W36" s="775">
        <f t="shared" si="14"/>
        <v>100</v>
      </c>
      <c r="X36" s="1813"/>
      <c r="Y36" s="3217"/>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5"/>
      <c r="Q37" s="1810" t="str">
        <f t="shared" si="11"/>
        <v>成新度</v>
      </c>
      <c r="R37" s="774" t="s">
        <v>17</v>
      </c>
      <c r="S37" s="775" t="e">
        <f t="shared" si="12"/>
        <v>#N/A</v>
      </c>
      <c r="T37" s="774" t="s">
        <v>17</v>
      </c>
      <c r="U37" s="775" t="e">
        <f t="shared" si="13"/>
        <v>#N/A</v>
      </c>
      <c r="V37" s="774" t="s">
        <v>17</v>
      </c>
      <c r="W37" s="775" t="e">
        <f t="shared" si="14"/>
        <v>#N/A</v>
      </c>
      <c r="X37" s="1813"/>
      <c r="Y37" s="3217"/>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5"/>
      <c r="Q38" s="1795"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5" t="s">
        <v>2563</v>
      </c>
      <c r="Q39" s="1810" t="str">
        <f t="shared" si="11"/>
        <v>物业管理</v>
      </c>
      <c r="R39" s="774" t="s">
        <v>17</v>
      </c>
      <c r="S39" s="775">
        <f t="shared" si="12"/>
        <v>100</v>
      </c>
      <c r="T39" s="774" t="s">
        <v>17</v>
      </c>
      <c r="U39" s="775">
        <f t="shared" si="13"/>
        <v>100</v>
      </c>
      <c r="V39" s="774" t="s">
        <v>17</v>
      </c>
      <c r="W39" s="775">
        <f t="shared" si="14"/>
        <v>100</v>
      </c>
      <c r="X39" s="1813"/>
      <c r="Y39" s="3217"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5"/>
      <c r="Q40" s="1810" t="str">
        <f t="shared" si="11"/>
        <v>市政基础设施</v>
      </c>
      <c r="R40" s="774" t="s">
        <v>17</v>
      </c>
      <c r="S40" s="775">
        <f t="shared" si="12"/>
        <v>100</v>
      </c>
      <c r="T40" s="774" t="s">
        <v>17</v>
      </c>
      <c r="U40" s="775">
        <f t="shared" si="13"/>
        <v>100</v>
      </c>
      <c r="V40" s="774" t="s">
        <v>17</v>
      </c>
      <c r="W40" s="775">
        <f t="shared" si="14"/>
        <v>100</v>
      </c>
      <c r="X40" s="1813"/>
      <c r="Y40" s="3217"/>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5"/>
      <c r="Q41" s="1810" t="str">
        <f t="shared" si="11"/>
        <v>层高</v>
      </c>
      <c r="R41" s="774" t="s">
        <v>17</v>
      </c>
      <c r="S41" s="775">
        <f t="shared" si="12"/>
        <v>100</v>
      </c>
      <c r="T41" s="774" t="s">
        <v>17</v>
      </c>
      <c r="U41" s="775">
        <f t="shared" si="13"/>
        <v>100</v>
      </c>
      <c r="V41" s="774" t="s">
        <v>17</v>
      </c>
      <c r="W41" s="775">
        <f t="shared" si="14"/>
        <v>100</v>
      </c>
      <c r="X41" s="1813"/>
      <c r="Y41" s="3217"/>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5"/>
      <c r="Q43" s="1810" t="str">
        <f t="shared" si="11"/>
        <v>内部装修</v>
      </c>
      <c r="R43" s="774" t="s">
        <v>17</v>
      </c>
      <c r="S43" s="775">
        <f t="shared" si="12"/>
        <v>100</v>
      </c>
      <c r="T43" s="774" t="s">
        <v>17</v>
      </c>
      <c r="U43" s="775">
        <f t="shared" si="13"/>
        <v>100</v>
      </c>
      <c r="V43" s="774" t="s">
        <v>17</v>
      </c>
      <c r="W43" s="775">
        <f t="shared" si="14"/>
        <v>100</v>
      </c>
      <c r="X43" s="1813"/>
      <c r="Y43" s="3217"/>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5"/>
      <c r="Q44" s="1810" t="str">
        <f t="shared" si="11"/>
        <v>内部装修维护情况</v>
      </c>
      <c r="R44" s="774" t="s">
        <v>17</v>
      </c>
      <c r="S44" s="775">
        <f t="shared" si="12"/>
        <v>100</v>
      </c>
      <c r="T44" s="774" t="s">
        <v>17</v>
      </c>
      <c r="U44" s="775">
        <f t="shared" si="13"/>
        <v>100</v>
      </c>
      <c r="V44" s="774" t="s">
        <v>17</v>
      </c>
      <c r="W44" s="775">
        <f t="shared" si="14"/>
        <v>100</v>
      </c>
      <c r="X44" s="1813"/>
      <c r="Y44" s="3217"/>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1795">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1810">
        <f t="shared" si="11"/>
        <v>111</v>
      </c>
      <c r="R47" s="774" t="s">
        <v>17</v>
      </c>
      <c r="S47" s="775">
        <f t="shared" si="12"/>
        <v>100</v>
      </c>
      <c r="T47" s="774" t="s">
        <v>17</v>
      </c>
      <c r="U47" s="775">
        <f t="shared" si="13"/>
        <v>100</v>
      </c>
      <c r="V47" s="774" t="s">
        <v>17</v>
      </c>
      <c r="W47" s="775">
        <f t="shared" si="14"/>
        <v>100</v>
      </c>
      <c r="X47" s="1813"/>
      <c r="Y47" s="3218"/>
      <c r="Z47" s="1814">
        <f t="shared" si="15"/>
        <v>111</v>
      </c>
      <c r="AA47" s="1811">
        <f t="shared" si="3"/>
        <v>1</v>
      </c>
      <c r="AB47" s="1811">
        <f t="shared" si="4"/>
        <v>1</v>
      </c>
      <c r="AC47" s="2672">
        <f t="shared" si="5"/>
        <v>1</v>
      </c>
    </row>
    <row r="48" spans="1:29" ht="15">
      <c r="A48" s="479" t="s">
        <v>2575</v>
      </c>
      <c r="B48" s="480"/>
      <c r="C48" s="1407" t="s">
        <v>1</v>
      </c>
      <c r="D48" s="1408"/>
      <c r="E48" s="1409"/>
      <c r="F48" s="1410"/>
      <c r="G48" s="1411"/>
      <c r="H48" s="1412"/>
      <c r="I48" s="1409"/>
      <c r="J48" s="485"/>
      <c r="K48" s="783"/>
      <c r="L48" s="1143"/>
      <c r="M48" s="1131"/>
      <c r="N48" s="1131"/>
      <c r="O48" s="1131"/>
      <c r="P48" s="3192"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2546</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2561</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2544</v>
      </c>
      <c r="D6" s="3189"/>
      <c r="E6" s="3190" t="s">
        <v>2544</v>
      </c>
      <c r="F6" s="3191"/>
      <c r="G6" s="3188" t="s">
        <v>2544</v>
      </c>
      <c r="H6" s="3189"/>
      <c r="I6" s="3188" t="s">
        <v>2544</v>
      </c>
      <c r="J6" s="3189"/>
      <c r="K6" s="610" t="s">
        <v>2545</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2546</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8" t="s">
        <v>2547</v>
      </c>
      <c r="Q7" s="3206"/>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2" t="s">
        <v>2558</v>
      </c>
      <c r="Q15" s="1810" t="str">
        <f t="shared" si="6"/>
        <v>产业集聚程度</v>
      </c>
      <c r="R15" s="774" t="s">
        <v>17</v>
      </c>
      <c r="S15" s="775">
        <f t="shared" si="0"/>
        <v>100</v>
      </c>
      <c r="T15" s="774" t="s">
        <v>17</v>
      </c>
      <c r="U15" s="775">
        <f t="shared" si="1"/>
        <v>100</v>
      </c>
      <c r="V15" s="774" t="s">
        <v>17</v>
      </c>
      <c r="W15" s="775">
        <f t="shared" si="2"/>
        <v>100</v>
      </c>
      <c r="X15" s="1813"/>
      <c r="Y15" s="3212"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3"/>
      <c r="Q18" s="1810"/>
      <c r="R18" s="774"/>
      <c r="S18" s="775"/>
      <c r="T18" s="774"/>
      <c r="U18" s="775"/>
      <c r="V18" s="774"/>
      <c r="W18" s="775"/>
      <c r="X18" s="1813"/>
      <c r="Y18" s="3213"/>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3"/>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3"/>
      <c r="Q20" s="1810"/>
      <c r="R20" s="774"/>
      <c r="S20" s="775"/>
      <c r="T20" s="774"/>
      <c r="U20" s="775"/>
      <c r="V20" s="774"/>
      <c r="W20" s="775"/>
      <c r="X20" s="1813"/>
      <c r="Y20" s="3213"/>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3"/>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3"/>
      <c r="Q22" s="1810"/>
      <c r="R22" s="774"/>
      <c r="S22" s="775"/>
      <c r="T22" s="774"/>
      <c r="U22" s="775"/>
      <c r="V22" s="774"/>
      <c r="W22" s="775"/>
      <c r="X22" s="1813"/>
      <c r="Y22" s="3213"/>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3"/>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3"/>
      <c r="Q24" s="1810"/>
      <c r="R24" s="774"/>
      <c r="S24" s="775"/>
      <c r="T24" s="774"/>
      <c r="U24" s="775"/>
      <c r="V24" s="774"/>
      <c r="W24" s="775"/>
      <c r="X24" s="1813"/>
      <c r="Y24" s="321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3"/>
      <c r="Q25" s="1810">
        <f>B25</f>
        <v>111</v>
      </c>
      <c r="R25" s="774" t="s">
        <v>17</v>
      </c>
      <c r="S25" s="775">
        <f>F25</f>
        <v>100</v>
      </c>
      <c r="T25" s="774" t="s">
        <v>17</v>
      </c>
      <c r="U25" s="775">
        <f>H25</f>
        <v>100</v>
      </c>
      <c r="V25" s="774" t="s">
        <v>17</v>
      </c>
      <c r="W25" s="775">
        <f>J25</f>
        <v>100</v>
      </c>
      <c r="X25" s="1813"/>
      <c r="Y25" s="321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3"/>
      <c r="Q26" s="1810">
        <f t="shared" ref="Q26:Q40" si="11">B26</f>
        <v>111</v>
      </c>
      <c r="R26" s="774" t="s">
        <v>17</v>
      </c>
      <c r="S26" s="775">
        <f>F26</f>
        <v>100</v>
      </c>
      <c r="T26" s="774" t="s">
        <v>17</v>
      </c>
      <c r="U26" s="775">
        <f>H26</f>
        <v>100</v>
      </c>
      <c r="V26" s="774" t="s">
        <v>17</v>
      </c>
      <c r="W26" s="775">
        <f>J26</f>
        <v>100</v>
      </c>
      <c r="X26" s="1813"/>
      <c r="Y26" s="321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3"/>
      <c r="Q27" s="1795">
        <f t="shared" si="11"/>
        <v>111</v>
      </c>
      <c r="R27" s="770" t="s">
        <v>17</v>
      </c>
      <c r="S27" s="771">
        <f>F27</f>
        <v>100</v>
      </c>
      <c r="T27" s="770" t="s">
        <v>17</v>
      </c>
      <c r="U27" s="771">
        <f>H27</f>
        <v>100</v>
      </c>
      <c r="V27" s="770" t="s">
        <v>17</v>
      </c>
      <c r="W27" s="771">
        <f>J27</f>
        <v>100</v>
      </c>
      <c r="X27" s="772"/>
      <c r="Y27" s="321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3"/>
      <c r="Q28" s="1810">
        <f t="shared" si="11"/>
        <v>111</v>
      </c>
      <c r="R28" s="774" t="s">
        <v>17</v>
      </c>
      <c r="S28" s="775">
        <f t="shared" ref="S28:S40" si="12">F28</f>
        <v>100</v>
      </c>
      <c r="T28" s="774" t="s">
        <v>17</v>
      </c>
      <c r="U28" s="775">
        <f t="shared" ref="U28:U40" si="13">H28</f>
        <v>100</v>
      </c>
      <c r="V28" s="774" t="s">
        <v>17</v>
      </c>
      <c r="W28" s="775">
        <f t="shared" ref="W28:W40" si="14">J28</f>
        <v>100</v>
      </c>
      <c r="X28" s="1813"/>
      <c r="Y28" s="3213"/>
      <c r="Z28" s="1814">
        <f t="shared" ref="Z28:Z40" si="15">Q28</f>
        <v>111</v>
      </c>
      <c r="AA28" s="1811">
        <f t="shared" si="3"/>
        <v>1</v>
      </c>
      <c r="AB28" s="1811">
        <f t="shared" si="4"/>
        <v>1</v>
      </c>
      <c r="AC28" s="1811">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2563</v>
      </c>
      <c r="Q29" s="1810" t="str">
        <f t="shared" si="11"/>
        <v>建筑类型</v>
      </c>
      <c r="R29" s="774" t="s">
        <v>17</v>
      </c>
      <c r="S29" s="775">
        <f t="shared" si="12"/>
        <v>100</v>
      </c>
      <c r="T29" s="774" t="s">
        <v>17</v>
      </c>
      <c r="U29" s="775">
        <f t="shared" si="13"/>
        <v>100</v>
      </c>
      <c r="V29" s="774" t="s">
        <v>17</v>
      </c>
      <c r="W29" s="775">
        <f t="shared" si="14"/>
        <v>100</v>
      </c>
      <c r="X29" s="1813"/>
      <c r="Y29" s="3217"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10" t="str">
        <f t="shared" si="11"/>
        <v>建筑结构</v>
      </c>
      <c r="R31" s="774" t="s">
        <v>17</v>
      </c>
      <c r="S31" s="775">
        <f t="shared" si="12"/>
        <v>100</v>
      </c>
      <c r="T31" s="774" t="s">
        <v>17</v>
      </c>
      <c r="U31" s="775">
        <f t="shared" si="13"/>
        <v>100</v>
      </c>
      <c r="V31" s="774" t="s">
        <v>17</v>
      </c>
      <c r="W31" s="775">
        <f t="shared" si="14"/>
        <v>100</v>
      </c>
      <c r="X31" s="1813"/>
      <c r="Y31" s="3217"/>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10" t="str">
        <f t="shared" si="11"/>
        <v>公共部分装修</v>
      </c>
      <c r="R32" s="774" t="s">
        <v>17</v>
      </c>
      <c r="S32" s="775">
        <f t="shared" si="12"/>
        <v>100</v>
      </c>
      <c r="T32" s="774" t="s">
        <v>17</v>
      </c>
      <c r="U32" s="775">
        <f t="shared" si="13"/>
        <v>100</v>
      </c>
      <c r="V32" s="774" t="s">
        <v>17</v>
      </c>
      <c r="W32" s="775">
        <f t="shared" si="14"/>
        <v>100</v>
      </c>
      <c r="X32" s="1813"/>
      <c r="Y32" s="3217"/>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10" t="str">
        <f t="shared" si="11"/>
        <v>成新度</v>
      </c>
      <c r="R33" s="774" t="s">
        <v>17</v>
      </c>
      <c r="S33" s="775" t="e">
        <f t="shared" si="12"/>
        <v>#N/A</v>
      </c>
      <c r="T33" s="774" t="s">
        <v>17</v>
      </c>
      <c r="U33" s="775" t="e">
        <f t="shared" si="13"/>
        <v>#N/A</v>
      </c>
      <c r="V33" s="774" t="s">
        <v>17</v>
      </c>
      <c r="W33" s="775" t="e">
        <f t="shared" si="14"/>
        <v>#N/A</v>
      </c>
      <c r="X33" s="1813"/>
      <c r="Y33" s="3217"/>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5"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2563</v>
      </c>
      <c r="Q35" s="1810" t="str">
        <f t="shared" si="11"/>
        <v>市政基础设施</v>
      </c>
      <c r="R35" s="774" t="s">
        <v>17</v>
      </c>
      <c r="S35" s="775">
        <f t="shared" si="12"/>
        <v>100</v>
      </c>
      <c r="T35" s="774" t="s">
        <v>17</v>
      </c>
      <c r="U35" s="775">
        <f t="shared" si="13"/>
        <v>100</v>
      </c>
      <c r="V35" s="774" t="s">
        <v>17</v>
      </c>
      <c r="W35" s="775">
        <f t="shared" si="14"/>
        <v>100</v>
      </c>
      <c r="X35" s="1813"/>
      <c r="Y35" s="3217"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10" t="str">
        <f t="shared" si="11"/>
        <v>内部装修</v>
      </c>
      <c r="R36" s="774" t="s">
        <v>17</v>
      </c>
      <c r="S36" s="775">
        <f t="shared" si="12"/>
        <v>100</v>
      </c>
      <c r="T36" s="774" t="s">
        <v>17</v>
      </c>
      <c r="U36" s="775">
        <f t="shared" si="13"/>
        <v>100</v>
      </c>
      <c r="V36" s="774" t="s">
        <v>17</v>
      </c>
      <c r="W36" s="775">
        <f t="shared" si="14"/>
        <v>100</v>
      </c>
      <c r="X36" s="1813"/>
      <c r="Y36" s="3217"/>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10" t="str">
        <f t="shared" si="11"/>
        <v>内部装修状况</v>
      </c>
      <c r="R37" s="774" t="s">
        <v>17</v>
      </c>
      <c r="S37" s="775">
        <f t="shared" si="12"/>
        <v>100</v>
      </c>
      <c r="T37" s="774" t="s">
        <v>17</v>
      </c>
      <c r="U37" s="775">
        <f t="shared" si="13"/>
        <v>100</v>
      </c>
      <c r="V37" s="774" t="s">
        <v>17</v>
      </c>
      <c r="W37" s="775">
        <f t="shared" si="14"/>
        <v>100</v>
      </c>
      <c r="X37" s="1813"/>
      <c r="Y37" s="321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10">
        <f t="shared" si="11"/>
        <v>111</v>
      </c>
      <c r="R39" s="774" t="s">
        <v>17</v>
      </c>
      <c r="S39" s="775">
        <f t="shared" si="12"/>
        <v>100</v>
      </c>
      <c r="T39" s="774" t="s">
        <v>17</v>
      </c>
      <c r="U39" s="775">
        <f t="shared" si="13"/>
        <v>100</v>
      </c>
      <c r="V39" s="774" t="s">
        <v>17</v>
      </c>
      <c r="W39" s="775">
        <f t="shared" si="14"/>
        <v>100</v>
      </c>
      <c r="X39" s="1813"/>
      <c r="Y39" s="3217"/>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10">
        <f t="shared" si="11"/>
        <v>111</v>
      </c>
      <c r="R40" s="774" t="s">
        <v>17</v>
      </c>
      <c r="S40" s="775">
        <f t="shared" si="12"/>
        <v>100</v>
      </c>
      <c r="T40" s="774" t="s">
        <v>17</v>
      </c>
      <c r="U40" s="775">
        <f t="shared" si="13"/>
        <v>100</v>
      </c>
      <c r="V40" s="774" t="s">
        <v>17</v>
      </c>
      <c r="W40" s="775">
        <f t="shared" si="14"/>
        <v>100</v>
      </c>
      <c r="X40" s="1813"/>
      <c r="Y40" s="3218"/>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2544</v>
      </c>
      <c r="D6" s="3189"/>
      <c r="E6" s="3190" t="s">
        <v>2544</v>
      </c>
      <c r="F6" s="3191"/>
      <c r="G6" s="3188" t="s">
        <v>2544</v>
      </c>
      <c r="H6" s="3189"/>
      <c r="I6" s="3188" t="s">
        <v>2544</v>
      </c>
      <c r="J6" s="3189"/>
      <c r="K6" s="610" t="s">
        <v>2545</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2546</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8" t="s">
        <v>2547</v>
      </c>
      <c r="Q7" s="3206"/>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2553</v>
      </c>
      <c r="Q9" s="1795" t="str">
        <f t="shared" ref="Q9:Q14" si="6">B9</f>
        <v>用途</v>
      </c>
      <c r="R9" s="770" t="s">
        <v>17</v>
      </c>
      <c r="S9" s="771">
        <f t="shared" si="0"/>
        <v>100</v>
      </c>
      <c r="T9" s="770" t="s">
        <v>17</v>
      </c>
      <c r="U9" s="771">
        <f t="shared" si="1"/>
        <v>100</v>
      </c>
      <c r="V9" s="770" t="s">
        <v>17</v>
      </c>
      <c r="W9" s="771">
        <f t="shared" si="2"/>
        <v>100</v>
      </c>
      <c r="X9" s="772"/>
      <c r="Y9" s="302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2" t="s">
        <v>2558</v>
      </c>
      <c r="Q14" s="1810" t="str">
        <f t="shared" si="6"/>
        <v>交通便捷度</v>
      </c>
      <c r="R14" s="774" t="s">
        <v>17</v>
      </c>
      <c r="S14" s="775">
        <f t="shared" si="0"/>
        <v>100</v>
      </c>
      <c r="T14" s="774" t="s">
        <v>17</v>
      </c>
      <c r="U14" s="775">
        <f t="shared" si="1"/>
        <v>100</v>
      </c>
      <c r="V14" s="774" t="s">
        <v>17</v>
      </c>
      <c r="W14" s="775">
        <f t="shared" si="2"/>
        <v>100</v>
      </c>
      <c r="X14" s="1813"/>
      <c r="Y14" s="3212"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3"/>
      <c r="Q15" s="1810"/>
      <c r="R15" s="774"/>
      <c r="S15" s="775"/>
      <c r="T15" s="774"/>
      <c r="U15" s="775"/>
      <c r="V15" s="774"/>
      <c r="W15" s="775"/>
      <c r="X15" s="1813"/>
      <c r="Y15" s="3213"/>
      <c r="Z15" s="1814"/>
      <c r="AA15" s="1811">
        <v>1</v>
      </c>
      <c r="AB15" s="1811">
        <v>1</v>
      </c>
      <c r="AC15" s="1811">
        <v>1</v>
      </c>
    </row>
    <row r="16" spans="1:29" ht="42.75">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3"/>
      <c r="Q17" s="1810"/>
      <c r="R17" s="774"/>
      <c r="S17" s="775"/>
      <c r="T17" s="774"/>
      <c r="U17" s="775"/>
      <c r="V17" s="774"/>
      <c r="W17" s="775"/>
      <c r="X17" s="1813"/>
      <c r="Y17" s="3213"/>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3"/>
      <c r="Q19" s="1810"/>
      <c r="R19" s="774"/>
      <c r="S19" s="775"/>
      <c r="T19" s="774"/>
      <c r="U19" s="775"/>
      <c r="V19" s="774"/>
      <c r="W19" s="775"/>
      <c r="X19" s="1813"/>
      <c r="Y19" s="3213"/>
      <c r="Z19" s="1814"/>
      <c r="AA19" s="1811">
        <v>1</v>
      </c>
      <c r="AB19" s="1811">
        <v>1</v>
      </c>
      <c r="AC19" s="1811">
        <v>1</v>
      </c>
    </row>
    <row r="20" spans="1:29" ht="57">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3"/>
      <c r="Q21" s="1810"/>
      <c r="R21" s="774"/>
      <c r="S21" s="775"/>
      <c r="T21" s="774"/>
      <c r="U21" s="775"/>
      <c r="V21" s="774"/>
      <c r="W21" s="775"/>
      <c r="X21" s="1813"/>
      <c r="Y21" s="3213"/>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3"/>
      <c r="Q24" s="1810">
        <f t="shared" ref="Q24:Q36"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7"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10" t="str">
        <f t="shared" si="11"/>
        <v>公共部分装修</v>
      </c>
      <c r="R28" s="774" t="s">
        <v>17</v>
      </c>
      <c r="S28" s="775">
        <f t="shared" si="12"/>
        <v>100</v>
      </c>
      <c r="T28" s="774" t="s">
        <v>17</v>
      </c>
      <c r="U28" s="775">
        <f t="shared" si="13"/>
        <v>100</v>
      </c>
      <c r="V28" s="774" t="s">
        <v>17</v>
      </c>
      <c r="W28" s="775">
        <f t="shared" si="14"/>
        <v>100</v>
      </c>
      <c r="X28" s="1813"/>
      <c r="Y28" s="3217"/>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10" t="str">
        <f t="shared" si="11"/>
        <v>成新率</v>
      </c>
      <c r="R29" s="774" t="s">
        <v>17</v>
      </c>
      <c r="S29" s="775" t="e">
        <f t="shared" si="12"/>
        <v>#N/A</v>
      </c>
      <c r="T29" s="774" t="s">
        <v>17</v>
      </c>
      <c r="U29" s="775" t="e">
        <f t="shared" si="13"/>
        <v>#N/A</v>
      </c>
      <c r="V29" s="774" t="s">
        <v>17</v>
      </c>
      <c r="W29" s="775" t="e">
        <f t="shared" si="14"/>
        <v>#N/A</v>
      </c>
      <c r="X29" s="1813"/>
      <c r="Y29" s="3217"/>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10" t="str">
        <f t="shared" si="11"/>
        <v>物业等级</v>
      </c>
      <c r="R30" s="774" t="s">
        <v>17</v>
      </c>
      <c r="S30" s="775">
        <f t="shared" si="12"/>
        <v>100</v>
      </c>
      <c r="T30" s="774" t="s">
        <v>17</v>
      </c>
      <c r="U30" s="775">
        <f t="shared" si="13"/>
        <v>100</v>
      </c>
      <c r="V30" s="774" t="s">
        <v>17</v>
      </c>
      <c r="W30" s="775">
        <f t="shared" si="14"/>
        <v>100</v>
      </c>
      <c r="X30" s="1813"/>
      <c r="Y30" s="3217"/>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5"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2563</v>
      </c>
      <c r="Q32" s="1810" t="str">
        <f t="shared" si="11"/>
        <v>车位类型</v>
      </c>
      <c r="R32" s="774" t="s">
        <v>17</v>
      </c>
      <c r="S32" s="775">
        <f t="shared" si="12"/>
        <v>100</v>
      </c>
      <c r="T32" s="774" t="s">
        <v>17</v>
      </c>
      <c r="U32" s="775">
        <f t="shared" si="13"/>
        <v>100</v>
      </c>
      <c r="V32" s="774" t="s">
        <v>17</v>
      </c>
      <c r="W32" s="775">
        <f t="shared" si="14"/>
        <v>100</v>
      </c>
      <c r="X32" s="1813"/>
      <c r="Y32" s="3217"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10" t="str">
        <f t="shared" si="11"/>
        <v>是否直接入户</v>
      </c>
      <c r="R33" s="774" t="s">
        <v>17</v>
      </c>
      <c r="S33" s="775">
        <f t="shared" si="12"/>
        <v>100</v>
      </c>
      <c r="T33" s="774" t="s">
        <v>17</v>
      </c>
      <c r="U33" s="775">
        <f t="shared" si="13"/>
        <v>100</v>
      </c>
      <c r="V33" s="774" t="s">
        <v>17</v>
      </c>
      <c r="W33" s="775">
        <f t="shared" si="14"/>
        <v>100</v>
      </c>
      <c r="X33" s="1813"/>
      <c r="Y33" s="321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10">
        <f t="shared" si="11"/>
        <v>111</v>
      </c>
      <c r="R36" s="774" t="s">
        <v>17</v>
      </c>
      <c r="S36" s="775">
        <f t="shared" si="12"/>
        <v>100</v>
      </c>
      <c r="T36" s="774" t="s">
        <v>17</v>
      </c>
      <c r="U36" s="775">
        <f t="shared" si="13"/>
        <v>100</v>
      </c>
      <c r="V36" s="774" t="s">
        <v>17</v>
      </c>
      <c r="W36" s="775">
        <f t="shared" si="14"/>
        <v>100</v>
      </c>
      <c r="X36" s="1813"/>
      <c r="Y36" s="3217"/>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北京联合荣大工程材料股份有限公司：</v>
      </c>
    </row>
    <row r="4" spans="1:1" ht="54">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2544</v>
      </c>
      <c r="D6" s="3189"/>
      <c r="E6" s="3190" t="s">
        <v>2544</v>
      </c>
      <c r="F6" s="3191"/>
      <c r="G6" s="3188" t="s">
        <v>2544</v>
      </c>
      <c r="H6" s="3189"/>
      <c r="I6" s="3188" t="s">
        <v>2544</v>
      </c>
      <c r="J6" s="3189"/>
      <c r="K6" s="610" t="s">
        <v>2545</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2546</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8" t="s">
        <v>2547</v>
      </c>
      <c r="Q7" s="3206"/>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2553</v>
      </c>
      <c r="Q9" s="1795" t="str">
        <f t="shared" ref="Q9:Q14" si="6">B9</f>
        <v>用途</v>
      </c>
      <c r="R9" s="770" t="s">
        <v>17</v>
      </c>
      <c r="S9" s="771">
        <f t="shared" si="0"/>
        <v>100</v>
      </c>
      <c r="T9" s="770" t="s">
        <v>17</v>
      </c>
      <c r="U9" s="771">
        <f t="shared" si="1"/>
        <v>100</v>
      </c>
      <c r="V9" s="770" t="s">
        <v>17</v>
      </c>
      <c r="W9" s="771">
        <f t="shared" si="2"/>
        <v>100</v>
      </c>
      <c r="X9" s="772"/>
      <c r="Y9" s="302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2" t="s">
        <v>2558</v>
      </c>
      <c r="Q14" s="1810" t="str">
        <f t="shared" si="6"/>
        <v>交通便捷度</v>
      </c>
      <c r="R14" s="774" t="s">
        <v>17</v>
      </c>
      <c r="S14" s="775">
        <f t="shared" si="0"/>
        <v>100</v>
      </c>
      <c r="T14" s="774" t="s">
        <v>17</v>
      </c>
      <c r="U14" s="775">
        <f t="shared" si="1"/>
        <v>100</v>
      </c>
      <c r="V14" s="774" t="s">
        <v>17</v>
      </c>
      <c r="W14" s="775">
        <f t="shared" si="2"/>
        <v>100</v>
      </c>
      <c r="X14" s="1813"/>
      <c r="Y14" s="3212"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3"/>
      <c r="Q15" s="1810"/>
      <c r="R15" s="774"/>
      <c r="S15" s="775"/>
      <c r="T15" s="774"/>
      <c r="U15" s="775"/>
      <c r="V15" s="774"/>
      <c r="W15" s="775"/>
      <c r="X15" s="1813"/>
      <c r="Y15" s="3213"/>
      <c r="Z15" s="1814"/>
      <c r="AA15" s="1811">
        <v>1</v>
      </c>
      <c r="AB15" s="1811">
        <v>1</v>
      </c>
      <c r="AC15" s="1811">
        <v>1</v>
      </c>
    </row>
    <row r="16" spans="1:29" ht="42.75">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3"/>
      <c r="Q17" s="1810"/>
      <c r="R17" s="774"/>
      <c r="S17" s="775"/>
      <c r="T17" s="774"/>
      <c r="U17" s="775"/>
      <c r="V17" s="774"/>
      <c r="W17" s="775"/>
      <c r="X17" s="1813"/>
      <c r="Y17" s="3213"/>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3"/>
      <c r="Q19" s="1810"/>
      <c r="R19" s="774"/>
      <c r="S19" s="775"/>
      <c r="T19" s="774"/>
      <c r="U19" s="775"/>
      <c r="V19" s="774"/>
      <c r="W19" s="775"/>
      <c r="X19" s="1813"/>
      <c r="Y19" s="3213"/>
      <c r="Z19" s="1814"/>
      <c r="AA19" s="1811">
        <v>1</v>
      </c>
      <c r="AB19" s="1811">
        <v>1</v>
      </c>
      <c r="AC19" s="1811">
        <v>1</v>
      </c>
    </row>
    <row r="20" spans="1:29" ht="57">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3"/>
      <c r="Q21" s="1810"/>
      <c r="R21" s="774"/>
      <c r="S21" s="775"/>
      <c r="T21" s="774"/>
      <c r="U21" s="775"/>
      <c r="V21" s="774"/>
      <c r="W21" s="775"/>
      <c r="X21" s="1813"/>
      <c r="Y21" s="3213"/>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3"/>
      <c r="Q24" s="1810">
        <f t="shared" ref="Q24:Q34"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7"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10" t="str">
        <f t="shared" si="11"/>
        <v>物业等级</v>
      </c>
      <c r="R28" s="774" t="s">
        <v>17</v>
      </c>
      <c r="S28" s="775">
        <f t="shared" si="12"/>
        <v>100</v>
      </c>
      <c r="T28" s="774" t="s">
        <v>17</v>
      </c>
      <c r="U28" s="775">
        <f t="shared" si="13"/>
        <v>100</v>
      </c>
      <c r="V28" s="774" t="s">
        <v>17</v>
      </c>
      <c r="W28" s="775">
        <f t="shared" si="14"/>
        <v>100</v>
      </c>
      <c r="X28" s="1813"/>
      <c r="Y28" s="3217"/>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10" t="str">
        <f t="shared" si="11"/>
        <v>有无电梯</v>
      </c>
      <c r="R29" s="774" t="s">
        <v>17</v>
      </c>
      <c r="S29" s="775">
        <f t="shared" si="12"/>
        <v>100</v>
      </c>
      <c r="T29" s="774" t="s">
        <v>17</v>
      </c>
      <c r="U29" s="775">
        <f t="shared" si="13"/>
        <v>100</v>
      </c>
      <c r="V29" s="774" t="s">
        <v>17</v>
      </c>
      <c r="W29" s="775">
        <f t="shared" si="14"/>
        <v>100</v>
      </c>
      <c r="X29" s="1813"/>
      <c r="Y29" s="3217"/>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10" t="str">
        <f t="shared" si="11"/>
        <v>建筑面积</v>
      </c>
      <c r="R30" s="774" t="s">
        <v>17</v>
      </c>
      <c r="S30" s="775" t="e">
        <f t="shared" si="12"/>
        <v>#N/A</v>
      </c>
      <c r="T30" s="774" t="s">
        <v>17</v>
      </c>
      <c r="U30" s="775" t="e">
        <f t="shared" si="13"/>
        <v>#N/A</v>
      </c>
      <c r="V30" s="774" t="s">
        <v>17</v>
      </c>
      <c r="W30" s="775" t="e">
        <f t="shared" si="14"/>
        <v>#N/A</v>
      </c>
      <c r="X30" s="1813"/>
      <c r="Y30" s="3217"/>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5"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2563</v>
      </c>
      <c r="Q32" s="1810">
        <f t="shared" si="11"/>
        <v>111</v>
      </c>
      <c r="R32" s="774" t="s">
        <v>17</v>
      </c>
      <c r="S32" s="775">
        <f t="shared" si="12"/>
        <v>100</v>
      </c>
      <c r="T32" s="774" t="s">
        <v>17</v>
      </c>
      <c r="U32" s="775">
        <f t="shared" si="13"/>
        <v>100</v>
      </c>
      <c r="V32" s="774" t="s">
        <v>17</v>
      </c>
      <c r="W32" s="775">
        <f t="shared" si="14"/>
        <v>100</v>
      </c>
      <c r="X32" s="1813"/>
      <c r="Y32" s="3217"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10">
        <f t="shared" si="11"/>
        <v>111</v>
      </c>
      <c r="R33" s="774" t="s">
        <v>17</v>
      </c>
      <c r="S33" s="775">
        <f t="shared" si="12"/>
        <v>100</v>
      </c>
      <c r="T33" s="774" t="s">
        <v>17</v>
      </c>
      <c r="U33" s="775">
        <f t="shared" si="13"/>
        <v>100</v>
      </c>
      <c r="V33" s="774" t="s">
        <v>17</v>
      </c>
      <c r="W33" s="775">
        <f t="shared" si="14"/>
        <v>100</v>
      </c>
      <c r="X33" s="1813"/>
      <c r="Y33" s="3217"/>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176" t="s">
        <v>2646</v>
      </c>
      <c r="AC4" s="3175" t="s">
        <v>2647</v>
      </c>
    </row>
    <row r="5" spans="1:30"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176"/>
      <c r="AC5" s="3176"/>
    </row>
    <row r="6" spans="1:30" ht="15.75" thickBot="1">
      <c r="A6" s="406"/>
      <c r="B6" s="407"/>
      <c r="C6" s="3188" t="s">
        <v>2544</v>
      </c>
      <c r="D6" s="3189"/>
      <c r="E6" s="3190" t="s">
        <v>2544</v>
      </c>
      <c r="F6" s="3191"/>
      <c r="G6" s="3188" t="s">
        <v>2544</v>
      </c>
      <c r="H6" s="3189"/>
      <c r="I6" s="3188" t="s">
        <v>2544</v>
      </c>
      <c r="J6" s="3189"/>
      <c r="K6" s="610" t="s">
        <v>2545</v>
      </c>
      <c r="L6" s="1130"/>
      <c r="M6" s="1131"/>
      <c r="N6" s="1131"/>
      <c r="O6" s="1131"/>
      <c r="P6" s="3201"/>
      <c r="Q6" s="3202"/>
      <c r="R6" s="3182"/>
      <c r="S6" s="3183"/>
      <c r="T6" s="3203"/>
      <c r="U6" s="3204"/>
      <c r="V6" s="3205"/>
      <c r="W6" s="3205"/>
      <c r="X6" s="1813"/>
      <c r="Y6" s="3203"/>
      <c r="Z6" s="3204"/>
      <c r="AA6" s="3177"/>
      <c r="AB6" s="3177"/>
      <c r="AC6" s="3177"/>
    </row>
    <row r="7" spans="1:30" s="117" customFormat="1" ht="15.75" thickBot="1">
      <c r="A7" s="408" t="s">
        <v>2546</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8" t="s">
        <v>2547</v>
      </c>
      <c r="Q7" s="3206"/>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45" si="3">D8/F8</f>
        <v>#DIV/0!</v>
      </c>
      <c r="AB8" s="773" t="e">
        <f t="shared" ref="AB8:AB45" si="4">D8/H8</f>
        <v>#DIV/0!</v>
      </c>
      <c r="AC8" s="773"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0"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210"/>
      <c r="Q10" s="1795" t="str">
        <f t="shared" si="6"/>
        <v>土地使用年限（年）</v>
      </c>
      <c r="R10" s="770" t="s">
        <v>17</v>
      </c>
      <c r="S10" s="771">
        <f t="shared" si="0"/>
        <v>121</v>
      </c>
      <c r="T10" s="770" t="s">
        <v>17</v>
      </c>
      <c r="U10" s="771">
        <f t="shared" si="1"/>
        <v>121</v>
      </c>
      <c r="V10" s="770" t="s">
        <v>17</v>
      </c>
      <c r="W10" s="771">
        <f t="shared" si="2"/>
        <v>121</v>
      </c>
      <c r="X10" s="772"/>
      <c r="Y10" s="3025"/>
      <c r="Z10" s="55" t="str">
        <f t="shared" si="7"/>
        <v>土地使用年限（年）</v>
      </c>
      <c r="AA10" s="773">
        <f t="shared" si="3"/>
        <v>0.82644628099173556</v>
      </c>
      <c r="AB10" s="773">
        <f t="shared" si="4"/>
        <v>0.82644628099173556</v>
      </c>
      <c r="AC10" s="773">
        <f t="shared" si="5"/>
        <v>0.82644628099173556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2" t="s">
        <v>2558</v>
      </c>
      <c r="Q15" s="1810" t="str">
        <f t="shared" si="6"/>
        <v>居住社区成熟度</v>
      </c>
      <c r="R15" s="774" t="s">
        <v>17</v>
      </c>
      <c r="S15" s="775">
        <f t="shared" si="0"/>
        <v>100</v>
      </c>
      <c r="T15" s="774" t="s">
        <v>17</v>
      </c>
      <c r="U15" s="775">
        <f t="shared" si="1"/>
        <v>100</v>
      </c>
      <c r="V15" s="774" t="s">
        <v>17</v>
      </c>
      <c r="W15" s="775">
        <f t="shared" si="2"/>
        <v>100</v>
      </c>
      <c r="X15" s="1813"/>
      <c r="Y15" s="3212"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3"/>
      <c r="Q17" s="1810" t="str">
        <f>B17</f>
        <v>商业繁华度</v>
      </c>
      <c r="R17" s="774" t="s">
        <v>17</v>
      </c>
      <c r="S17" s="775">
        <f>F17</f>
        <v>100</v>
      </c>
      <c r="T17" s="774" t="s">
        <v>17</v>
      </c>
      <c r="U17" s="775">
        <f>H17</f>
        <v>100</v>
      </c>
      <c r="V17" s="774" t="s">
        <v>17</v>
      </c>
      <c r="W17" s="775">
        <f>J17</f>
        <v>100</v>
      </c>
      <c r="X17" s="1813"/>
      <c r="Y17" s="3213"/>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3"/>
      <c r="Q19" s="1810" t="str">
        <f>B19</f>
        <v>办公集聚程度</v>
      </c>
      <c r="R19" s="774" t="s">
        <v>17</v>
      </c>
      <c r="S19" s="775">
        <f>F19</f>
        <v>100</v>
      </c>
      <c r="T19" s="774" t="s">
        <v>17</v>
      </c>
      <c r="U19" s="775">
        <f>H19</f>
        <v>100</v>
      </c>
      <c r="V19" s="774" t="s">
        <v>17</v>
      </c>
      <c r="W19" s="775">
        <f>J19</f>
        <v>100</v>
      </c>
      <c r="X19" s="1813"/>
      <c r="Y19" s="3213"/>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3"/>
      <c r="Q20" s="1810"/>
      <c r="R20" s="774"/>
      <c r="S20" s="775"/>
      <c r="T20" s="774"/>
      <c r="U20" s="775"/>
      <c r="V20" s="774"/>
      <c r="W20" s="775"/>
      <c r="X20" s="1813"/>
      <c r="Y20" s="3213"/>
      <c r="Z20" s="1814"/>
      <c r="AA20" s="1811">
        <v>1</v>
      </c>
      <c r="AB20" s="1811">
        <v>1</v>
      </c>
      <c r="AC20" s="1811">
        <v>1</v>
      </c>
    </row>
    <row r="21" spans="1:29" ht="85.5">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3"/>
      <c r="Q21" s="1810" t="str">
        <f>B21</f>
        <v>交通便捷度</v>
      </c>
      <c r="R21" s="774" t="s">
        <v>17</v>
      </c>
      <c r="S21" s="775">
        <f>F21</f>
        <v>100</v>
      </c>
      <c r="T21" s="774" t="s">
        <v>17</v>
      </c>
      <c r="U21" s="775">
        <f>H21</f>
        <v>100</v>
      </c>
      <c r="V21" s="774" t="s">
        <v>17</v>
      </c>
      <c r="W21" s="775">
        <f>J21</f>
        <v>100</v>
      </c>
      <c r="X21" s="1813"/>
      <c r="Y21" s="3213"/>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3"/>
      <c r="Q23" s="1810" t="str">
        <f t="shared" ref="Q23:Q37" si="8">B23</f>
        <v>区域土地利用方向</v>
      </c>
      <c r="R23" s="774" t="s">
        <v>17</v>
      </c>
      <c r="S23" s="775">
        <f>F23</f>
        <v>100</v>
      </c>
      <c r="T23" s="774" t="s">
        <v>17</v>
      </c>
      <c r="U23" s="775">
        <f>H23</f>
        <v>100</v>
      </c>
      <c r="V23" s="774" t="s">
        <v>17</v>
      </c>
      <c r="W23" s="775">
        <f>J23</f>
        <v>100</v>
      </c>
      <c r="X23" s="1813"/>
      <c r="Y23" s="3213"/>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3"/>
      <c r="Q24" s="1810"/>
      <c r="R24" s="774"/>
      <c r="S24" s="775"/>
      <c r="T24" s="774"/>
      <c r="U24" s="775"/>
      <c r="V24" s="774"/>
      <c r="W24" s="775"/>
      <c r="X24" s="1813"/>
      <c r="Y24" s="3213"/>
      <c r="Z24" s="1814"/>
      <c r="AA24" s="1811"/>
      <c r="AB24" s="1811"/>
      <c r="AC24" s="1811"/>
    </row>
    <row r="25" spans="1:29" ht="57">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3"/>
      <c r="Q25" s="1810" t="str">
        <f t="shared" si="8"/>
        <v>自然及人文环境状况</v>
      </c>
      <c r="R25" s="774" t="s">
        <v>17</v>
      </c>
      <c r="S25" s="775">
        <f>F25</f>
        <v>100</v>
      </c>
      <c r="T25" s="774" t="s">
        <v>17</v>
      </c>
      <c r="U25" s="775">
        <f>H25</f>
        <v>100</v>
      </c>
      <c r="V25" s="774" t="s">
        <v>17</v>
      </c>
      <c r="W25" s="775">
        <f>J25</f>
        <v>100</v>
      </c>
      <c r="X25" s="1813"/>
      <c r="Y25" s="3213"/>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3"/>
      <c r="Q26" s="1810"/>
      <c r="R26" s="774"/>
      <c r="S26" s="775"/>
      <c r="T26" s="774"/>
      <c r="U26" s="775"/>
      <c r="V26" s="774"/>
      <c r="W26" s="775"/>
      <c r="X26" s="1813"/>
      <c r="Y26" s="3213"/>
      <c r="Z26" s="1814"/>
      <c r="AA26" s="1811">
        <v>1</v>
      </c>
      <c r="AB26" s="1811">
        <v>1</v>
      </c>
      <c r="AC26" s="1811">
        <v>1</v>
      </c>
    </row>
    <row r="27" spans="1:29" s="117" customFormat="1" ht="42.75">
      <c r="A27" s="649"/>
      <c r="B27" s="1384"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3"/>
      <c r="Q27" s="1795" t="str">
        <f t="shared" si="8"/>
        <v>公共配套设施</v>
      </c>
      <c r="R27" s="770" t="s">
        <v>17</v>
      </c>
      <c r="S27" s="771">
        <f>F27</f>
        <v>100</v>
      </c>
      <c r="T27" s="770" t="s">
        <v>17</v>
      </c>
      <c r="U27" s="771">
        <f>H27</f>
        <v>100</v>
      </c>
      <c r="V27" s="770" t="s">
        <v>17</v>
      </c>
      <c r="W27" s="771">
        <f>J27</f>
        <v>100</v>
      </c>
      <c r="X27" s="772"/>
      <c r="Y27" s="3213"/>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3"/>
      <c r="Q28" s="1795"/>
      <c r="R28" s="770"/>
      <c r="S28" s="771"/>
      <c r="T28" s="770"/>
      <c r="U28" s="771"/>
      <c r="V28" s="770"/>
      <c r="W28" s="771"/>
      <c r="X28" s="772"/>
      <c r="Y28" s="3213"/>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3"/>
      <c r="Q29" s="1795"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3"/>
      <c r="Q30" s="1795"/>
      <c r="R30" s="770"/>
      <c r="S30" s="771"/>
      <c r="T30" s="770"/>
      <c r="U30" s="771"/>
      <c r="V30" s="770"/>
      <c r="W30" s="771"/>
      <c r="X30" s="772"/>
      <c r="Y30" s="3213"/>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3"/>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3"/>
      <c r="Q32" s="1810" t="str">
        <f t="shared" si="8"/>
        <v>毗邻道路的类型与等级</v>
      </c>
      <c r="R32" s="774" t="s">
        <v>17</v>
      </c>
      <c r="S32" s="775">
        <f t="shared" si="10"/>
        <v>100</v>
      </c>
      <c r="T32" s="774" t="s">
        <v>17</v>
      </c>
      <c r="U32" s="775">
        <f t="shared" si="11"/>
        <v>100</v>
      </c>
      <c r="V32" s="774" t="s">
        <v>17</v>
      </c>
      <c r="W32" s="775">
        <f t="shared" si="12"/>
        <v>100</v>
      </c>
      <c r="X32" s="1813"/>
      <c r="Y32" s="3213"/>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3"/>
      <c r="Q33" s="1810"/>
      <c r="R33" s="774"/>
      <c r="S33" s="775"/>
      <c r="T33" s="774"/>
      <c r="U33" s="775"/>
      <c r="V33" s="774"/>
      <c r="W33" s="775"/>
      <c r="X33" s="1813"/>
      <c r="Y33" s="3213"/>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3"/>
      <c r="Q34" s="1810" t="str">
        <f t="shared" si="8"/>
        <v>土地级别</v>
      </c>
      <c r="R34" s="774" t="s">
        <v>17</v>
      </c>
      <c r="S34" s="775">
        <f t="shared" si="10"/>
        <v>100</v>
      </c>
      <c r="T34" s="774" t="s">
        <v>17</v>
      </c>
      <c r="U34" s="775">
        <f t="shared" si="11"/>
        <v>100</v>
      </c>
      <c r="V34" s="774" t="s">
        <v>17</v>
      </c>
      <c r="W34" s="775">
        <f t="shared" si="12"/>
        <v>100</v>
      </c>
      <c r="X34" s="1813"/>
      <c r="Y34" s="321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3"/>
      <c r="Q35" s="1810">
        <f t="shared" si="8"/>
        <v>111</v>
      </c>
      <c r="R35" s="774" t="s">
        <v>17</v>
      </c>
      <c r="S35" s="775">
        <f t="shared" si="10"/>
        <v>100</v>
      </c>
      <c r="T35" s="774" t="s">
        <v>17</v>
      </c>
      <c r="U35" s="775">
        <f t="shared" si="11"/>
        <v>100</v>
      </c>
      <c r="V35" s="774" t="s">
        <v>17</v>
      </c>
      <c r="W35" s="775">
        <f t="shared" si="12"/>
        <v>100</v>
      </c>
      <c r="X35" s="1813"/>
      <c r="Y35" s="321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2563</v>
      </c>
      <c r="Q36" s="1810">
        <f t="shared" si="8"/>
        <v>111</v>
      </c>
      <c r="R36" s="774" t="s">
        <v>17</v>
      </c>
      <c r="S36" s="775">
        <f t="shared" si="10"/>
        <v>100</v>
      </c>
      <c r="T36" s="774" t="s">
        <v>17</v>
      </c>
      <c r="U36" s="775">
        <f t="shared" si="11"/>
        <v>100</v>
      </c>
      <c r="V36" s="774" t="s">
        <v>17</v>
      </c>
      <c r="W36" s="775">
        <f t="shared" si="12"/>
        <v>100</v>
      </c>
      <c r="X36" s="1813"/>
      <c r="Y36" s="3217"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10">
        <f t="shared" si="8"/>
        <v>111</v>
      </c>
      <c r="R37" s="777" t="s">
        <v>17</v>
      </c>
      <c r="S37" s="778">
        <f t="shared" si="10"/>
        <v>100</v>
      </c>
      <c r="T37" s="777" t="s">
        <v>17</v>
      </c>
      <c r="U37" s="778">
        <f t="shared" si="11"/>
        <v>100</v>
      </c>
      <c r="V37" s="777" t="s">
        <v>17</v>
      </c>
      <c r="W37" s="778">
        <f t="shared" si="12"/>
        <v>100</v>
      </c>
      <c r="X37" s="779"/>
      <c r="Y37" s="3217"/>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7"/>
      <c r="Q38" s="1810" t="str">
        <f>B38</f>
        <v>宗地面积</v>
      </c>
      <c r="R38" s="774" t="s">
        <v>17</v>
      </c>
      <c r="S38" s="775" t="e">
        <f t="shared" si="10"/>
        <v>#N/A</v>
      </c>
      <c r="T38" s="774" t="s">
        <v>17</v>
      </c>
      <c r="U38" s="775" t="e">
        <f t="shared" si="11"/>
        <v>#N/A</v>
      </c>
      <c r="V38" s="774" t="s">
        <v>17</v>
      </c>
      <c r="W38" s="775" t="e">
        <f t="shared" si="12"/>
        <v>#N/A</v>
      </c>
      <c r="X38" s="1813"/>
      <c r="Y38" s="3217"/>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7"/>
      <c r="Q39" s="1810" t="str">
        <f t="shared" ref="Q39:Q45" si="14">B39</f>
        <v>宗地形状</v>
      </c>
      <c r="R39" s="774" t="s">
        <v>17</v>
      </c>
      <c r="S39" s="775">
        <f t="shared" si="10"/>
        <v>100</v>
      </c>
      <c r="T39" s="774" t="s">
        <v>17</v>
      </c>
      <c r="U39" s="775">
        <f t="shared" si="11"/>
        <v>100</v>
      </c>
      <c r="V39" s="774" t="s">
        <v>17</v>
      </c>
      <c r="W39" s="775">
        <f t="shared" si="12"/>
        <v>100</v>
      </c>
      <c r="X39" s="1813"/>
      <c r="Y39" s="3217"/>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7"/>
      <c r="Q40" s="1810" t="str">
        <f t="shared" si="14"/>
        <v>临街宽度及深度</v>
      </c>
      <c r="R40" s="774" t="s">
        <v>17</v>
      </c>
      <c r="S40" s="775">
        <f t="shared" si="10"/>
        <v>100</v>
      </c>
      <c r="T40" s="774" t="s">
        <v>17</v>
      </c>
      <c r="U40" s="775">
        <f t="shared" si="11"/>
        <v>100</v>
      </c>
      <c r="V40" s="774" t="s">
        <v>17</v>
      </c>
      <c r="W40" s="775">
        <f t="shared" si="12"/>
        <v>100</v>
      </c>
      <c r="X40" s="1813"/>
      <c r="Y40" s="3217"/>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7"/>
      <c r="Q41" s="1810"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7" t="s">
        <v>2563</v>
      </c>
      <c r="Q42" s="1810" t="str">
        <f t="shared" si="14"/>
        <v>工程地质条件</v>
      </c>
      <c r="R42" s="774" t="s">
        <v>17</v>
      </c>
      <c r="S42" s="775">
        <f t="shared" si="10"/>
        <v>100</v>
      </c>
      <c r="T42" s="774" t="s">
        <v>17</v>
      </c>
      <c r="U42" s="775">
        <f t="shared" si="11"/>
        <v>100</v>
      </c>
      <c r="V42" s="774" t="s">
        <v>17</v>
      </c>
      <c r="W42" s="775">
        <f t="shared" si="12"/>
        <v>100</v>
      </c>
      <c r="X42" s="1813"/>
      <c r="Y42" s="3217"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10">
        <f t="shared" si="14"/>
        <v>111</v>
      </c>
      <c r="R43" s="774" t="s">
        <v>17</v>
      </c>
      <c r="S43" s="775">
        <f t="shared" si="10"/>
        <v>100</v>
      </c>
      <c r="T43" s="774" t="s">
        <v>17</v>
      </c>
      <c r="U43" s="775">
        <f t="shared" si="11"/>
        <v>100</v>
      </c>
      <c r="V43" s="774" t="s">
        <v>17</v>
      </c>
      <c r="W43" s="775">
        <f t="shared" si="12"/>
        <v>100</v>
      </c>
      <c r="X43" s="1813"/>
      <c r="Y43" s="321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10">
        <f t="shared" si="14"/>
        <v>111</v>
      </c>
      <c r="R44" s="774" t="s">
        <v>17</v>
      </c>
      <c r="S44" s="775">
        <f t="shared" si="10"/>
        <v>100</v>
      </c>
      <c r="T44" s="774" t="s">
        <v>17</v>
      </c>
      <c r="U44" s="775">
        <f t="shared" si="11"/>
        <v>100</v>
      </c>
      <c r="V44" s="774" t="s">
        <v>17</v>
      </c>
      <c r="W44" s="775">
        <f t="shared" si="12"/>
        <v>100</v>
      </c>
      <c r="X44" s="1813"/>
      <c r="Y44" s="3217"/>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10">
        <f t="shared" si="14"/>
        <v>111</v>
      </c>
      <c r="R45" s="777" t="s">
        <v>17</v>
      </c>
      <c r="S45" s="778">
        <f t="shared" si="10"/>
        <v>100</v>
      </c>
      <c r="T45" s="777" t="s">
        <v>17</v>
      </c>
      <c r="U45" s="778">
        <f t="shared" si="11"/>
        <v>100</v>
      </c>
      <c r="V45" s="777" t="s">
        <v>17</v>
      </c>
      <c r="W45" s="778">
        <f t="shared" si="12"/>
        <v>100</v>
      </c>
      <c r="X45" s="779"/>
      <c r="Y45" s="3217"/>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10" t="str">
        <f>A46</f>
        <v>成交单价</v>
      </c>
      <c r="Q46" s="3210"/>
      <c r="R46" s="3205">
        <f>E46</f>
        <v>0</v>
      </c>
      <c r="S46" s="3205"/>
      <c r="T46" s="3205">
        <f>G46</f>
        <v>0</v>
      </c>
      <c r="U46" s="3205"/>
      <c r="V46" s="3205">
        <f>I46</f>
        <v>0</v>
      </c>
      <c r="W46" s="3205"/>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0" t="str">
        <f>A47</f>
        <v>比较价值（元/平方米）</v>
      </c>
      <c r="Q47" s="3210"/>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07" t="str">
        <f>A48</f>
        <v>估价对象XX用房的比较价值（楼面单价，元/平方米）</v>
      </c>
      <c r="Q48" s="3208"/>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193" t="s">
        <v>2762</v>
      </c>
      <c r="H55" s="3239"/>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2125.98</v>
      </c>
      <c r="F56" s="1103" t="e">
        <f t="shared" ref="F56:F65" si="15">ROUND(B56*E56/10000,0)</f>
        <v>#DIV/0!</v>
      </c>
      <c r="G56" s="3192"/>
      <c r="H56" s="3210"/>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0"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180" t="s">
        <v>2645</v>
      </c>
      <c r="S4" s="3181"/>
      <c r="T4" s="3180" t="s">
        <v>2646</v>
      </c>
      <c r="U4" s="3181"/>
      <c r="V4" s="3205" t="s">
        <v>2647</v>
      </c>
      <c r="W4" s="3205"/>
      <c r="X4" s="1813"/>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41" t="s">
        <v>2795</v>
      </c>
      <c r="D6" s="3242"/>
      <c r="E6" s="3243" t="s">
        <v>2795</v>
      </c>
      <c r="F6" s="3244"/>
      <c r="G6" s="3241" t="s">
        <v>2795</v>
      </c>
      <c r="H6" s="3242"/>
      <c r="I6" s="3241" t="s">
        <v>2795</v>
      </c>
      <c r="J6" s="3242"/>
      <c r="K6" s="610" t="s">
        <v>2545</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2546</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8" t="s">
        <v>2547</v>
      </c>
      <c r="Q7" s="3206"/>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8" t="s">
        <v>2550</v>
      </c>
      <c r="Q8" s="3179"/>
      <c r="R8" s="770" t="s">
        <v>17</v>
      </c>
      <c r="S8" s="771">
        <f t="shared" si="0"/>
        <v>0</v>
      </c>
      <c r="T8" s="770" t="s">
        <v>17</v>
      </c>
      <c r="U8" s="771">
        <f t="shared" si="1"/>
        <v>0</v>
      </c>
      <c r="V8" s="770" t="s">
        <v>17</v>
      </c>
      <c r="W8" s="771">
        <f t="shared" si="2"/>
        <v>0</v>
      </c>
      <c r="X8" s="772"/>
      <c r="Y8" s="3178" t="s">
        <v>2550</v>
      </c>
      <c r="Z8" s="3179"/>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0" t="s">
        <v>2553</v>
      </c>
      <c r="Q9" s="1795" t="str">
        <f t="shared" ref="Q9:Q15" si="6">B9</f>
        <v>用途</v>
      </c>
      <c r="R9" s="770" t="s">
        <v>17</v>
      </c>
      <c r="S9" s="771">
        <f t="shared" si="0"/>
        <v>100</v>
      </c>
      <c r="T9" s="770" t="s">
        <v>17</v>
      </c>
      <c r="U9" s="771">
        <f t="shared" si="1"/>
        <v>100</v>
      </c>
      <c r="V9" s="770" t="s">
        <v>17</v>
      </c>
      <c r="W9" s="771">
        <f t="shared" si="2"/>
        <v>100</v>
      </c>
      <c r="X9" s="772"/>
      <c r="Y9" s="302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210"/>
      <c r="Q10" s="1795" t="str">
        <f t="shared" si="6"/>
        <v>土地使用年限（年）</v>
      </c>
      <c r="R10" s="770" t="s">
        <v>17</v>
      </c>
      <c r="S10" s="771">
        <f t="shared" si="0"/>
        <v>121</v>
      </c>
      <c r="T10" s="770" t="s">
        <v>17</v>
      </c>
      <c r="U10" s="771">
        <f t="shared" si="1"/>
        <v>121</v>
      </c>
      <c r="V10" s="770" t="s">
        <v>17</v>
      </c>
      <c r="W10" s="771">
        <f t="shared" si="2"/>
        <v>121</v>
      </c>
      <c r="X10" s="772"/>
      <c r="Y10" s="3025"/>
      <c r="Z10" s="55" t="str">
        <f t="shared" si="7"/>
        <v>土地使用年限（年）</v>
      </c>
      <c r="AA10" s="773">
        <f t="shared" si="3"/>
        <v>0.82644628099173556</v>
      </c>
      <c r="AB10" s="773">
        <f t="shared" si="4"/>
        <v>0.82644628099173556</v>
      </c>
      <c r="AC10" s="773">
        <f t="shared" si="5"/>
        <v>0.82644628099173556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2" t="s">
        <v>2558</v>
      </c>
      <c r="Q15" s="1810" t="str">
        <f t="shared" si="6"/>
        <v>产业集聚程度</v>
      </c>
      <c r="R15" s="774" t="s">
        <v>17</v>
      </c>
      <c r="S15" s="775">
        <f t="shared" si="0"/>
        <v>100</v>
      </c>
      <c r="T15" s="774" t="s">
        <v>17</v>
      </c>
      <c r="U15" s="775">
        <f t="shared" si="1"/>
        <v>100</v>
      </c>
      <c r="V15" s="774" t="s">
        <v>17</v>
      </c>
      <c r="W15" s="775">
        <f t="shared" si="2"/>
        <v>100</v>
      </c>
      <c r="X15" s="1813"/>
      <c r="Y15" s="3212"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3"/>
      <c r="Q19" s="1810" t="str">
        <f t="shared" ref="Q19:Q33" si="8">B19</f>
        <v>区域土地利用方向</v>
      </c>
      <c r="R19" s="774" t="s">
        <v>17</v>
      </c>
      <c r="S19" s="775">
        <f>F19</f>
        <v>100</v>
      </c>
      <c r="T19" s="774" t="s">
        <v>17</v>
      </c>
      <c r="U19" s="775">
        <f>H19</f>
        <v>100</v>
      </c>
      <c r="V19" s="774" t="s">
        <v>17</v>
      </c>
      <c r="W19" s="775">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3"/>
      <c r="Q20" s="1810"/>
      <c r="R20" s="774"/>
      <c r="S20" s="775"/>
      <c r="T20" s="774"/>
      <c r="U20" s="775"/>
      <c r="V20" s="774"/>
      <c r="W20" s="775"/>
      <c r="X20" s="1813"/>
      <c r="Y20" s="3213"/>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3"/>
      <c r="Q21" s="1810" t="str">
        <f t="shared" si="8"/>
        <v>环境状况</v>
      </c>
      <c r="R21" s="774" t="s">
        <v>17</v>
      </c>
      <c r="S21" s="775">
        <f>F21</f>
        <v>100</v>
      </c>
      <c r="T21" s="774" t="s">
        <v>17</v>
      </c>
      <c r="U21" s="775">
        <f>H21</f>
        <v>100</v>
      </c>
      <c r="V21" s="774" t="s">
        <v>17</v>
      </c>
      <c r="W21" s="775">
        <f>J21</f>
        <v>100</v>
      </c>
      <c r="X21" s="1813"/>
      <c r="Y21" s="3213"/>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3"/>
      <c r="Q23" s="1795" t="str">
        <f t="shared" si="8"/>
        <v>公共配套设施</v>
      </c>
      <c r="R23" s="770" t="s">
        <v>17</v>
      </c>
      <c r="S23" s="771">
        <f>F23</f>
        <v>100</v>
      </c>
      <c r="T23" s="770" t="s">
        <v>17</v>
      </c>
      <c r="U23" s="771">
        <f>H23</f>
        <v>100</v>
      </c>
      <c r="V23" s="770" t="s">
        <v>17</v>
      </c>
      <c r="W23" s="771">
        <f>J23</f>
        <v>100</v>
      </c>
      <c r="X23" s="772"/>
      <c r="Y23" s="3213"/>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3"/>
      <c r="Q24" s="1795"/>
      <c r="R24" s="770"/>
      <c r="S24" s="771"/>
      <c r="T24" s="770"/>
      <c r="U24" s="771"/>
      <c r="V24" s="770"/>
      <c r="W24" s="771"/>
      <c r="X24" s="772"/>
      <c r="Y24" s="3213"/>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3"/>
      <c r="Q25" s="1795"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3"/>
      <c r="Q26" s="1795"/>
      <c r="R26" s="770"/>
      <c r="S26" s="771"/>
      <c r="T26" s="770"/>
      <c r="U26" s="771"/>
      <c r="V26" s="770"/>
      <c r="W26" s="771"/>
      <c r="X26" s="772"/>
      <c r="Y26" s="3213"/>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3"/>
      <c r="Q28" s="1810" t="str">
        <f t="shared" si="8"/>
        <v>毗邻道路的类型与等级</v>
      </c>
      <c r="R28" s="774" t="s">
        <v>17</v>
      </c>
      <c r="S28" s="775">
        <f t="shared" si="10"/>
        <v>100</v>
      </c>
      <c r="T28" s="774" t="s">
        <v>17</v>
      </c>
      <c r="U28" s="775">
        <f t="shared" si="11"/>
        <v>100</v>
      </c>
      <c r="V28" s="774" t="s">
        <v>17</v>
      </c>
      <c r="W28" s="775">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3"/>
      <c r="Q29" s="1810"/>
      <c r="R29" s="774"/>
      <c r="S29" s="775"/>
      <c r="T29" s="774"/>
      <c r="U29" s="775"/>
      <c r="V29" s="774"/>
      <c r="W29" s="775"/>
      <c r="X29" s="1813"/>
      <c r="Y29" s="3213"/>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3"/>
      <c r="Q30" s="1810" t="str">
        <f t="shared" si="8"/>
        <v>土地级别</v>
      </c>
      <c r="R30" s="774" t="s">
        <v>17</v>
      </c>
      <c r="S30" s="775">
        <f t="shared" si="10"/>
        <v>100</v>
      </c>
      <c r="T30" s="774" t="s">
        <v>17</v>
      </c>
      <c r="U30" s="775">
        <f t="shared" si="11"/>
        <v>100</v>
      </c>
      <c r="V30" s="774" t="s">
        <v>17</v>
      </c>
      <c r="W30" s="775">
        <f t="shared" si="12"/>
        <v>100</v>
      </c>
      <c r="X30" s="1813"/>
      <c r="Y30" s="3213"/>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3"/>
      <c r="Q31" s="1810">
        <f t="shared" si="8"/>
        <v>111</v>
      </c>
      <c r="R31" s="774" t="s">
        <v>17</v>
      </c>
      <c r="S31" s="775">
        <f t="shared" si="10"/>
        <v>100</v>
      </c>
      <c r="T31" s="774" t="s">
        <v>17</v>
      </c>
      <c r="U31" s="775">
        <f t="shared" si="11"/>
        <v>100</v>
      </c>
      <c r="V31" s="774" t="s">
        <v>17</v>
      </c>
      <c r="W31" s="775">
        <f t="shared" si="12"/>
        <v>100</v>
      </c>
      <c r="X31" s="1813"/>
      <c r="Y31" s="3213"/>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2563</v>
      </c>
      <c r="Q32" s="1810">
        <f t="shared" si="8"/>
        <v>111</v>
      </c>
      <c r="R32" s="774" t="s">
        <v>17</v>
      </c>
      <c r="S32" s="775">
        <f t="shared" si="10"/>
        <v>100</v>
      </c>
      <c r="T32" s="774" t="s">
        <v>17</v>
      </c>
      <c r="U32" s="775">
        <f t="shared" si="11"/>
        <v>100</v>
      </c>
      <c r="V32" s="774" t="s">
        <v>17</v>
      </c>
      <c r="W32" s="775">
        <f t="shared" si="12"/>
        <v>100</v>
      </c>
      <c r="X32" s="1813"/>
      <c r="Y32" s="3217"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10">
        <f t="shared" si="8"/>
        <v>111</v>
      </c>
      <c r="R33" s="777" t="s">
        <v>17</v>
      </c>
      <c r="S33" s="778">
        <f t="shared" si="10"/>
        <v>100</v>
      </c>
      <c r="T33" s="777" t="s">
        <v>17</v>
      </c>
      <c r="U33" s="778">
        <f t="shared" si="11"/>
        <v>100</v>
      </c>
      <c r="V33" s="777" t="s">
        <v>17</v>
      </c>
      <c r="W33" s="778">
        <f t="shared" si="12"/>
        <v>100</v>
      </c>
      <c r="X33" s="779"/>
      <c r="Y33" s="3217"/>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10" t="str">
        <f>B34</f>
        <v>宗地面积</v>
      </c>
      <c r="R34" s="774" t="s">
        <v>17</v>
      </c>
      <c r="S34" s="775" t="e">
        <f t="shared" si="10"/>
        <v>#N/A</v>
      </c>
      <c r="T34" s="774" t="s">
        <v>17</v>
      </c>
      <c r="U34" s="775" t="e">
        <f t="shared" si="11"/>
        <v>#N/A</v>
      </c>
      <c r="V34" s="774" t="s">
        <v>17</v>
      </c>
      <c r="W34" s="775" t="e">
        <f t="shared" si="12"/>
        <v>#N/A</v>
      </c>
      <c r="X34" s="1813"/>
      <c r="Y34" s="3217"/>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7"/>
      <c r="Q35" s="1810" t="str">
        <f t="shared" ref="Q35:Q40" si="14">B35</f>
        <v>宗地形状</v>
      </c>
      <c r="R35" s="774" t="s">
        <v>17</v>
      </c>
      <c r="S35" s="775">
        <f t="shared" si="10"/>
        <v>100</v>
      </c>
      <c r="T35" s="774" t="s">
        <v>17</v>
      </c>
      <c r="U35" s="775">
        <f t="shared" si="11"/>
        <v>100</v>
      </c>
      <c r="V35" s="774" t="s">
        <v>17</v>
      </c>
      <c r="W35" s="775">
        <f t="shared" si="12"/>
        <v>100</v>
      </c>
      <c r="X35" s="1813"/>
      <c r="Y35" s="3217"/>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7"/>
      <c r="Q36" s="1810"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7" t="s">
        <v>2563</v>
      </c>
      <c r="Q37" s="1810" t="str">
        <f t="shared" si="14"/>
        <v>工程地质条件</v>
      </c>
      <c r="R37" s="774" t="s">
        <v>17</v>
      </c>
      <c r="S37" s="775">
        <f t="shared" si="10"/>
        <v>100</v>
      </c>
      <c r="T37" s="774" t="s">
        <v>17</v>
      </c>
      <c r="U37" s="775">
        <f t="shared" si="11"/>
        <v>100</v>
      </c>
      <c r="V37" s="774" t="s">
        <v>17</v>
      </c>
      <c r="W37" s="775">
        <f t="shared" si="12"/>
        <v>100</v>
      </c>
      <c r="X37" s="1813"/>
      <c r="Y37" s="3217"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10">
        <f t="shared" si="14"/>
        <v>111</v>
      </c>
      <c r="R38" s="774" t="s">
        <v>17</v>
      </c>
      <c r="S38" s="775">
        <f t="shared" si="10"/>
        <v>100</v>
      </c>
      <c r="T38" s="774" t="s">
        <v>17</v>
      </c>
      <c r="U38" s="775">
        <f t="shared" si="11"/>
        <v>100</v>
      </c>
      <c r="V38" s="774" t="s">
        <v>17</v>
      </c>
      <c r="W38" s="775">
        <f t="shared" si="12"/>
        <v>100</v>
      </c>
      <c r="X38" s="1813"/>
      <c r="Y38" s="321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10">
        <f t="shared" si="14"/>
        <v>111</v>
      </c>
      <c r="R39" s="774" t="s">
        <v>17</v>
      </c>
      <c r="S39" s="775">
        <f t="shared" si="10"/>
        <v>100</v>
      </c>
      <c r="T39" s="774" t="s">
        <v>17</v>
      </c>
      <c r="U39" s="775">
        <f t="shared" si="11"/>
        <v>100</v>
      </c>
      <c r="V39" s="774" t="s">
        <v>17</v>
      </c>
      <c r="W39" s="775">
        <f t="shared" si="12"/>
        <v>100</v>
      </c>
      <c r="X39" s="1813"/>
      <c r="Y39" s="3217"/>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10">
        <f t="shared" si="14"/>
        <v>111</v>
      </c>
      <c r="R40" s="777" t="s">
        <v>17</v>
      </c>
      <c r="S40" s="778">
        <f t="shared" si="10"/>
        <v>100</v>
      </c>
      <c r="T40" s="777" t="s">
        <v>17</v>
      </c>
      <c r="U40" s="778">
        <f t="shared" si="11"/>
        <v>100</v>
      </c>
      <c r="V40" s="777" t="s">
        <v>17</v>
      </c>
      <c r="W40" s="778">
        <f t="shared" si="12"/>
        <v>100</v>
      </c>
      <c r="X40" s="779"/>
      <c r="Y40" s="3217"/>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7" t="str">
        <f>A43</f>
        <v>估价对象XX用房的比较价值（楼面单价，元/平方米）</v>
      </c>
      <c r="Q43" s="3208"/>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193" t="s">
        <v>2762</v>
      </c>
      <c r="H50" s="3239"/>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2125.98</v>
      </c>
      <c r="F51" s="691" t="e">
        <f t="shared" ref="F51:F60" si="15">ROUND(B51*E51/10000,0)</f>
        <v>#DIV/0!</v>
      </c>
      <c r="G51" s="3192"/>
      <c r="H51" s="3210"/>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0"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7"/>
  <sheetViews>
    <sheetView topLeftCell="A34" workbookViewId="0">
      <selection activeCell="B25" sqref="B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1628</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7658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969</v>
      </c>
      <c r="D5" s="255" t="s">
        <v>2332</v>
      </c>
      <c r="E5" s="256" t="s">
        <v>2333</v>
      </c>
      <c r="F5" s="256" t="s">
        <v>2334</v>
      </c>
      <c r="G5" s="257"/>
    </row>
    <row r="6" spans="1:9" s="258" customFormat="1" ht="13.5" customHeight="1">
      <c r="A6" s="949" t="s">
        <v>2335</v>
      </c>
      <c r="B6" s="259" t="s">
        <v>2336</v>
      </c>
      <c r="C6" s="260">
        <f ca="1">基准地价修正!E29</f>
        <v>907</v>
      </c>
      <c r="D6" s="261"/>
      <c r="E6" s="262"/>
      <c r="F6" s="262"/>
      <c r="G6" s="263"/>
    </row>
    <row r="7" spans="1:9" s="258" customFormat="1" ht="13.5" customHeight="1">
      <c r="A7" s="949" t="s">
        <v>2337</v>
      </c>
      <c r="B7" s="259" t="s">
        <v>2338</v>
      </c>
      <c r="C7" s="264">
        <f ca="1">ROUND(C6*F7,0)</f>
        <v>28</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34</v>
      </c>
      <c r="D8" s="266"/>
      <c r="E8" s="264"/>
      <c r="F8" s="265"/>
      <c r="G8" s="2548" t="s">
        <v>3069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t="s">
        <v>3070</v>
      </c>
      <c r="H9" s="1390"/>
      <c r="I9" s="2550" t="s">
        <v>2342</v>
      </c>
    </row>
    <row r="10" spans="1:9" s="258" customFormat="1" ht="13.5" customHeight="1">
      <c r="A10" s="950" t="s">
        <v>801</v>
      </c>
      <c r="B10" s="268" t="s">
        <v>2343</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2125.98</v>
      </c>
      <c r="E19" s="255">
        <f>'数据-取费表'!B31</f>
        <v>200</v>
      </c>
      <c r="F19" s="275"/>
      <c r="G19" s="2548" t="s">
        <v>3071</v>
      </c>
    </row>
    <row r="20" spans="1:7" s="258" customFormat="1" ht="13.5" customHeight="1">
      <c r="A20" s="299" t="s">
        <v>2356</v>
      </c>
      <c r="B20" s="254" t="s">
        <v>2357</v>
      </c>
      <c r="C20" s="276">
        <f ca="1">ROUND((C5+C19)*F20,0)</f>
        <v>19</v>
      </c>
      <c r="D20" s="276"/>
      <c r="E20" s="276"/>
      <c r="F20" s="277">
        <f>'数据-取费表'!B37</f>
        <v>0.02</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4">
        <f ca="1">ROUND(SUM(C23:C25),0)</f>
        <v>42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42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99</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99</v>
      </c>
      <c r="D28" s="279"/>
      <c r="E28" s="280"/>
      <c r="F28" s="290"/>
      <c r="G28" s="291"/>
    </row>
    <row r="29" spans="1:7" s="258" customFormat="1" ht="13.5" customHeight="1">
      <c r="A29" s="951" t="s">
        <v>792</v>
      </c>
      <c r="B29" s="292" t="s">
        <v>2380</v>
      </c>
      <c r="C29" s="282">
        <f ca="1">ROUND(C21*F27*'数据-取费表'!B21/'数据-取费表'!B20,4)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1206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486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424</v>
      </c>
      <c r="D34" s="261"/>
      <c r="E34" s="264"/>
      <c r="F34" s="301">
        <f ca="1">IF('数据-取费表'!B24=0,1,IF(B1="",'数据-取费表'!N16,INDIRECT("'数据-取费表'!n"&amp;$G$1)))</f>
        <v>1</v>
      </c>
      <c r="G34" s="263" t="s">
        <v>2389</v>
      </c>
    </row>
    <row r="35" spans="1:7" ht="13.5" customHeight="1">
      <c r="A35" s="951" t="s">
        <v>796</v>
      </c>
      <c r="B35" s="259" t="s">
        <v>2390</v>
      </c>
      <c r="C35" s="264">
        <f ca="1">ROUND(C34*F35,0)</f>
        <v>13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43</v>
      </c>
      <c r="D37" s="261">
        <f ca="1">D19</f>
        <v>2125.98</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10</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11</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11</v>
      </c>
      <c r="D42" s="282"/>
      <c r="E42" s="282"/>
      <c r="F42" s="283"/>
      <c r="G42" s="3145" t="s">
        <v>2407</v>
      </c>
    </row>
    <row r="43" spans="1:7" ht="13.5" customHeight="1">
      <c r="A43" s="951" t="s">
        <v>792</v>
      </c>
      <c r="B43" s="259" t="s">
        <v>2408</v>
      </c>
      <c r="C43" s="282">
        <f ca="1">ROUND(IF('数据-取费表'!B22&lt;=1,C39*F22*'数据-取费表'!B21/2,C39*(POWER((1+F22),'数据-取费表'!B21/2)-1)),0)</f>
        <v>0</v>
      </c>
      <c r="D43" s="282"/>
      <c r="E43" s="282"/>
      <c r="F43" s="283"/>
      <c r="G43" s="3146"/>
    </row>
    <row r="44" spans="1:7" ht="13.5" customHeight="1">
      <c r="A44" s="951" t="s">
        <v>793</v>
      </c>
      <c r="B44" s="259" t="s">
        <v>2409</v>
      </c>
      <c r="C44" s="282">
        <f ca="1">ROUND(IF('数据-取费表'!B22&lt;=1,C40*F22*'数据-取费表'!B21/2,C40*(POWER((1+F22),'数据-取费表'!B21/2)-1)),4)</f>
        <v>2.0000000000000001E-4</v>
      </c>
      <c r="D44" s="282"/>
      <c r="E44" s="282"/>
      <c r="F44" s="283"/>
      <c r="G44" s="3147"/>
    </row>
    <row r="45" spans="1:7" s="258" customFormat="1" ht="13.5" customHeight="1">
      <c r="A45" s="299" t="s">
        <v>2410</v>
      </c>
      <c r="B45" s="288" t="s">
        <v>2376</v>
      </c>
      <c r="C45" s="289">
        <f ca="1">C46</f>
        <v>50</v>
      </c>
      <c r="D45" s="279">
        <f ca="1">C47</f>
        <v>1E-3</v>
      </c>
      <c r="E45" s="280" t="s">
        <v>2402</v>
      </c>
      <c r="F45" s="290"/>
      <c r="G45" s="291" t="s">
        <v>2411</v>
      </c>
    </row>
    <row r="46" spans="1:7" s="258" customFormat="1" ht="13.5" customHeight="1">
      <c r="A46" s="951" t="s">
        <v>791</v>
      </c>
      <c r="B46" s="292" t="s">
        <v>2412</v>
      </c>
      <c r="C46" s="293">
        <f ca="1">ROUND((C33+C39)*F27,0)</f>
        <v>50</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595</v>
      </c>
      <c r="D49" s="276"/>
      <c r="E49" s="276"/>
      <c r="F49" s="308"/>
      <c r="G49" s="278" t="s">
        <v>2417</v>
      </c>
    </row>
    <row r="50" spans="1:7" s="302" customFormat="1" ht="24">
      <c r="A50" s="299" t="s">
        <v>2418</v>
      </c>
      <c r="B50" s="254" t="s">
        <v>2419</v>
      </c>
      <c r="C50" s="276"/>
      <c r="D50" s="276"/>
      <c r="E50" s="276"/>
      <c r="F50" s="308">
        <f>IF('数据-取费表'!B24=0,'数据-取费表'!N16,1)</f>
        <v>0.71</v>
      </c>
      <c r="G50" s="291" t="s">
        <v>2420</v>
      </c>
    </row>
    <row r="51" spans="1:7" ht="16.5" customHeight="1">
      <c r="A51" s="299" t="s">
        <v>2421</v>
      </c>
      <c r="B51" s="254" t="s">
        <v>2422</v>
      </c>
      <c r="C51" s="276">
        <f ca="1">ROUND(C49*F50,0)</f>
        <v>422</v>
      </c>
      <c r="D51" s="276"/>
      <c r="E51" s="276"/>
      <c r="F51" s="308"/>
      <c r="G51" s="278" t="s">
        <v>2423</v>
      </c>
    </row>
    <row r="52" spans="1:7" s="252" customFormat="1" ht="16.5" thickBot="1">
      <c r="A52" s="309" t="s">
        <v>2424</v>
      </c>
      <c r="B52" s="310"/>
      <c r="C52" s="311">
        <f ca="1">C31+C51</f>
        <v>1628</v>
      </c>
      <c r="D52" s="310"/>
      <c r="E52" s="310"/>
      <c r="F52" s="310"/>
      <c r="G52" s="312"/>
    </row>
    <row r="55" spans="1:7" ht="15">
      <c r="B55" s="314" t="s">
        <v>2425</v>
      </c>
      <c r="C55" s="315"/>
    </row>
    <row r="56" spans="1:7">
      <c r="B56" s="317" t="s">
        <v>1507</v>
      </c>
      <c r="C56" s="319">
        <f ca="1">1-C57</f>
        <v>0.74099999999999999</v>
      </c>
    </row>
    <row r="57" spans="1:7">
      <c r="B57" s="317" t="s">
        <v>1508</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8" zoomScale="80" zoomScaleNormal="80" zoomScaleSheetLayoutView="96" workbookViewId="0">
      <selection activeCell="D94" sqref="D94"/>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2125.98</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907</v>
      </c>
      <c r="C2" s="2719" t="s">
        <v>2811</v>
      </c>
      <c r="D2" s="2720" t="s">
        <v>2812</v>
      </c>
      <c r="E2" s="2721" t="s">
        <v>6</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Ⅸ-雁栖开发区B</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8008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4266</v>
      </c>
      <c r="C3" s="2719" t="s">
        <v>2817</v>
      </c>
      <c r="D3" s="2720" t="s">
        <v>2818</v>
      </c>
      <c r="E3" s="2725" t="s">
        <v>3064</v>
      </c>
      <c r="F3" s="2726" t="s">
        <v>3082</v>
      </c>
      <c r="G3" s="916">
        <f>IF(F3="宗地容积率",'数据-汇总表'!I4,IF(F3="估价对象容积率",'数据-汇总表'!I6,'数据-汇总表'!I7))</f>
        <v>0.23</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1"/>
      <c r="B4" s="3262"/>
      <c r="C4" s="3262"/>
      <c r="D4" s="3263"/>
      <c r="E4" s="3263"/>
      <c r="F4" s="3263"/>
      <c r="G4" s="3263"/>
      <c r="H4" s="3263"/>
      <c r="I4" s="3263"/>
      <c r="J4" s="3264"/>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4153</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830</v>
      </c>
      <c r="D5" s="1787">
        <f>ROUND(C6+C16,0)</f>
        <v>830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3103</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760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2333</v>
      </c>
      <c r="U6" s="1603"/>
      <c r="V6" s="1602">
        <f t="shared" ca="1" si="1"/>
        <v>0</v>
      </c>
      <c r="W6" s="1606"/>
      <c r="X6" s="1606"/>
      <c r="Y6" s="1606"/>
      <c r="Z6" s="1606"/>
      <c r="AA6" s="1606"/>
      <c r="AB6" s="1606"/>
      <c r="AC6" s="2733"/>
      <c r="AD6" s="2734"/>
      <c r="AE6" s="2734"/>
      <c r="AF6" s="2734"/>
      <c r="AG6" s="2734"/>
      <c r="AH6" s="2734"/>
      <c r="AI6" s="2734"/>
      <c r="AJ6" s="2735"/>
    </row>
    <row r="7" spans="1:36" ht="24">
      <c r="A7" s="3245"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1866</v>
      </c>
      <c r="U7" s="1603"/>
      <c r="V7" s="1602">
        <f t="shared" ca="1" si="1"/>
        <v>0</v>
      </c>
      <c r="W7" s="1816" t="s">
        <v>2832</v>
      </c>
      <c r="X7" s="1604" t="str">
        <f>G2</f>
        <v>九级</v>
      </c>
      <c r="Y7" s="1604" t="s">
        <v>2833</v>
      </c>
      <c r="Z7" s="1605">
        <f>G3</f>
        <v>0.23</v>
      </c>
      <c r="AA7" s="1606"/>
      <c r="AB7" s="1606"/>
      <c r="AC7" s="1607"/>
      <c r="AD7" s="1608"/>
      <c r="AE7" s="1608"/>
      <c r="AF7" s="1608"/>
      <c r="AG7" s="1608"/>
      <c r="AH7" s="1608"/>
      <c r="AI7" s="1608"/>
      <c r="AJ7" s="1609"/>
    </row>
    <row r="8" spans="1:36" ht="15">
      <c r="A8" s="3265"/>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8" t="s">
        <v>2837</v>
      </c>
      <c r="X8" s="3259"/>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5"/>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60"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5"/>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5"/>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0" t="s">
        <v>2861</v>
      </c>
      <c r="X11" s="1614" t="s">
        <v>2862</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5" thickBot="1">
      <c r="A12" s="3245"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0"/>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6"/>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60"/>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66"/>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7"/>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2880</v>
      </c>
      <c r="B16" s="2743" t="s">
        <v>2881</v>
      </c>
      <c r="C16" s="2930">
        <f>ROUND(IF(F17="与级别开发程度一致",0,(G17-E17)/C17),0)</f>
        <v>70</v>
      </c>
      <c r="D16" s="3256" t="s">
        <v>2885</v>
      </c>
      <c r="E16" s="3257"/>
      <c r="F16" s="3256" t="s">
        <v>2882</v>
      </c>
      <c r="G16" s="3257"/>
      <c r="H16" s="2777" t="s">
        <v>3087</v>
      </c>
      <c r="I16" s="2777" t="s">
        <v>3086</v>
      </c>
      <c r="J16" s="2934" t="s">
        <v>3088</v>
      </c>
      <c r="K16" s="2777" t="s">
        <v>3089</v>
      </c>
      <c r="L16" s="2777" t="s">
        <v>3090</v>
      </c>
      <c r="M16" s="2777" t="s">
        <v>3091</v>
      </c>
      <c r="N16" s="2777" t="s">
        <v>3093</v>
      </c>
      <c r="O16" s="2778" t="s">
        <v>3092</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6"/>
      <c r="B17" s="2941" t="s">
        <v>2884</v>
      </c>
      <c r="C17" s="2942">
        <f>SUMPRODUCT((修正!A2:A5=E2)*(修正!B1:M1=G2)*(修正!B2:M5))</f>
        <v>1</v>
      </c>
      <c r="D17" s="229" t="str">
        <f>IF(OR(G2="八级",G2="九级",G2="十级",G2="十一级",G2="十二级"),"五通一平","七通一平")</f>
        <v>五通一平</v>
      </c>
      <c r="E17" s="2931">
        <f>SUMPRODUCT((修正!B1:M1=G2)*(修正!B15:M15))</f>
        <v>155</v>
      </c>
      <c r="F17" s="2932" t="s">
        <v>3085</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2888</v>
      </c>
      <c r="C19" s="924">
        <f>ROUND(IF(H19="按公示增长率计算",SUMPRODUCT((地价!A3:A29=YEAR(G19)&amp;"-"&amp;ROUNDUP(MONTH(G19)/3,0))*(地价!X2:AB2=E2)*(地价!X3:AB29)),IF(H19="地价指数",M20/M19,(1+I19)^O19)),4)</f>
        <v>1.3695999999999999</v>
      </c>
      <c r="D19" s="2787" t="s">
        <v>2889</v>
      </c>
      <c r="E19" s="925">
        <v>41640</v>
      </c>
      <c r="F19" s="2787" t="s">
        <v>2890</v>
      </c>
      <c r="G19" s="926">
        <f>'数据-取费表'!B2</f>
        <v>43894</v>
      </c>
      <c r="H19" s="2788" t="s">
        <v>3066</v>
      </c>
      <c r="I19" s="927" t="str">
        <f>IF(H19="季度增幅（自定义）",SUMIF(N21:N24,E2,O21:O24),"")</f>
        <v/>
      </c>
      <c r="J19" s="2785"/>
      <c r="K19" s="1377"/>
      <c r="L19" s="2789" t="s">
        <v>2891</v>
      </c>
      <c r="M19" s="1734">
        <f>ROUND(SUMIF(地价!B2:F2,E2,地价!B29:F29),0)</f>
        <v>230</v>
      </c>
      <c r="N19" s="2790"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0.81969999999999998</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28.82</v>
      </c>
      <c r="J20" s="936">
        <f>IF(E2="住宅",70,IF(E2="商业",40,50))</f>
        <v>50</v>
      </c>
      <c r="K20" s="1377"/>
      <c r="L20" s="2797" t="s">
        <v>2896</v>
      </c>
      <c r="M20" s="1735">
        <f>ROUND(SUMPRODUCT((地价!A4:A29=YEAR(G19)&amp;"-"&amp;ROUNDUP(MONTH(G19)/3,0))*(地价!B2:F2=E2)*(地价!B4:F29)),0)</f>
        <v>315</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3065</v>
      </c>
      <c r="C21" s="937">
        <f>IF(B21="容积率修正",IF(G3&lt;=10,D22,J22),C23)</f>
        <v>4.5</v>
      </c>
      <c r="D21" s="2803"/>
      <c r="E21" s="2803"/>
      <c r="F21" s="2803"/>
      <c r="G21" s="2803"/>
      <c r="H21" s="2803"/>
      <c r="I21" s="2803"/>
      <c r="J21" s="2804"/>
      <c r="K21" s="1377"/>
      <c r="N21" s="2805"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924">
        <f>SUMIF(A45:A88,E2,B45:B88)</f>
        <v>1.0178</v>
      </c>
      <c r="D24" s="2784"/>
      <c r="E24" s="2813"/>
      <c r="F24" s="2813"/>
      <c r="G24" s="2813"/>
      <c r="H24" s="2813"/>
      <c r="I24" s="2813"/>
      <c r="J24" s="2814"/>
      <c r="K24" s="1377"/>
      <c r="N24" s="2815"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2912</v>
      </c>
      <c r="C26" s="206">
        <f ca="1">E29+SUM(E33:E39)</f>
        <v>907</v>
      </c>
      <c r="D26" s="2820"/>
      <c r="E26" s="2771"/>
      <c r="F26" s="2821"/>
      <c r="G26" s="2771"/>
      <c r="H26" s="2771"/>
      <c r="I26" s="2771"/>
      <c r="J26" s="2822"/>
      <c r="K26" s="1370"/>
      <c r="L26" s="2775" t="s">
        <v>2812</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4268</v>
      </c>
      <c r="D29" s="2835">
        <f>'数据-汇总表'!F19</f>
        <v>2125.98</v>
      </c>
      <c r="E29" s="942">
        <f ca="1">ROUND(C29*D29/10000,0)</f>
        <v>907</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2920</v>
      </c>
      <c r="C30" s="229">
        <f ca="1">ROUND(IF(E2="工业",C29*M39,C29*M38),0)</f>
        <v>640</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3" t="s">
        <v>2926</v>
      </c>
      <c r="B33" s="2851" t="s">
        <v>2927</v>
      </c>
      <c r="C33" s="206">
        <f ca="1">ROUND(D5*C19*C20*C24*F33,0)</f>
        <v>569</v>
      </c>
      <c r="D33" s="2835"/>
      <c r="E33" s="200">
        <f ca="1">ROUND(C33*D33/10000,0)</f>
        <v>0</v>
      </c>
      <c r="F33" s="200">
        <f>SUMIF(修正!A45:A56,G2,修正!B45:B56)</f>
        <v>0.6</v>
      </c>
      <c r="G33" s="200">
        <f t="shared" ref="G33" ca="1" si="6">ROUND(IF(E2="工业",C33*$M$39,C33*$M$38),0)</f>
        <v>85</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3" t="s">
        <v>2928</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3" t="s">
        <v>2929</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55"/>
      <c r="B36" s="2763" t="s">
        <v>2930</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2931</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c r="A38" s="2853"/>
      <c r="B38" s="2763" t="s">
        <v>2933</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thickBot="1">
      <c r="A39" s="2839"/>
      <c r="B39" s="2857" t="s">
        <v>2935</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3042</v>
      </c>
      <c r="C41" s="388">
        <f ca="1">ROUND(POWER(1+E41,H41-G41)*(POWER(1+E41,G41)-1)/(POWER(1+E41,H41)-1),4)</f>
        <v>0</v>
      </c>
      <c r="D41" s="200" t="s">
        <v>2886</v>
      </c>
      <c r="E41" s="2927">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1.0178</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2595</v>
      </c>
      <c r="K80" s="603" t="s">
        <v>2596</v>
      </c>
      <c r="L80" s="603" t="s">
        <v>2597</v>
      </c>
      <c r="M80" s="603" t="s">
        <v>2598</v>
      </c>
      <c r="N80" s="603" t="s">
        <v>2599</v>
      </c>
      <c r="Z80" s="2718"/>
      <c r="AA80" s="2786"/>
      <c r="AG80" s="1372"/>
      <c r="AK80" s="2786"/>
    </row>
    <row r="81" spans="1:37" ht="38.25">
      <c r="A81" s="2868" t="s">
        <v>2965</v>
      </c>
      <c r="B81" s="2872" t="str">
        <f>估价对象房地状况!G15</f>
        <v>估价对象位于XX开发区，园区建设成熟度XX，产业集聚程度XX</v>
      </c>
      <c r="C81" s="2768" t="s">
        <v>3067</v>
      </c>
      <c r="D81" s="1286">
        <f t="shared" ref="D81:D88" si="25">SUMIF($J$80:$N$80,C81,J81:N81)</f>
        <v>6.4999999999999997E-3</v>
      </c>
      <c r="E81" s="821">
        <f>ROUND(SUM(D81:D88),4)</f>
        <v>1.78E-2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2947</v>
      </c>
      <c r="B82" s="2872" t="str">
        <f>估价对象房地状况!G16</f>
        <v>估价对象周边道路状况、公共交通通达情况、停车便捷程度，综合评价交通便捷度较好</v>
      </c>
      <c r="C82" s="2768" t="s">
        <v>3068</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2948</v>
      </c>
      <c r="B83" s="2872">
        <f>估价对象房地状况!G17</f>
        <v>0</v>
      </c>
      <c r="C83" s="2768" t="s">
        <v>3067</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2962</v>
      </c>
      <c r="B84" s="2872">
        <f>估价对象房地状况!G22</f>
        <v>0</v>
      </c>
      <c r="C84" s="2957" t="s">
        <v>3094</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2954</v>
      </c>
      <c r="B85" s="1725" t="str">
        <f>估价对象房地状况!G19</f>
        <v>估价对象所在区域公共配套设施齐备情况</v>
      </c>
      <c r="C85" s="2768" t="s">
        <v>3068</v>
      </c>
      <c r="D85" s="1286">
        <f t="shared" si="25"/>
        <v>0</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2955</v>
      </c>
      <c r="B86" s="1725" t="str">
        <f>估价对象房地状况!G20</f>
        <v>估价对象所在区域基础设施水平</v>
      </c>
      <c r="C86" s="2958" t="s">
        <v>3095</v>
      </c>
      <c r="D86" s="1286">
        <f t="shared" si="25"/>
        <v>7.4000000000000003E-3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2952</v>
      </c>
      <c r="B87" s="3288" t="s">
        <v>3097</v>
      </c>
      <c r="C87" s="2958" t="s">
        <v>3067</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2966</v>
      </c>
      <c r="B88" s="2881" t="str">
        <f>估价对象房地状况!G18</f>
        <v>该园区内是否有污染型企业，绿化情况，卫生条件，整体环境状况判断</v>
      </c>
      <c r="C88" s="2768" t="s">
        <v>3067</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47" t="s">
        <v>2967</v>
      </c>
      <c r="B90" s="3247"/>
      <c r="C90" s="3247"/>
      <c r="D90" s="3247"/>
      <c r="E90" s="3247"/>
      <c r="F90" s="3247"/>
      <c r="G90" s="3247"/>
      <c r="H90" s="3247"/>
      <c r="I90" s="3247"/>
      <c r="J90" s="3247"/>
      <c r="K90" s="2882"/>
      <c r="L90" s="2882"/>
      <c r="M90" s="2882"/>
      <c r="N90" s="2882"/>
    </row>
    <row r="91" spans="1:37">
      <c r="A91" s="3249" t="s">
        <v>2968</v>
      </c>
      <c r="B91" s="3249" t="s">
        <v>2969</v>
      </c>
      <c r="C91" s="2836" t="s">
        <v>2970</v>
      </c>
      <c r="D91" s="2837"/>
      <c r="E91" s="2837"/>
      <c r="F91" s="2837"/>
      <c r="G91" s="2837"/>
      <c r="H91" s="2837"/>
      <c r="I91" s="2837"/>
      <c r="J91" s="2883"/>
      <c r="K91" s="2884"/>
      <c r="L91" s="2884"/>
      <c r="M91" s="2884"/>
      <c r="N91" s="2884"/>
    </row>
    <row r="92" spans="1:37">
      <c r="A92" s="3249"/>
      <c r="B92" s="324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0"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1"/>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0" t="s">
        <v>2972</v>
      </c>
      <c r="B101" s="2889" t="s">
        <v>2973</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51"/>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51"/>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51"/>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51"/>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51"/>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51"/>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51"/>
      <c r="B108" s="3079"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2"/>
      <c r="B109" s="3080"/>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48" t="s">
        <v>2975</v>
      </c>
      <c r="B110" s="3248"/>
      <c r="C110" s="3248"/>
      <c r="D110" s="3248"/>
      <c r="E110" s="3248"/>
      <c r="F110" s="3248"/>
      <c r="G110" s="3248"/>
      <c r="H110" s="3248"/>
      <c r="I110" s="3248"/>
      <c r="J110" s="3248"/>
      <c r="K110" s="2891"/>
      <c r="L110" s="2891"/>
      <c r="M110" s="2891"/>
      <c r="N110" s="2891"/>
    </row>
    <row r="112" spans="1:14" ht="13.5" thickBot="1"/>
    <row r="113" spans="1:13" ht="25.5" thickBot="1">
      <c r="A113" s="903" t="s">
        <v>2976</v>
      </c>
      <c r="B113" s="1287">
        <f>G3</f>
        <v>0.23</v>
      </c>
      <c r="C113" s="904" t="s">
        <v>2977</v>
      </c>
      <c r="D113" s="905">
        <f>SUMPRODUCT((A115:A118=F113)*(B114:M114=H113)*B115:M118)</f>
        <v>0.56359999999999999</v>
      </c>
      <c r="E113" s="2722" t="s">
        <v>2812</v>
      </c>
      <c r="F113" s="2893" t="str">
        <f>E2</f>
        <v>工业</v>
      </c>
      <c r="G113" s="2722" t="s">
        <v>2813</v>
      </c>
      <c r="H113" s="2893" t="str">
        <f>G2</f>
        <v>九级</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2876</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2877</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2878</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5" thickBot="1">
      <c r="A118" s="714" t="s">
        <v>2879</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2998</v>
      </c>
    </row>
    <row r="2" spans="1:5" ht="15.75">
      <c r="A2" s="2900" t="s">
        <v>2990</v>
      </c>
      <c r="B2" s="2901">
        <f ca="1">SUMIF(B6:B13,"&lt;&gt;#ref!",B6:B13)</f>
        <v>907</v>
      </c>
      <c r="C2" s="2900" t="s">
        <v>2991</v>
      </c>
      <c r="D2" s="2900" t="s">
        <v>2992</v>
      </c>
      <c r="E2" s="2901">
        <f ca="1">SUMIF(E6:E13,"&lt;&gt;#ref!",E6:E13)</f>
        <v>2125.98</v>
      </c>
    </row>
    <row r="3" spans="1:5" ht="15.75">
      <c r="A3" s="2900" t="s">
        <v>2993</v>
      </c>
      <c r="B3" s="2901">
        <f ca="1">ROUND(B2*10000/E2,0)</f>
        <v>4266</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f ca="1">SUMIF(INDIRECT("'"&amp;A6&amp;"'"&amp;"!A:A"),"总价",INDIRECT("'"&amp;A6&amp;"'"&amp;"!B:B"))</f>
        <v>907</v>
      </c>
      <c r="C6" s="2900" t="s">
        <v>2991</v>
      </c>
      <c r="D6" s="2902"/>
      <c r="E6" s="2573">
        <f ca="1">SUMIF(INDIRECT("'"&amp;A6&amp;"'"&amp;"!C:C"),"建筑面积",INDIRECT("'"&amp;A6&amp;"'"&amp;"!D:D"))</f>
        <v>2125.98</v>
      </c>
    </row>
    <row r="7" spans="1:5" ht="15.75">
      <c r="A7" s="2905"/>
      <c r="B7" s="2901" t="e">
        <f ca="1">SUMIF(INDIRECT("'"&amp;A7&amp;"'"&amp;"!A:A"),"总价",INDIRECT("'"&amp;A7&amp;"'"&amp;"!B:B"))</f>
        <v>#REF!</v>
      </c>
      <c r="C7" s="2900" t="s">
        <v>2991</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3" t="e">
        <f t="shared" ca="1" si="0"/>
        <v>#REF!</v>
      </c>
    </row>
    <row r="9" spans="1:5" ht="15.75">
      <c r="A9" s="2905"/>
      <c r="B9" s="2901" t="e">
        <f t="shared" ca="1" si="1"/>
        <v>#REF!</v>
      </c>
      <c r="C9" s="2900" t="s">
        <v>2991</v>
      </c>
      <c r="D9" s="2902"/>
      <c r="E9" s="2573" t="e">
        <f t="shared" ca="1" si="0"/>
        <v>#REF!</v>
      </c>
    </row>
    <row r="10" spans="1:5" ht="15.75">
      <c r="A10" s="2905"/>
      <c r="B10" s="2901" t="e">
        <f t="shared" ca="1" si="1"/>
        <v>#REF!</v>
      </c>
      <c r="C10" s="2900" t="s">
        <v>2991</v>
      </c>
      <c r="D10" s="2902"/>
      <c r="E10" s="2573" t="e">
        <f t="shared" ca="1" si="0"/>
        <v>#REF!</v>
      </c>
    </row>
    <row r="11" spans="1:5" ht="15.75">
      <c r="A11" s="2905"/>
      <c r="B11" s="2901" t="e">
        <f t="shared" ca="1" si="1"/>
        <v>#REF!</v>
      </c>
      <c r="C11" s="2900" t="s">
        <v>2991</v>
      </c>
      <c r="D11" s="2902"/>
      <c r="E11" s="2573" t="e">
        <f t="shared" ca="1" si="0"/>
        <v>#REF!</v>
      </c>
    </row>
    <row r="12" spans="1:5" ht="15.75">
      <c r="A12" s="2905"/>
      <c r="B12" s="2901" t="e">
        <f t="shared" ca="1" si="1"/>
        <v>#REF!</v>
      </c>
      <c r="C12" s="2900" t="s">
        <v>2991</v>
      </c>
      <c r="D12" s="2902"/>
      <c r="E12" s="2573" t="e">
        <f t="shared" ca="1" si="0"/>
        <v>#REF!</v>
      </c>
    </row>
    <row r="13" spans="1:5" ht="15.75">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L7" sqref="L7:M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1145</v>
      </c>
      <c r="C1" s="3274"/>
      <c r="D1" s="3274"/>
      <c r="E1" s="3274"/>
      <c r="F1" s="3274"/>
      <c r="G1" s="3270" t="s">
        <v>1146</v>
      </c>
      <c r="H1" s="3270"/>
      <c r="I1" s="3270"/>
      <c r="J1" s="3270"/>
      <c r="K1" s="3270"/>
      <c r="L1" s="3270"/>
      <c r="N1" s="3270" t="s">
        <v>1147</v>
      </c>
      <c r="O1" s="3270"/>
      <c r="P1" s="3270"/>
      <c r="Q1" s="3270"/>
      <c r="R1" s="1446"/>
      <c r="S1" s="3270" t="s">
        <v>1148</v>
      </c>
      <c r="T1" s="3270"/>
      <c r="U1" s="3270"/>
      <c r="V1" s="3270"/>
      <c r="X1" s="3269" t="s">
        <v>1149</v>
      </c>
      <c r="Y1" s="3270"/>
      <c r="Z1" s="3270"/>
      <c r="AA1" s="3270"/>
      <c r="AB1" s="3270"/>
      <c r="AD1" s="3269" t="s">
        <v>1150</v>
      </c>
      <c r="AE1" s="3270"/>
      <c r="AF1" s="3270"/>
      <c r="AG1" s="3270"/>
      <c r="AH1" s="327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3033</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72">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2"/>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2"/>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27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2"/>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2"/>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2"/>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2"/>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3"/>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1">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2"/>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2"/>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3"/>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1">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2"/>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2"/>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3"/>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1">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2"/>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2"/>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3"/>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1">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2">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2">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3">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1">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2">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2">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3">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1">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2">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2">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3">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1">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2">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2">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3">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1">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2">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2">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3">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1">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2">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2">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3">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1">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2">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2">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3">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1">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2">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2">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3">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2">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2">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2">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2">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3">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1" t="s">
        <v>3001</v>
      </c>
      <c r="D1" s="3282"/>
      <c r="E1" s="3282"/>
      <c r="F1" s="3282"/>
      <c r="G1" s="3282"/>
      <c r="H1" s="3282"/>
      <c r="I1" s="3282"/>
      <c r="J1" s="3282"/>
      <c r="K1" s="3282"/>
      <c r="L1" s="3282"/>
      <c r="M1" s="3282"/>
      <c r="N1" s="3282"/>
      <c r="O1" s="3282"/>
      <c r="P1" s="3282"/>
      <c r="Q1" s="3282"/>
      <c r="R1" s="3282"/>
      <c r="S1" s="328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3010</v>
      </c>
      <c r="B17" s="2907"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09" t="s">
        <v>3014</v>
      </c>
      <c r="E20" s="1793"/>
      <c r="F20" s="1204" t="e">
        <f ca="1">SUMIF(INDIRECT("'"&amp;H20&amp;"'"&amp;"!A:A"),"承租人权益价值",INDIRECT("'"&amp;H20&amp;"'"&amp;"!c:c"))</f>
        <v>#REF!</v>
      </c>
      <c r="G20" s="1204" t="s">
        <v>3015</v>
      </c>
      <c r="H20" s="2910"/>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0" t="s">
        <v>33</v>
      </c>
      <c r="D22" s="3061"/>
      <c r="E22" s="3061"/>
      <c r="F22" s="3061"/>
      <c r="G22" s="3061"/>
      <c r="H22" s="3061"/>
      <c r="I22" s="3061"/>
      <c r="J22" s="3061"/>
      <c r="K22" s="3061"/>
      <c r="L22" s="3061"/>
      <c r="M22" s="3061"/>
      <c r="N22" s="3061"/>
      <c r="O22" s="3061"/>
      <c r="P22" s="3061"/>
      <c r="Q22" s="328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1624</v>
      </c>
      <c r="C4" s="2963"/>
      <c r="D4" s="2963"/>
      <c r="E4" s="1960"/>
    </row>
    <row r="5" spans="1:5" ht="16.5" thickTop="1">
      <c r="A5" s="1958"/>
      <c r="B5" s="2961" t="s">
        <v>1616</v>
      </c>
      <c r="C5" s="1961" t="s">
        <v>1617</v>
      </c>
      <c r="D5" s="1040">
        <f ca="1">结果表!H101</f>
        <v>1535</v>
      </c>
      <c r="E5" s="1958"/>
    </row>
    <row r="6" spans="1:5" ht="15.75">
      <c r="A6" s="1958"/>
      <c r="B6" s="2961"/>
      <c r="C6" s="1961" t="s">
        <v>1618</v>
      </c>
      <c r="D6" s="1040" t="str">
        <f ca="1">NUMBERSTRING(INT(D5*10000),2)&amp;"元整"</f>
        <v>壹仟伍佰叁拾伍万元整</v>
      </c>
      <c r="E6" s="1958"/>
    </row>
    <row r="7" spans="1:5" ht="15.75">
      <c r="A7" s="1958"/>
      <c r="B7" s="2966"/>
      <c r="C7" s="1962" t="s">
        <v>1619</v>
      </c>
      <c r="D7" s="1041">
        <f ca="1">结果表!H102</f>
        <v>7220</v>
      </c>
      <c r="E7" s="1958"/>
    </row>
    <row r="8" spans="1:5" ht="15.75">
      <c r="A8" s="1958"/>
      <c r="B8" s="2967" t="str">
        <f>结果表!E103</f>
        <v>2.估价师知悉的法定优先受偿款</v>
      </c>
      <c r="C8" s="1963" t="s">
        <v>1620</v>
      </c>
      <c r="D8" s="1041">
        <f>结果表!H103</f>
        <v>0</v>
      </c>
      <c r="E8" s="1958"/>
    </row>
    <row r="9" spans="1:5" ht="15.75">
      <c r="A9" s="1958"/>
      <c r="B9" s="296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0" t="str">
        <f>结果表!E107</f>
        <v>3.房地产抵押价值</v>
      </c>
      <c r="C13" s="1966" t="s">
        <v>1617</v>
      </c>
      <c r="D13" s="1043">
        <f ca="1">结果表!H107</f>
        <v>1535</v>
      </c>
      <c r="E13" s="1958"/>
    </row>
    <row r="14" spans="1:5" ht="15.75">
      <c r="A14" s="1958"/>
      <c r="B14" s="2961"/>
      <c r="C14" s="1961" t="s">
        <v>1618</v>
      </c>
      <c r="D14" s="1040" t="str">
        <f ca="1">NUMBERSTRING(INT(D13*10000),2)&amp;"元整"</f>
        <v>壹仟伍佰叁拾伍万元整</v>
      </c>
      <c r="E14" s="1958"/>
    </row>
    <row r="15" spans="1:5" ht="15">
      <c r="A15" s="1958"/>
      <c r="B15" s="2966"/>
      <c r="C15" s="1962" t="s">
        <v>1628</v>
      </c>
      <c r="D15" s="1052">
        <f ca="1">结果表!H108</f>
        <v>7220</v>
      </c>
      <c r="E15" s="1958"/>
    </row>
    <row r="16" spans="1:5" ht="15">
      <c r="A16" s="1958"/>
      <c r="B16" s="2967" t="str">
        <f>结果表!E109</f>
        <v>——</v>
      </c>
      <c r="C16" s="1966" t="s">
        <v>1629</v>
      </c>
      <c r="D16" s="1967" t="str">
        <f>结果表!H109</f>
        <v>——</v>
      </c>
      <c r="E16" s="1958"/>
    </row>
    <row r="17" spans="1:5" ht="15.75">
      <c r="A17" s="1958"/>
      <c r="B17" s="2968"/>
      <c r="C17" s="1961" t="s">
        <v>1630</v>
      </c>
      <c r="D17" s="1040" t="e">
        <f>NUMBERSTRING(INT(D16*10000),2)&amp;"元整"</f>
        <v>#VALUE!</v>
      </c>
      <c r="E17" s="1958"/>
    </row>
    <row r="18" spans="1:5" ht="15">
      <c r="A18" s="1958"/>
      <c r="B18" s="2969"/>
      <c r="C18" s="1962" t="s">
        <v>1619</v>
      </c>
      <c r="D18" s="1052" t="str">
        <f>结果表!H110</f>
        <v>——</v>
      </c>
      <c r="E18" s="1958"/>
    </row>
    <row r="19" spans="1:5" ht="15.75">
      <c r="A19" s="1958"/>
      <c r="B19" s="2960" t="str">
        <f>结果表!E111</f>
        <v>——</v>
      </c>
      <c r="C19" s="1966" t="s">
        <v>1617</v>
      </c>
      <c r="D19" s="1041" t="str">
        <f>结果表!H111</f>
        <v>——</v>
      </c>
      <c r="E19" s="1958"/>
    </row>
    <row r="20" spans="1:5" ht="15.75">
      <c r="A20" s="1958"/>
      <c r="B20" s="2961"/>
      <c r="C20" s="1961" t="s">
        <v>1630</v>
      </c>
      <c r="D20" s="1040" t="e">
        <f>NUMBERSTRING(INT(D19*10000),2)&amp;"元整"</f>
        <v>#VALUE!</v>
      </c>
      <c r="E20" s="1958"/>
    </row>
    <row r="21" spans="1:5" ht="15.75" thickBot="1">
      <c r="A21" s="1958"/>
      <c r="B21" s="296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26138</v>
      </c>
      <c r="C2" s="2" t="s">
        <v>133</v>
      </c>
      <c r="D2" s="243"/>
      <c r="E2" s="243"/>
      <c r="F2" s="243"/>
      <c r="G2" s="243"/>
    </row>
    <row r="3" spans="1:7" s="244" customFormat="1" ht="18" customHeight="1" thickBot="1">
      <c r="A3" s="247" t="s">
        <v>85</v>
      </c>
      <c r="B3" s="248">
        <f ca="1">ROUND(B2*10000/'数据-汇总表'!E3,0)</f>
        <v>122946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908</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2107</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2107</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25716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486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424</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11</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11</v>
      </c>
      <c r="D42" s="282"/>
      <c r="E42" s="282"/>
      <c r="F42" s="283"/>
      <c r="G42" s="3145" t="s">
        <v>121</v>
      </c>
    </row>
    <row r="43" spans="1:7" ht="13.5" customHeight="1">
      <c r="A43" s="951" t="s">
        <v>792</v>
      </c>
      <c r="B43" s="259" t="s">
        <v>1060</v>
      </c>
      <c r="C43" s="282">
        <f ca="1">ROUND(IF('数据-取费表'!B22&lt;=1,C39*F22*'数据-取费表'!B21/2,C39*(POWER((1+F22),'数据-取费表'!B21/2)-1)),0)</f>
        <v>0</v>
      </c>
      <c r="D43" s="282"/>
      <c r="E43" s="282"/>
      <c r="F43" s="283"/>
      <c r="G43" s="3146"/>
    </row>
    <row r="44" spans="1:7" ht="13.5" customHeight="1">
      <c r="A44" s="951" t="s">
        <v>793</v>
      </c>
      <c r="B44" s="259" t="s">
        <v>1062</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50</v>
      </c>
      <c r="D45" s="279">
        <f>C47</f>
        <v>1E-3</v>
      </c>
      <c r="E45" s="280" t="s">
        <v>129</v>
      </c>
      <c r="F45" s="290"/>
      <c r="G45" s="291" t="s">
        <v>1068</v>
      </c>
    </row>
    <row r="46" spans="1:7" s="258" customFormat="1" ht="13.5" customHeight="1">
      <c r="A46" s="951" t="s">
        <v>794</v>
      </c>
      <c r="B46" s="292" t="s">
        <v>1061</v>
      </c>
      <c r="C46" s="293">
        <f>ROUND((C33+C39)*F27,0)</f>
        <v>50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595</v>
      </c>
      <c r="D49" s="276"/>
      <c r="E49" s="276"/>
      <c r="F49" s="308"/>
      <c r="G49" s="278" t="s">
        <v>1069</v>
      </c>
    </row>
    <row r="50" spans="1:7" s="302" customFormat="1" ht="24">
      <c r="A50" s="948" t="s">
        <v>789</v>
      </c>
      <c r="B50" s="254" t="s">
        <v>124</v>
      </c>
      <c r="C50" s="276"/>
      <c r="D50" s="276"/>
      <c r="E50" s="276"/>
      <c r="F50" s="308">
        <f>IF('数据-取费表'!B24=0,'数据-取费表'!N16,1)</f>
        <v>0.71</v>
      </c>
      <c r="G50" s="291" t="s">
        <v>125</v>
      </c>
    </row>
    <row r="51" spans="1:7" ht="16.5" customHeight="1">
      <c r="A51" s="948" t="s">
        <v>790</v>
      </c>
      <c r="B51" s="254" t="s">
        <v>132</v>
      </c>
      <c r="C51" s="276">
        <f ca="1">ROUND(C49*F50,0)</f>
        <v>422</v>
      </c>
      <c r="D51" s="276"/>
      <c r="E51" s="276"/>
      <c r="F51" s="308"/>
      <c r="G51" s="278" t="s">
        <v>64</v>
      </c>
    </row>
    <row r="52" spans="1:7" s="252" customFormat="1" ht="16.5" thickBot="1">
      <c r="A52" s="309" t="s">
        <v>65</v>
      </c>
      <c r="B52" s="310"/>
      <c r="C52" s="311">
        <f ca="1">C31+C51</f>
        <v>26138</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867</v>
      </c>
      <c r="B1" s="328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1635</v>
      </c>
      <c r="B2" s="2971" t="s">
        <v>1636</v>
      </c>
      <c r="C2" s="2971" t="s">
        <v>1637</v>
      </c>
      <c r="D2" s="2971" t="str">
        <f>结果表!D116</f>
        <v>出让国有建设用地使用权价值</v>
      </c>
      <c r="E2" s="2971"/>
      <c r="F2" s="2971" t="str">
        <f>结果表!F116</f>
        <v>建筑物价值</v>
      </c>
      <c r="G2" s="2971"/>
      <c r="H2" s="2971" t="str">
        <f>IF(项目基本情况!B9="房地产市场价值","房地产市场价值","房地产价值")</f>
        <v>房地产价值</v>
      </c>
      <c r="I2" s="2971"/>
    </row>
    <row r="3" spans="1:9" ht="15">
      <c r="A3" s="2972"/>
      <c r="B3" s="2972"/>
      <c r="C3" s="2972"/>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1137</v>
      </c>
      <c r="E4" s="1044">
        <f ca="1">结果表!E118</f>
        <v>5348</v>
      </c>
      <c r="F4" s="1044">
        <f ca="1">结果表!F118</f>
        <v>398</v>
      </c>
      <c r="G4" s="1044">
        <f ca="1">结果表!G118</f>
        <v>1872</v>
      </c>
      <c r="H4" s="1044">
        <f ca="1">结果表!H118</f>
        <v>1535</v>
      </c>
      <c r="I4" s="1044">
        <f ca="1">结果表!I118</f>
        <v>7220</v>
      </c>
    </row>
    <row r="5" spans="1:9" ht="30" customHeight="1">
      <c r="A5" s="2972" t="s">
        <v>1634</v>
      </c>
      <c r="B5" s="2972"/>
      <c r="C5" s="2972"/>
      <c r="D5" s="2973" t="str">
        <f ca="1">结果表!D119</f>
        <v>壹仟壹佰叁拾柒万元整</v>
      </c>
      <c r="E5" s="2973"/>
      <c r="F5" s="2973" t="str">
        <f ca="1">结果表!F119</f>
        <v>叁佰玖拾捌万元整</v>
      </c>
      <c r="G5" s="2973"/>
      <c r="H5" s="2973" t="str">
        <f ca="1">结果表!H119</f>
        <v>壹仟伍佰叁拾伍万元整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1634</v>
      </c>
      <c r="B7" s="2972"/>
      <c r="C7" s="2972"/>
      <c r="D7" s="2975" t="str">
        <f>结果表!D121</f>
        <v>零元整</v>
      </c>
      <c r="E7" s="2976"/>
      <c r="F7" s="2976"/>
      <c r="G7" s="2976"/>
      <c r="H7" s="2976"/>
      <c r="I7" s="2977"/>
    </row>
    <row r="8" spans="1:9" ht="15.75">
      <c r="A8" s="2974" t="str">
        <f>结果表!A122</f>
        <v>房地产抵押价值</v>
      </c>
      <c r="B8" s="2974"/>
      <c r="C8" s="2974"/>
      <c r="D8" s="2974">
        <f ca="1">结果表!D122</f>
        <v>1535</v>
      </c>
      <c r="E8" s="2974"/>
      <c r="F8" s="2974"/>
      <c r="G8" s="2974"/>
      <c r="H8" s="2974"/>
      <c r="I8" s="2974"/>
    </row>
    <row r="9" spans="1:9" ht="15">
      <c r="A9" s="2972" t="s">
        <v>1634</v>
      </c>
      <c r="B9" s="2972"/>
      <c r="C9" s="2972"/>
      <c r="D9" s="2973" t="str">
        <f ca="1">结果表!D123</f>
        <v>壹仟伍佰叁拾伍万元整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1634</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1656</v>
      </c>
      <c r="B1" s="2981"/>
      <c r="C1" s="2981"/>
      <c r="D1" s="2981"/>
    </row>
    <row r="2" spans="1:4" ht="18">
      <c r="A2" s="2982" t="s">
        <v>1640</v>
      </c>
      <c r="B2" s="2982"/>
      <c r="C2" s="2982"/>
      <c r="D2" s="2982"/>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2" t="s">
        <v>1646</v>
      </c>
      <c r="B6" s="2982"/>
      <c r="C6" s="2982"/>
      <c r="D6" s="298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3"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1650</v>
      </c>
      <c r="B16" s="2987"/>
      <c r="C16" s="2987"/>
      <c r="D16" s="2987"/>
    </row>
    <row r="17" spans="1:4" ht="144" customHeight="1">
      <c r="A17" s="2987" t="s">
        <v>1651</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1652</v>
      </c>
      <c r="B22" s="2989"/>
      <c r="C22" s="2989"/>
      <c r="D22" s="298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5" t="s">
        <v>1663</v>
      </c>
      <c r="B15" s="2990" t="s">
        <v>136</v>
      </c>
      <c r="C15" s="2991"/>
    </row>
    <row r="16" spans="1:7" ht="13.5">
      <c r="A16" s="2996"/>
      <c r="B16" s="2990" t="s">
        <v>69</v>
      </c>
      <c r="C16" s="2991"/>
    </row>
    <row r="17" spans="1:3" ht="13.5">
      <c r="A17" s="2996"/>
      <c r="B17" s="2993" t="s">
        <v>1664</v>
      </c>
      <c r="C17" s="1999" t="s">
        <v>1663</v>
      </c>
    </row>
    <row r="18" spans="1:3" ht="13.5">
      <c r="A18" s="2996"/>
      <c r="B18" s="2993"/>
      <c r="C18" s="1999" t="s">
        <v>1665</v>
      </c>
    </row>
    <row r="19" spans="1:3" ht="13.5">
      <c r="A19" s="2996"/>
      <c r="B19" s="2993"/>
      <c r="C19" s="1999" t="s">
        <v>1666</v>
      </c>
    </row>
    <row r="20" spans="1:3" ht="13.5">
      <c r="A20" s="2997"/>
      <c r="B20" s="2992" t="s">
        <v>1667</v>
      </c>
      <c r="C20" s="2991"/>
    </row>
    <row r="21" spans="1:3" ht="13.5">
      <c r="A21" s="2000" t="s">
        <v>1668</v>
      </c>
      <c r="B21" s="2001"/>
      <c r="C21" s="2002"/>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9" t="s">
        <v>1674</v>
      </c>
    </row>
    <row r="26" spans="1:3" ht="13.5">
      <c r="A26" s="2994"/>
      <c r="B26" s="2993"/>
      <c r="C26" s="1999" t="s">
        <v>1675</v>
      </c>
    </row>
    <row r="27" spans="1:3" ht="13.5">
      <c r="A27" s="2994"/>
      <c r="B27" s="2993"/>
      <c r="C27" s="1999" t="s">
        <v>1676</v>
      </c>
    </row>
    <row r="28" spans="1:3" ht="13.5">
      <c r="A28" s="2994"/>
      <c r="B28" s="2993"/>
      <c r="C28" s="1999" t="s">
        <v>1677</v>
      </c>
    </row>
    <row r="29" spans="1:3" ht="13.5">
      <c r="A29" s="2994"/>
      <c r="B29" s="2993"/>
      <c r="C29" s="1999" t="s">
        <v>1678</v>
      </c>
    </row>
    <row r="30" spans="1:3" ht="13.5">
      <c r="A30" s="2994"/>
      <c r="B30" s="2993"/>
      <c r="C30" s="1999" t="s">
        <v>1679</v>
      </c>
    </row>
    <row r="31" spans="1:3" ht="13.5">
      <c r="A31" s="2994"/>
      <c r="B31" s="2993"/>
      <c r="C31" s="1999" t="s">
        <v>1680</v>
      </c>
    </row>
    <row r="32" spans="1:3" ht="13.5">
      <c r="A32" s="2994"/>
      <c r="B32" s="2993"/>
      <c r="C32" s="1999" t="s">
        <v>1681</v>
      </c>
    </row>
    <row r="33" spans="1:3" ht="13.5">
      <c r="A33" s="2994"/>
      <c r="B33" s="299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43902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3041</v>
      </c>
      <c r="B14" s="1022">
        <f ca="1">IF(C14&lt;B2,"已过期",1120040230)</f>
        <v>1120040230</v>
      </c>
      <c r="C14" s="2344">
        <v>44864</v>
      </c>
      <c r="D14" s="2347" t="s">
        <v>3041</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3048</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3050</v>
      </c>
      <c r="B23" s="1022">
        <v>1119980106</v>
      </c>
      <c r="C23" s="2344">
        <v>43916</v>
      </c>
      <c r="D23" s="1702" t="s">
        <v>3053</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2020-03-12T05:21:38Z</dcterms:modified>
</cp:coreProperties>
</file>