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-1-0031军队-顺义滨河小区\"/>
    </mc:Choice>
  </mc:AlternateContent>
  <xr:revisionPtr revIDLastSave="0" documentId="13_ncr:1_{34A320AF-483A-40A8-83AD-6B238D2A69BB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X47" i="70" l="1"/>
  <c r="X46" i="70"/>
  <c r="C18" i="63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7" i="65"/>
  <c r="H4" i="65"/>
  <c r="G4" i="65"/>
  <c r="E7" i="65"/>
  <c r="H6" i="65"/>
  <c r="E8" i="65"/>
  <c r="H8" i="65"/>
  <c r="H5" i="65"/>
  <c r="E4" i="65"/>
  <c r="G8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E6" i="65"/>
  <c r="G6" i="65"/>
  <c r="G7" i="65"/>
  <c r="E5" i="65"/>
  <c r="D7" i="65"/>
  <c r="D8" i="65"/>
  <c r="D62" i="63" l="1"/>
  <c r="E60" i="63" s="1"/>
  <c r="B58" i="63" s="1"/>
  <c r="C15" i="63" s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5" i="65"/>
  <c r="D6" i="65"/>
  <c r="D4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<sst xmlns="http://schemas.openxmlformats.org/spreadsheetml/2006/main" count="3961" uniqueCount="1805">
  <si>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</si>
  <si>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</si>
  <si>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</si>
  <si>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</si>
  <si>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</si>
  <si>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</si>
  <si>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</si>
  <si>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</si>
  <si>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</si>
  <si>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</si>
  <si>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</si>
  <si>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</si>
  <si>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</si>
  <si>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</si>
  <si>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</si>
  <si>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</si>
  <si>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</si>
  <si>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</si>
  <si>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</si>
  <si>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</si>
  <si>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</si>
  <si>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</si>
  <si>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</si>
  <si>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</si>
  <si>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</si>
  <si>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</si>
  <si>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</si>
  <si>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</si>
  <si>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</si>
  <si>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</si>
  <si>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</si>
  <si>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</si>
  <si>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</si>
  <si>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</si>
  <si>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</si>
  <si>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</si>
  <si>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</si>
  <si>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</si>
  <si>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</si>
  <si>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</si>
  <si>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</si>
  <si>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</si>
  <si>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</si>
  <si>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</si>
  <si>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</si>
  <si>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</si>
  <si>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</si>
  <si>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</si>
  <si>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</si>
  <si>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</si>
  <si>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</si>
  <si>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</si>
  <si>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</si>
  <si>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</si>
  <si>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</si>
  <si>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</si>
  <si>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</si>
  <si>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</si>
  <si>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</si>
  <si>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</si>
  <si>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</si>
  <si>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</si>
  <si>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</si>
  <si>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</si>
  <si>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</si>
  <si>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</si>
  <si>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</si>
  <si>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</si>
  <si>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</si>
  <si>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</si>
  <si>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</si>
  <si>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</si>
  <si>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</si>
  <si>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</si>
  <si>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</si>
  <si>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</si>
  <si>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</si>
  <si>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</si>
  <si>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</si>
  <si>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</si>
  <si>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</si>
  <si>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</si>
  <si>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</si>
  <si>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</si>
  <si>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</si>
  <si>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</si>
  <si>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</si>
  <si>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</si>
  <si>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</si>
  <si>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</si>
  <si>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</si>
  <si>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</si>
  <si>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</si>
  <si>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</si>
  <si>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</si>
  <si>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</si>
  <si>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</si>
  <si>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</si>
  <si>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</si>
  <si>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</si>
  <si>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</si>
  <si>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</si>
  <si>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</si>
  <si>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</si>
  <si>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</si>
  <si>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</si>
  <si>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</si>
  <si>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</si>
  <si>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</si>
  <si>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</si>
  <si>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</si>
  <si>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</si>
  <si>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</si>
  <si>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</si>
  <si>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</si>
  <si>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</si>
  <si>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</si>
  <si>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</si>
  <si>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</si>
  <si>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</si>
  <si>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</si>
  <si>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</si>
  <si>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</si>
  <si>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</si>
  <si>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</si>
  <si>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</si>
  <si>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</si>
  <si>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</si>
  <si>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</si>
  <si>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</si>
  <si>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</si>
  <si>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</si>
  <si>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</si>
  <si>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</si>
  <si>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</si>
  <si>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</si>
  <si>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</si>
  <si>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</si>
  <si>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</si>
  <si>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</si>
  <si>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</si>
  <si>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</si>
  <si>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</si>
  <si>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</si>
  <si>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</si>
  <si>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</si>
  <si>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</si>
  <si>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</si>
  <si>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</si>
  <si>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</si>
  <si>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</si>
  <si>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</si>
  <si>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</si>
  <si>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</si>
  <si>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</si>
  <si>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</si>
  <si>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</si>
  <si>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</si>
  <si>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</si>
  <si>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</si>
  <si>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</si>
  <si>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</si>
  <si>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</si>
  <si>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</si>
  <si>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</si>
  <si>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</si>
  <si>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</si>
  <si>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</si>
  <si>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</si>
  <si>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</si>
  <si>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</si>
  <si>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</si>
  <si>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</si>
  <si>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</si>
  <si>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</si>
  <si>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</si>
  <si>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</si>
  <si>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</si>
  <si>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</si>
  <si>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</si>
  <si>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</si>
  <si>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</si>
  <si>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</si>
  <si>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</si>
  <si>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</si>
  <si>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</si>
  <si>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</si>
  <si>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</si>
  <si>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</si>
  <si>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</si>
  <si>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</si>
  <si>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</si>
  <si>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</si>
  <si>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</si>
  <si>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</si>
  <si>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</si>
  <si>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</si>
  <si>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</si>
  <si>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</si>
  <si>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</si>
  <si>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</si>
  <si>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</si>
  <si>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</si>
  <si>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</si>
  <si>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</si>
  <si>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</si>
  <si>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</si>
  <si>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</si>
  <si>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</si>
  <si>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</si>
  <si>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</si>
  <si>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</si>
  <si>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</si>
  <si>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</si>
  <si>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</si>
  <si>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</si>
  <si>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</si>
  <si>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</si>
  <si>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</si>
  <si>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</si>
  <si>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</si>
  <si>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</si>
  <si>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</si>
  <si>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</si>
  <si>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</si>
  <si>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</si>
  <si>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</si>
  <si>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</si>
  <si>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</si>
  <si>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</si>
  <si>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</si>
  <si>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</si>
  <si>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</si>
  <si>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</si>
  <si>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</si>
  <si>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</si>
  <si>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</si>
  <si>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</si>
  <si>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</si>
  <si>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</si>
  <si>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</si>
  <si>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</si>
  <si>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</si>
  <si>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</si>
  <si>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</si>
  <si>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</si>
  <si>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</si>
  <si>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</si>
  <si>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</si>
  <si>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</si>
  <si>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</si>
  <si>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</si>
  <si>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</si>
  <si>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</si>
  <si>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</si>
  <si>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</si>
  <si>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</si>
  <si>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</si>
  <si>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</si>
  <si>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</si>
  <si>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</si>
  <si>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</si>
  <si>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</si>
  <si>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</si>
  <si>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</si>
  <si>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</si>
  <si>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</si>
  <si>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</si>
  <si>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</si>
  <si>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</si>
  <si>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</si>
  <si>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</si>
  <si>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</si>
  <si>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</si>
  <si>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</si>
  <si>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</si>
  <si>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</si>
  <si>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</si>
  <si>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</si>
  <si>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</si>
  <si>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</si>
  <si>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</si>
  <si>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</si>
  <si>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</si>
  <si>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</si>
  <si>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</si>
  <si>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</si>
  <si>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</si>
  <si>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</si>
  <si>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</si>
  <si>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</si>
  <si>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</si>
  <si>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</si>
  <si>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</si>
  <si>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</si>
  <si>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</si>
  <si>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</si>
  <si>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</si>
  <si>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</si>
  <si>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</si>
  <si>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</si>
  <si>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</si>
  <si>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</si>
  <si>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</si>
  <si>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</si>
  <si>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</si>
  <si>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</si>
  <si>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</si>
  <si>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</si>
  <si>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</si>
  <si>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</si>
  <si>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</si>
  <si>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</si>
  <si>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</si>
  <si>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</si>
  <si>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</si>
  <si>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</si>
  <si>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</si>
  <si>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</si>
  <si>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</si>
  <si>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</si>
  <si>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</si>
  <si>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</si>
  <si>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</si>
  <si>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</si>
  <si>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</si>
  <si>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</si>
  <si>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</si>
  <si>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</si>
  <si>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</si>
  <si>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</si>
  <si>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</si>
  <si>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</si>
  <si>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</si>
  <si>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</si>
  <si>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</si>
  <si>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</si>
  <si>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</si>
  <si>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</si>
  <si>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</si>
  <si>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</si>
  <si>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</si>
  <si>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</si>
  <si>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</si>
  <si>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</si>
  <si>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</si>
  <si>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</si>
  <si>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</si>
  <si>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</si>
  <si>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</si>
  <si>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</si>
  <si>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</si>
  <si>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</si>
  <si>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</si>
  <si>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</si>
  <si>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</si>
  <si>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</si>
  <si>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</si>
  <si>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</si>
  <si>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</si>
  <si>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</si>
  <si>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</si>
  <si>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</si>
  <si>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</si>
  <si>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</si>
  <si>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</si>
  <si>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</si>
  <si>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</si>
  <si>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</si>
  <si>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</si>
  <si>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</si>
  <si>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</si>
  <si>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</si>
  <si>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</si>
  <si>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</si>
  <si>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</si>
  <si>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</si>
  <si>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</si>
  <si>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</si>
  <si>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</si>
  <si>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</si>
  <si>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</si>
  <si>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</si>
  <si>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</si>
  <si>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</si>
  <si>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</si>
  <si>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</si>
  <si>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</si>
  <si>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</si>
  <si>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</si>
  <si>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</si>
  <si>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</si>
  <si>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</si>
  <si>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</si>
  <si>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</si>
  <si>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</si>
  <si>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</si>
  <si>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</si>
  <si>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</si>
  <si>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</si>
  <si>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</si>
  <si>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</si>
  <si>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</si>
  <si>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</si>
  <si>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</si>
  <si>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</si>
  <si>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</si>
  <si>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</si>
  <si>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</si>
  <si>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</si>
  <si>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</si>
  <si>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</si>
  <si>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</si>
  <si>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</si>
  <si>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</si>
  <si>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</si>
  <si>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</si>
  <si>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</si>
  <si>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</si>
  <si>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</si>
  <si>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</si>
  <si>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</si>
  <si>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</si>
  <si>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</si>
  <si>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</si>
  <si>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</si>
  <si>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</si>
  <si>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</si>
  <si>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</si>
  <si>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</si>
  <si>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</si>
  <si>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</si>
  <si>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</si>
  <si>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</si>
  <si>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</si>
  <si>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</si>
  <si>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</si>
  <si>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</si>
  <si>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</si>
  <si>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</si>
  <si>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</si>
  <si>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</si>
  <si>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</si>
  <si>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</si>
  <si>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</si>
  <si>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</si>
  <si>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</si>
  <si>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</si>
  <si>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</si>
  <si>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</si>
  <si>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</si>
  <si>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</si>
  <si>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</si>
  <si>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</si>
  <si>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</si>
  <si>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</si>
  <si>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</si>
  <si>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</si>
  <si>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</si>
  <si>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</si>
  <si>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</si>
  <si>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</si>
  <si>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</si>
  <si>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</si>
  <si>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</si>
  <si>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</si>
  <si>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</si>
  <si>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</si>
  <si>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</si>
  <si>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</si>
  <si>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</si>
  <si>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</si>
  <si>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</si>
  <si>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</si>
  <si>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</si>
  <si>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</si>
  <si>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</si>
  <si>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</si>
  <si>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</si>
  <si>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</si>
  <si>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</si>
  <si>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</si>
  <si>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</si>
  <si>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</si>
  <si>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</si>
  <si>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</si>
  <si>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</si>
  <si>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</si>
  <si>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</si>
  <si>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</si>
  <si>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</si>
  <si>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</si>
  <si>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</si>
  <si>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</si>
  <si>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</si>
  <si>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</si>
  <si>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</si>
  <si>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</si>
  <si>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</si>
  <si>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</si>
  <si>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</si>
  <si>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</si>
  <si>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</si>
  <si>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</si>
  <si>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</si>
  <si>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</si>
  <si>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</si>
  <si>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</si>
  <si>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</si>
  <si>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</si>
  <si>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</si>
  <si>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</si>
  <si>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</si>
  <si>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</si>
  <si>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</si>
  <si>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</si>
  <si>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</si>
  <si>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</si>
  <si>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</si>
  <si>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</si>
  <si>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</si>
  <si>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</si>
  <si>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</si>
  <si>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</si>
  <si>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</si>
  <si>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</si>
  <si>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</si>
  <si>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</si>
  <si>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</si>
  <si>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</si>
  <si>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</si>
  <si>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</si>
  <si>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</si>
  <si>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</si>
  <si>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</si>
  <si>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</si>
  <si>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</si>
  <si>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</si>
  <si>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</si>
  <si>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</si>
  <si>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</si>
  <si>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</si>
  <si>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</si>
  <si>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</si>
  <si>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</si>
  <si>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</si>
  <si>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</si>
  <si>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</si>
  <si>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</si>
  <si>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</si>
  <si>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</si>
  <si>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</si>
  <si>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</si>
  <si>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</si>
  <si>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</si>
  <si>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</si>
  <si>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</si>
  <si>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</si>
  <si>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</si>
  <si>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</si>
  <si>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</si>
  <si>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</si>
  <si>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</si>
  <si>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</si>
  <si>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</si>
  <si>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</si>
  <si>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</si>
  <si>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</si>
  <si>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</si>
  <si>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</si>
  <si>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</si>
  <si>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</si>
  <si>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</si>
  <si>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</si>
  <si>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</si>
  <si>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</si>
  <si>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</si>
  <si>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</si>
  <si>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</si>
  <si>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</si>
  <si>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</si>
  <si>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</si>
  <si>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</si>
  <si>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</si>
  <si>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</si>
  <si>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</si>
  <si>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</si>
  <si>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</si>
  <si>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</si>
  <si>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</si>
  <si>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</si>
  <si>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</si>
  <si>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</si>
  <si>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</si>
  <si>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</si>
  <si>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</si>
  <si>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</si>
  <si>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</si>
  <si>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</si>
  <si>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</si>
  <si>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</si>
  <si>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</si>
  <si>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</si>
  <si>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</si>
  <si>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</si>
  <si>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</si>
  <si>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</si>
  <si>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</si>
  <si>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</si>
  <si>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</si>
  <si>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</si>
  <si>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</si>
  <si>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</si>
  <si>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</si>
  <si>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</si>
  <si>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</si>
  <si>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</si>
  <si>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</si>
  <si>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</si>
  <si>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</si>
  <si>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</si>
  <si>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</si>
  <si>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</si>
  <si>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</si>
  <si>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</si>
  <si>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</si>
  <si>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</si>
  <si>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</si>
  <si>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</si>
  <si>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</si>
  <si>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</si>
  <si>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</si>
  <si>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</si>
  <si>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</si>
  <si>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</si>
  <si>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</si>
  <si>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</si>
  <si>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</si>
  <si>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</si>
  <si>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</si>
  <si>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</si>
  <si>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</si>
  <si>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</si>
  <si>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</si>
  <si>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</si>
  <si>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</si>
  <si>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</si>
  <si>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</si>
  <si>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</si>
  <si>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</si>
  <si>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</si>
  <si>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</si>
  <si>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</si>
  <si>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</si>
  <si>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</si>
  <si>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</si>
  <si>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</si>
  <si>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</si>
  <si>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</si>
  <si>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</si>
  <si>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</si>
  <si>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</si>
  <si>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</si>
  <si>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</si>
  <si>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</si>
  <si>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</si>
  <si>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</si>
  <si>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</si>
  <si>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</si>
  <si>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</si>
  <si>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</si>
  <si>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</si>
  <si>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</si>
  <si>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</si>
  <si>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</si>
  <si>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</si>
  <si>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</si>
  <si>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</si>
  <si>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</si>
  <si>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</si>
  <si>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</si>
  <si>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</si>
  <si>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</si>
  <si>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</si>
  <si>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</si>
  <si>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</si>
  <si>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</si>
  <si>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</si>
  <si>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</si>
  <si>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</si>
  <si>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</si>
  <si>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</si>
  <si>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</si>
  <si>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</si>
  <si>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</si>
  <si>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</si>
  <si>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</si>
  <si>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</si>
  <si>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</si>
  <si>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</si>
  <si>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</si>
  <si>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</si>
  <si>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</si>
  <si>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</si>
  <si>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</si>
  <si>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</si>
  <si>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</si>
  <si>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</si>
  <si>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</si>
  <si>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</si>
  <si>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</si>
  <si>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</si>
  <si>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</si>
  <si>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</si>
  <si>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</si>
  <si>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</si>
  <si>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</si>
  <si>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</si>
  <si>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</si>
  <si>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</si>
  <si>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</si>
  <si>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</si>
  <si>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</si>
  <si>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</si>
  <si>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</si>
  <si>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</si>
  <si>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</si>
  <si>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</si>
  <si>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</si>
  <si>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</si>
  <si>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</si>
  <si>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</si>
  <si>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</si>
  <si>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</si>
  <si>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</si>
  <si>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</si>
  <si>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</si>
  <si>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</si>
  <si>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</si>
  <si>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</si>
  <si>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</si>
  <si>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</si>
  <si>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</si>
  <si>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</si>
  <si>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</si>
  <si>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</si>
  <si>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</si>
  <si>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</si>
  <si>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</si>
  <si>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</si>
  <si>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</si>
  <si>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</si>
  <si>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</si>
  <si>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</si>
  <si>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</si>
  <si>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</si>
  <si>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</si>
  <si>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</si>
  <si>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</si>
  <si>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</si>
  <si>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</si>
  <si>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</si>
  <si>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</si>
  <si>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</si>
  <si>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</si>
  <si>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</si>
  <si>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</si>
  <si>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</si>
  <si>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</si>
  <si>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</si>
  <si>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</si>
  <si>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</si>
  <si>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</si>
  <si>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</si>
  <si>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</si>
  <si>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</si>
  <si>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</si>
  <si>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</si>
  <si>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</si>
  <si>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</si>
  <si>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</si>
  <si>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</si>
  <si>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</si>
  <si>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</si>
  <si>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</si>
  <si>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</si>
  <si>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</si>
  <si>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</si>
  <si>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</si>
  <si>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</si>
  <si>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</si>
  <si>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</si>
  <si>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</si>
  <si>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</si>
  <si>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</si>
  <si>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</si>
  <si>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</si>
  <si>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</si>
  <si>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</si>
  <si>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</si>
  <si>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</si>
  <si>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</si>
  <si>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</si>
  <si>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</si>
  <si>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</si>
  <si>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</si>
  <si>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</si>
  <si>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</si>
  <si>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</si>
  <si>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</si>
  <si>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</si>
  <si>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</si>
  <si>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</si>
  <si>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</si>
  <si>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</si>
  <si>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</si>
  <si>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</si>
  <si>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</si>
  <si>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</si>
  <si>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</si>
  <si>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</si>
  <si>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</si>
  <si>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</si>
  <si>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</si>
  <si>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</si>
  <si>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</si>
  <si>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</si>
  <si>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</si>
  <si>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</si>
  <si>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</si>
  <si>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</si>
  <si>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</si>
  <si>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</si>
  <si>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</si>
  <si>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</si>
  <si>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</si>
  <si>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</si>
  <si>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</si>
  <si>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</si>
  <si>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</si>
  <si>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</si>
  <si>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</si>
  <si>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</si>
  <si>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</si>
  <si>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</si>
  <si>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</si>
  <si>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</si>
  <si>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</si>
  <si>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</si>
  <si>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</si>
  <si>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</si>
  <si>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</si>
  <si>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</si>
  <si>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</si>
  <si>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</si>
  <si>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</si>
  <si>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</si>
  <si>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</si>
  <si>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</si>
  <si>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</si>
  <si>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</si>
  <si>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</si>
  <si>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</si>
  <si>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</si>
  <si>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</si>
  <si>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</si>
  <si>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</si>
  <si>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</si>
  <si>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</si>
  <si>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</si>
  <si>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</si>
  <si>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</si>
  <si>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</si>
  <si>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</si>
  <si>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</si>
  <si>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</si>
  <si>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</si>
  <si>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</si>
  <si>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</si>
  <si>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</si>
  <si>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</si>
  <si>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</si>
  <si>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</si>
  <si>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</si>
  <si>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</si>
  <si>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</si>
  <si>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</si>
  <si>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</si>
  <si>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</si>
  <si>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</si>
  <si>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</si>
  <si>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</si>
  <si>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</si>
  <si>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</si>
  <si>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</si>
  <si>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</si>
  <si>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</si>
  <si>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</si>
  <si>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</si>
  <si>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</si>
  <si>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</si>
  <si>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</si>
  <si>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</si>
  <si>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</si>
  <si>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</si>
  <si>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</si>
  <si>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</si>
  <si>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</si>
  <si>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</si>
  <si>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</si>
  <si>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</si>
  <si>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</si>
  <si>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</si>
  <si>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</si>
  <si>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</si>
  <si>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</si>
  <si>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</si>
  <si>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</si>
  <si>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</si>
  <si>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</si>
  <si>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</si>
  <si>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</si>
  <si>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</si>
  <si>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</si>
  <si>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</si>
  <si>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</si>
  <si>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</si>
  <si>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</si>
  <si>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</si>
  <si>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</si>
  <si>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</si>
  <si>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</si>
  <si>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</si>
  <si>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</si>
  <si>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</si>
  <si>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</si>
  <si>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</si>
  <si>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</si>
  <si>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</si>
  <si>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</si>
  <si>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</si>
  <si>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</si>
  <si>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</si>
  <si>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</si>
  <si>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</si>
  <si>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</si>
  <si>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</si>
  <si>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</si>
  <si>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</si>
  <si>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</si>
  <si>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</si>
  <si>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</si>
  <si>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</si>
  <si>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</si>
  <si>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</si>
  <si>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</si>
  <si>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</si>
  <si>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</si>
  <si>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</si>
  <si>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</si>
  <si>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</si>
  <si>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</si>
  <si>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</si>
  <si>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</si>
  <si>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</si>
  <si>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</si>
  <si>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</si>
  <si>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</si>
  <si>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</si>
  <si>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</si>
  <si>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</si>
  <si>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</si>
  <si>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</si>
  <si>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</si>
  <si>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</si>
  <si>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</si>
  <si>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</si>
  <si>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</si>
  <si>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</si>
  <si>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</si>
  <si>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</si>
  <si>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</si>
  <si>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</si>
  <si>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</si>
  <si>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</si>
  <si>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</si>
  <si>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</si>
  <si>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</si>
  <si>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</si>
  <si>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</si>
  <si>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</si>
  <si>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</si>
  <si>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</si>
  <si>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</si>
  <si>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</si>
  <si>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</si>
  <si>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</si>
  <si>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</si>
  <si>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</si>
  <si>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</si>
  <si>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</si>
  <si>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</si>
  <si>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</si>
  <si>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</si>
  <si>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</si>
  <si>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</si>
  <si>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</si>
  <si>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</si>
  <si>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</si>
  <si>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</si>
  <si>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</si>
  <si>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</si>
  <si>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</si>
  <si>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</si>
  <si>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</si>
  <si>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</si>
  <si>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</si>
  <si>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</si>
  <si>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</si>
  <si>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</si>
  <si>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</si>
  <si>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</si>
  <si>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</si>
  <si>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</si>
  <si>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</si>
  <si>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</si>
  <si>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</si>
  <si>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</si>
  <si>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</si>
  <si>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</si>
  <si>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</si>
  <si>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</si>
  <si>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</si>
  <si>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</si>
  <si>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</si>
  <si>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</si>
  <si>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</si>
  <si>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</si>
  <si>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</si>
  <si>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</si>
  <si>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</si>
  <si>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</si>
  <si>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</si>
  <si>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</si>
  <si>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</si>
  <si>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</si>
  <si>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</si>
  <si>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</si>
  <si>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</si>
  <si>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</si>
  <si>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</si>
  <si>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</si>
  <si>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</si>
  <si>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</si>
  <si>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</si>
  <si>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</si>
  <si>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</si>
  <si>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</si>
  <si>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</si>
  <si>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</si>
  <si>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</si>
  <si>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</si>
  <si>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</si>
  <si>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</si>
  <si>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</si>
  <si>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</si>
  <si>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</si>
  <si>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</si>
  <si>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</si>
  <si>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</si>
  <si>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</si>
  <si>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</si>
  <si>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</si>
  <si>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</si>
  <si>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</si>
  <si>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</si>
  <si>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</si>
  <si>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</si>
  <si>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</si>
  <si>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</si>
  <si>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</si>
  <si>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</si>
  <si>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</si>
  <si>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</si>
  <si>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</si>
  <si>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</si>
  <si>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</si>
  <si>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</si>
  <si>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</si>
  <si>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</si>
  <si>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</si>
  <si>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</si>
  <si>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</si>
  <si>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</si>
  <si>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</si>
  <si>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</si>
  <si>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</si>
  <si>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</si>
  <si>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</si>
  <si>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</si>
  <si>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</si>
  <si>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</si>
  <si>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</si>
  <si>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</si>
  <si>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</si>
  <si>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</si>
  <si>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</si>
  <si>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</si>
  <si>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</si>
  <si>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</si>
  <si>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</si>
  <si>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</si>
  <si>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</si>
  <si>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</si>
  <si>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</si>
  <si>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</si>
  <si>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</si>
  <si>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</si>
  <si>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</si>
  <si>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</si>
  <si>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</si>
  <si>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</si>
  <si>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</si>
  <si>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</si>
  <si>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</si>
  <si>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</si>
  <si>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</si>
  <si>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</si>
  <si>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</si>
  <si>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</si>
  <si>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</si>
  <si>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</si>
  <si>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</si>
  <si>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</si>
  <si>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</si>
  <si>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</si>
  <si>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</si>
  <si>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</si>
  <si>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</si>
  <si>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</si>
  <si>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</si>
  <si>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</si>
  <si>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</si>
  <si>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</si>
  <si>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</si>
  <si>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</si>
  <si>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</si>
  <si>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</si>
  <si>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</si>
  <si>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</si>
  <si>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</si>
  <si>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</si>
  <si>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</si>
  <si>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</si>
  <si>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</si>
  <si>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</si>
  <si>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</si>
  <si>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</si>
  <si>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</si>
  <si>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</si>
  <si>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</si>
  <si>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</si>
  <si>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</si>
  <si>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</si>
  <si>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</si>
  <si>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</si>
  <si>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</si>
  <si>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</si>
  <si>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</si>
  <si>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</si>
  <si>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</si>
  <si>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</si>
  <si>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</si>
  <si>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</si>
  <si>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</si>
  <si>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</si>
  <si>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</si>
  <si>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</si>
  <si>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</si>
  <si>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</si>
  <si>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</si>
  <si>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</si>
  <si>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</si>
  <si>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</si>
  <si>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</si>
  <si>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</si>
  <si>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</si>
  <si>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</si>
  <si>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</si>
  <si>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</si>
  <si>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</si>
  <si>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</si>
  <si>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</si>
  <si>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</si>
  <si>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</si>
  <si>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</si>
  <si>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</si>
  <si>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</si>
  <si>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</si>
  <si>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</si>
  <si>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</si>
  <si>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</si>
  <si>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</si>
  <si>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</si>
  <si>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</si>
  <si>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</si>
  <si>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</si>
  <si>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</si>
  <si>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</si>
  <si>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</si>
  <si>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</si>
  <si>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</si>
  <si>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</si>
  <si>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</si>
  <si>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</si>
  <si>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</si>
  <si>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</si>
  <si>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</si>
  <si>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</si>
  <si>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</si>
  <si>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</si>
  <si>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</si>
  <si>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</si>
  <si>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</si>
  <si>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</si>
  <si>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</si>
  <si>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</si>
  <si>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</si>
  <si>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</si>
  <si>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</si>
  <si>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</si>
  <si>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</si>
  <si>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</si>
  <si>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</si>
  <si>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</si>
  <si>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</si>
  <si>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</si>
  <si>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</si>
  <si>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</si>
  <si>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</si>
  <si>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</si>
  <si>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</si>
  <si>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</si>
  <si>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</si>
  <si>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</si>
  <si>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</si>
  <si>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</si>
  <si>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</si>
  <si>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</si>
  <si>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</si>
  <si>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</si>
  <si>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</si>
  <si>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</si>
  <si>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</si>
  <si>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</si>
  <si>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</si>
  <si>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</si>
  <si>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</si>
  <si>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</si>
  <si>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</si>
  <si>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</si>
  <si>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</si>
  <si>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</si>
  <si>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</si>
  <si>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</si>
  <si>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</si>
  <si>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</si>
  <si>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</si>
  <si>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</si>
  <si>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</si>
  <si>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</si>
  <si>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</si>
  <si>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</si>
  <si>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</si>
  <si>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</si>
  <si>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</si>
  <si>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</si>
  <si>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</si>
  <si>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</si>
  <si>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</si>
  <si>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</si>
  <si>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</si>
  <si>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</si>
  <si>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</si>
  <si>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</si>
  <si>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</si>
  <si>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</si>
  <si>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</si>
  <si>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</si>
  <si>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</si>
  <si>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</si>
  <si>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</si>
  <si>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</si>
  <si>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</si>
  <si>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</si>
  <si>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</si>
  <si>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</si>
  <si>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</si>
  <si>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</si>
  <si>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</si>
  <si>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</si>
  <si>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</si>
  <si>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</si>
  <si>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</si>
  <si>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</si>
  <si>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</si>
  <si>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</si>
  <si>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</si>
  <si>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</si>
  <si>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</si>
  <si>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</si>
  <si>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</si>
  <si>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</si>
  <si>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</si>
  <si>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</si>
  <si>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</si>
  <si>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</si>
  <si>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</si>
  <si>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</si>
  <si>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</si>
  <si>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</si>
  <si>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</si>
  <si>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</si>
  <si>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</si>
  <si>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</si>
  <si>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</si>
  <si>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</si>
  <si>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</si>
  <si>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</si>
  <si>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</si>
  <si>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</si>
  <si>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</si>
  <si>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</si>
  <si>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</si>
  <si>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</si>
  <si>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</si>
  <si>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</si>
  <si>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</si>
  <si>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</si>
  <si>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</si>
  <si>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</si>
  <si>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</si>
  <si>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</si>
  <si>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</si>
  <si>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</si>
  <si>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</si>
  <si>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</si>
  <si>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</si>
  <si>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</si>
  <si>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</si>
  <si>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</si>
  <si>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</si>
  <si>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</si>
  <si>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</si>
  <si>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</si>
  <si>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</si>
  <si>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</si>
  <si>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</si>
  <si>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</si>
  <si>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</si>
  <si>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</si>
  <si>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</si>
  <si>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</si>
  <si>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</si>
  <si>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</si>
  <si>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</si>
  <si>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</si>
  <si>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</si>
  <si>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</si>
  <si>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</si>
  <si>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</si>
  <si>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</si>
  <si>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</si>
  <si>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</si>
  <si>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</si>
  <si>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</si>
  <si>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</si>
  <si>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</si>
  <si>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</si>
  <si>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</si>
  <si>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</si>
  <si>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</si>
  <si>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</si>
  <si>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</si>
  <si>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</si>
  <si>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</si>
  <si>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</si>
  <si>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</si>
  <si>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</si>
  <si>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</si>
  <si>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</si>
  <si>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</si>
  <si>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</si>
  <si>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</si>
  <si>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</si>
  <si>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</si>
  <si>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</si>
  <si>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</si>
  <si>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</si>
  <si>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</si>
  <si>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</si>
  <si>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</si>
  <si>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</si>
  <si>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</si>
  <si>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</si>
  <si>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</si>
  <si>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</si>
  <si>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</si>
  <si>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</si>
  <si>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</si>
  <si>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</si>
  <si>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</si>
  <si>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</si>
  <si>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</si>
  <si>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</si>
  <si>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</si>
  <si>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</si>
  <si>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</si>
  <si>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</si>
  <si>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</si>
  <si>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</si>
  <si>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</si>
  <si>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</si>
  <si>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</si>
  <si>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</si>
  <si>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</si>
  <si>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</si>
  <si>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</si>
  <si>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</si>
  <si>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</si>
  <si>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</si>
  <si>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</si>
  <si>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</si>
  <si>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</si>
  <si>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</si>
  <si>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</si>
  <si>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</si>
  <si>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</si>
  <si>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</si>
  <si>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</si>
  <si>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</si>
  <si>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</si>
  <si>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</si>
  <si>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</si>
  <si>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</si>
  <si>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</si>
  <si>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</si>
  <si>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</si>
  <si>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</si>
  <si>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</si>
  <si>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</si>
  <si>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</si>
  <si>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</si>
  <si>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</si>
  <si>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</si>
  <si>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</si>
  <si>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</si>
  <si>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</si>
  <si>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</si>
  <si>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</si>
  <si>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</si>
  <si>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</si>
  <si>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</si>
  <si>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</si>
  <si>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</si>
  <si>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</si>
  <si>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</si>
  <si>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</si>
  <si>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</si>
  <si>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</si>
  <si>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</si>
  <si>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</si>
  <si>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</si>
  <si>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</si>
  <si>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</si>
  <si>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</si>
  <si>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</si>
  <si>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</si>
  <si>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</si>
  <si>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</si>
  <si>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</si>
  <si>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</si>
  <si>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</si>
  <si>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</si>
  <si>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</si>
  <si>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</si>
  <si>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</si>
  <si>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</si>
  <si>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</si>
  <si>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</si>
  <si>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</si>
  <si>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</si>
  <si>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</si>
  <si>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</si>
  <si>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</si>
  <si>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</si>
  <si>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</si>
  <si>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</si>
  <si>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</si>
  <si>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</si>
  <si>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</si>
  <si>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</si>
  <si>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</si>
  <si>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</si>
  <si>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</si>
  <si>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</si>
  <si>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</si>
  <si>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</si>
  <si>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</si>
  <si>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</si>
  <si>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</si>
  <si>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</si>
  <si>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</si>
  <si>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</si>
  <si>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</si>
  <si>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</si>
  <si>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</si>
  <si>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</si>
  <si>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</si>
  <si>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</si>
  <si>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</si>
  <si>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</si>
  <si>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</si>
  <si>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</si>
  <si>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</si>
  <si>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</si>
  <si>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</si>
  <si>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</si>
  <si>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</si>
  <si>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</si>
  <si>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</si>
  <si>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</si>
  <si>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</si>
  <si>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</si>
  <si>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</si>
  <si>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</si>
  <si>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</si>
  <si>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</si>
  <si>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</si>
  <si>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</si>
  <si>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</si>
  <si>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</si>
  <si>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</si>
  <si>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</si>
  <si>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</si>
  <si>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</si>
  <si>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</si>
  <si>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</si>
  <si>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</si>
  <si>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</si>
  <si>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</si>
  <si>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</si>
  <si>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</si>
  <si>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</si>
  <si>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</si>
  <si>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</si>
  <si>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</si>
  <si>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</si>
  <si>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</si>
  <si>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</si>
  <si>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</si>
  <si>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</si>
  <si>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</si>
  <si>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</si>
  <si>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</si>
  <si>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</si>
  <si>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</si>
  <si>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</si>
  <si>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</si>
  <si>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</si>
  <si>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</si>
  <si>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</si>
  <si>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</si>
  <si>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</si>
  <si>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</si>
  <si>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</si>
  <si>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</si>
  <si>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</si>
  <si>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</si>
  <si>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</si>
  <si>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</si>
  <si>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</si>
  <si>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</si>
  <si>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</si>
  <si>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</si>
  <si>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</si>
  <si>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</si>
  <si>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</si>
  <si>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</si>
  <si>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</si>
  <si>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</si>
  <si>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</si>
  <si>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</si>
  <si>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</si>
  <si>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</si>
  <si>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</si>
  <si>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</si>
  <si>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</si>
  <si>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</si>
  <si>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</si>
  <si>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</si>
  <si>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</si>
  <si>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</si>
  <si>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</si>
  <si>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</si>
  <si>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</si>
  <si>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</si>
  <si>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</si>
  <si>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</si>
  <si>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</si>
  <si>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</si>
  <si>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</si>
  <si>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</si>
  <si>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</si>
  <si>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</si>
  <si>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</si>
  <si>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</si>
  <si>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</si>
  <si>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</si>
  <si>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</si>
  <si>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</si>
  <si>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</si>
  <si>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</si>
  <si>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</si>
  <si>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</si>
  <si>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</si>
  <si>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</si>
  <si>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</si>
  <si>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</si>
  <si>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</si>
  <si>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</si>
  <si>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</si>
  <si>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</si>
  <si>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</si>
  <si>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</si>
  <si>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</si>
  <si>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</si>
  <si>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</si>
  <si>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</si>
  <si>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</si>
  <si>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</si>
  <si>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</si>
  <si>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</si>
  <si>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</si>
  <si>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</si>
  <si>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</si>
  <si>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</si>
  <si>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</si>
  <si>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</si>
  <si>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</si>
  <si>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</si>
  <si>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</si>
  <si>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</si>
  <si>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</si>
  <si>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</si>
  <si>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</si>
  <si>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</si>
  <si>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</si>
  <si>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</si>
  <si>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</si>
  <si>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</si>
  <si>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</si>
  <si>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</si>
  <si>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</si>
  <si>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</si>
  <si>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</si>
  <si>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</si>
  <si>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</si>
  <si>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</si>
  <si>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</si>
  <si>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</si>
  <si>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</si>
  <si>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</si>
  <si>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</si>
  <si>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</si>
  <si>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</si>
  <si>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</si>
  <si>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</si>
  <si>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</si>
  <si>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</si>
  <si>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</si>
  <si>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</si>
  <si>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</si>
  <si>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</si>
  <si>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</si>
  <si>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</si>
  <si>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</si>
  <si>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</si>
  <si>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</si>
  <si>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</si>
  <si>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</si>
  <si>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</si>
  <si>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</si>
  <si>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</si>
  <si>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</si>
  <si>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</si>
  <si>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</si>
  <si>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</si>
  <si>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</si>
  <si>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</si>
  <si>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</si>
  <si>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</si>
  <si>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</si>
  <si>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</si>
  <si>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</si>
  <si>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</si>
  <si>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</si>
  <si>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</si>
  <si>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</si>
  <si>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</si>
  <si>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</si>
  <si>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</si>
  <si>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</si>
  <si>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</si>
  <si>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</si>
  <si>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</si>
  <si>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</si>
  <si>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</si>
  <si>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</si>
  <si>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</si>
  <si>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</si>
  <si>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</si>
  <si>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</si>
  <si>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</si>
  <si>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</si>
  <si>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</si>
  <si>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</si>
  <si>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</si>
  <si>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</si>
  <si>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</si>
  <si>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</si>
  <si>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</si>
  <si>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</si>
  <si>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</si>
  <si>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</si>
  <si>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</si>
  <si>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</si>
  <si>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</si>
  <si>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</si>
  <si>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</si>
  <si>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</si>
  <si>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</si>
  <si>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</si>
  <si>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</si>
  <si>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</si>
  <si>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</si>
  <si>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</si>
  <si>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</si>
  <si>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</si>
  <si>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</si>
  <si>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</si>
  <si>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</si>
  <si>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</si>
  <si>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</si>
  <si>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</si>
  <si>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</si>
  <si>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</si>
  <si>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</si>
  <si>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</si>
  <si>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</si>
  <si>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</si>
  <si>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</si>
  <si>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</si>
  <si>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</si>
  <si>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</si>
  <si>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</si>
  <si>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</si>
  <si>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</si>
  <si>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</si>
  <si>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</si>
  <si>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</si>
  <si>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</si>
  <si>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</si>
  <si>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</si>
  <si>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</si>
  <si>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</si>
  <si>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</si>
  <si>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</si>
  <si>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</si>
  <si>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</si>
  <si>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</si>
  <si>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</si>
  <si>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</si>
  <si>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</si>
  <si>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</si>
  <si>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</si>
  <si>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</si>
  <si>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</si>
  <si>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</si>
  <si>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</si>
  <si>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</si>
  <si>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</si>
  <si>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</si>
  <si>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</si>
  <si>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</si>
  <si>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</si>
  <si>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</si>
  <si>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</si>
  <si>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</si>
  <si>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</si>
  <si>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钢混</t>
  </si>
  <si>
    <t>较差</t>
  </si>
  <si>
    <t>郊区</t>
  </si>
  <si>
    <t>630-1080</t>
    <phoneticPr fontId="107" type="noConversion"/>
  </si>
  <si>
    <t>2004-1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</si>
</sst>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4</xdr:row>
      <xdr:rowOff>57150</xdr:rowOff>
    </xdr:from>
    <xdr:to>
      <xdr:col>18</xdr:col>
      <xdr:colOff>122858</xdr:colOff>
      <xdr:row>27</xdr:row>
      <xdr:rowOff>56657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033A52-5965-4A4F-4760-F7AD70D6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925" y="742950"/>
          <a:ext cx="7733333" cy="39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27</xdr:row>
      <xdr:rowOff>133350</xdr:rowOff>
    </xdr:from>
    <xdr:to>
      <xdr:col>18</xdr:col>
      <xdr:colOff>580048</xdr:colOff>
      <xdr:row>57</xdr:row>
      <xdr:rowOff>170696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AB14BCD-0975-4A0A-CC63-6D650702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3426" y="4762500"/>
          <a:ext cx="8381022" cy="5180846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5</xdr:row>
      <xdr:rowOff>104208</xdr:rowOff>
    </xdr:from>
    <xdr:to>
      <xdr:col>31</xdr:col>
      <xdr:colOff>265239</xdr:colOff>
      <xdr:row>37</xdr:row>
      <xdr:rowOff>170562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33D48D-CB0F-7930-1C3E-AC972255C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2025" y="961458"/>
          <a:ext cx="9133014" cy="55527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70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707"/>
      <c r="B19" s="170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707"/>
      <c r="B20" s="170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707"/>
      <c r="B21" s="170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707"/>
      <c r="B22" s="170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70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707"/>
      <c r="B24" s="170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707"/>
      <c r="B28" s="170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707"/>
      <c r="B29" s="170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707"/>
      <c r="B30" s="170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707"/>
      <c r="B31" s="170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707"/>
      <c r="B32" s="170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70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70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70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707"/>
      <c r="B36" s="170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707"/>
      <c r="B37" s="170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707"/>
      <c r="B38" s="170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707"/>
      <c r="B39" s="170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N7" sqref="N7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59.34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1049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261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157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L7" s="666" t="s">
        <v>1803</v>
      </c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1.0577000000000001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38045</v>
      </c>
      <c r="I9" s="1431">
        <f>ROUND(SUMPRODUCT((地价!A36:A86=YEAR(H9)&amp;"-"&amp;ROUNDUP(MONTH(H9)/3,0))*(地价!B3:F3=E2)*(地价!B36:F86)),0)</f>
        <v>110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1802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0.98550000000000004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1049</v>
      </c>
      <c r="D18" s="589">
        <f>H1</f>
        <v>59.34</v>
      </c>
      <c r="E18" s="590">
        <f>ROUND(C18*D18,0)</f>
        <v>62248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1049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261</v>
      </c>
      <c r="D20" s="595">
        <f>H1</f>
        <v>59.34</v>
      </c>
      <c r="E20" s="596">
        <f>ROUND(C20*D20,0)</f>
        <v>15488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261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157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9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1804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9.7999999999999997E-3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1.2200000000000001E-2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1.2200000000000001E-2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6.0000000000000001E-3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4.3E-3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0.98550000000000004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-1.4500000000000001E-2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1801</v>
      </c>
      <c r="D61" s="456">
        <f t="shared" si="7"/>
        <v>-2.7E-2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1799</v>
      </c>
      <c r="D66" s="456">
        <f t="shared" si="7"/>
        <v>2.5999999999999999E-2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1801</v>
      </c>
      <c r="D67" s="456">
        <f t="shared" si="7"/>
        <v>-1.35E-2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28" t="s">
        <v>1424</v>
      </c>
      <c r="E2" s="1732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29"/>
      <c r="E3" s="1733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0"/>
      <c r="E5" s="1734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28" t="s">
        <v>1425</v>
      </c>
      <c r="E6" s="1732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29"/>
      <c r="E7" s="1733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0"/>
      <c r="E8" s="1734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59.34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28" t="s">
        <v>1403</v>
      </c>
      <c r="E10" s="1732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1"/>
      <c r="E11" s="1735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0.95879999999999999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58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59.34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59.34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4">
        <f>主表!B4</f>
        <v>38045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2004-2-1</v>
      </c>
      <c r="D56" s="1447">
        <f>EDATE(C56,-3)</f>
        <v>37926</v>
      </c>
      <c r="E56" s="1447">
        <f t="shared" ref="E56:O56" si="15">EDATE(D56,-3)</f>
        <v>37834</v>
      </c>
      <c r="F56" s="1447">
        <f t="shared" si="15"/>
        <v>37742</v>
      </c>
      <c r="G56" s="1447">
        <f t="shared" si="15"/>
        <v>37653</v>
      </c>
      <c r="H56" s="1447">
        <f t="shared" si="15"/>
        <v>37561</v>
      </c>
      <c r="I56" s="1447">
        <f t="shared" si="15"/>
        <v>37469</v>
      </c>
      <c r="J56" s="1447">
        <f t="shared" si="15"/>
        <v>37377</v>
      </c>
      <c r="K56" s="1447">
        <f t="shared" si="15"/>
        <v>37288</v>
      </c>
      <c r="L56" s="1447">
        <f t="shared" si="15"/>
        <v>37196</v>
      </c>
      <c r="M56" s="1447">
        <f t="shared" si="15"/>
        <v>37104</v>
      </c>
      <c r="N56" s="1447">
        <f t="shared" si="15"/>
        <v>37012</v>
      </c>
      <c r="O56" s="1447">
        <f t="shared" si="15"/>
        <v>36923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2004-1</v>
      </c>
      <c r="D58" s="1446" t="str">
        <f t="shared" ref="D58:O58" si="16">YEAR(D56)&amp;"-"&amp;ROUNDUP(MONTH(D56)/3,0)</f>
        <v>2003-4</v>
      </c>
      <c r="E58" s="1446" t="str">
        <f t="shared" si="16"/>
        <v>2003-3</v>
      </c>
      <c r="F58" s="1446" t="str">
        <f t="shared" si="16"/>
        <v>2003-2</v>
      </c>
      <c r="G58" s="1446" t="str">
        <f t="shared" si="16"/>
        <v>2003-1</v>
      </c>
      <c r="H58" s="1446" t="str">
        <f t="shared" si="16"/>
        <v>2002-4</v>
      </c>
      <c r="I58" s="1446" t="str">
        <f t="shared" si="16"/>
        <v>2002-3</v>
      </c>
      <c r="J58" s="1446" t="str">
        <f t="shared" si="16"/>
        <v>2002-2</v>
      </c>
      <c r="K58" s="1446" t="str">
        <f t="shared" si="16"/>
        <v>2002-1</v>
      </c>
      <c r="L58" s="1446" t="str">
        <f t="shared" si="16"/>
        <v>2001-4</v>
      </c>
      <c r="M58" s="1446" t="str">
        <f t="shared" si="16"/>
        <v>2001-3</v>
      </c>
      <c r="N58" s="1446" t="str">
        <f t="shared" si="16"/>
        <v>2001-2</v>
      </c>
      <c r="O58" s="1446" t="str">
        <f t="shared" si="16"/>
        <v>2001-1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38045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52</v>
      </c>
      <c r="K1" s="1075">
        <f ca="1">MATCH(E1,C4:C8,1)+IF(SUMIF(C4:C8,E1,D4:D8)=0,3,2)</f>
        <v>3</v>
      </c>
      <c r="L1" s="1075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38045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52</v>
      </c>
      <c r="K2" s="1075">
        <f ca="1">MATCH(E2,C4:C8,1)+IF(SUMIF(C4:C8,E2,D4:D8)=0,3,2)</f>
        <v>3</v>
      </c>
      <c r="L2" s="1075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3" t="s">
        <v>1638</v>
      </c>
      <c r="O2" s="1783"/>
      <c r="P2" s="1783"/>
      <c r="Q2" s="1783"/>
      <c r="S2" s="1783" t="s">
        <v>1639</v>
      </c>
      <c r="T2" s="1783"/>
      <c r="U2" s="1783"/>
      <c r="V2" s="1783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1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1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1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1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1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1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1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2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0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1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1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2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0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1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1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2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0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1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1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2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0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1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1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2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0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1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1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2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0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1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1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2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0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1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1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2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0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1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1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2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0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1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1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2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0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1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1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2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0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1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1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2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0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1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1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2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0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1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1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2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X44:X47"/>
  <sheetViews>
    <sheetView workbookViewId="0">
      <selection activeCell="X48" sqref="X48"/>
    </sheetView>
  </sheetViews>
  <sheetFormatPr defaultRowHeight="13.5"/>
  <sheetData>
    <row r="44" spans="24:24">
      <c r="X44">
        <v>630</v>
      </c>
    </row>
    <row r="45" spans="24:24">
      <c r="X45">
        <v>1080</v>
      </c>
    </row>
    <row r="46" spans="24:24">
      <c r="X46">
        <f>X44+X45</f>
        <v>1710</v>
      </c>
    </row>
    <row r="47" spans="24:24">
      <c r="X47">
        <f>X46/2</f>
        <v>855</v>
      </c>
    </row>
  </sheetData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39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9</v>
      </c>
      <c r="N1" s="673" t="s">
        <v>1633</v>
      </c>
      <c r="O1" s="542" t="str">
        <f>'2002基准地价'!C25</f>
        <v>2004-1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9.7999999999999997E-3</v>
      </c>
      <c r="M2" s="27">
        <f>ROUND(SUMIF($A$17:$A$67,$O$1,M17:M67),4)</f>
        <v>1.2200000000000001E-2</v>
      </c>
      <c r="N2" s="27">
        <f>ROUND(SUMIF($A$17:$A$67,$O$1,N17:N67),4)</f>
        <v>1.2200000000000001E-2</v>
      </c>
      <c r="O2" s="27">
        <f>ROUND(SUMIF($A$17:$A$67,$O$1,O17:O67),4)</f>
        <v>6.0000000000000001E-3</v>
      </c>
      <c r="P2" s="27">
        <f>ROUND(SUMIF($A$17:$A$67,$O$1,P17:P67),4)</f>
        <v>4.3E-3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59.34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38045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59.34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60" t="s">
        <v>1353</v>
      </c>
      <c r="B2" s="1660"/>
      <c r="C2" s="1660"/>
      <c r="D2" s="1660"/>
      <c r="E2" s="1660"/>
      <c r="F2" s="1660"/>
      <c r="G2" s="1660"/>
      <c r="H2" s="1636"/>
      <c r="I2" s="1635"/>
      <c r="X2" s="210"/>
      <c r="AG2" s="182"/>
    </row>
    <row r="3" spans="1:33" ht="13.5">
      <c r="A3" s="1661" t="s">
        <v>1354</v>
      </c>
      <c r="B3" s="1662"/>
      <c r="C3" s="1663"/>
      <c r="D3" s="1664" t="s">
        <v>1355</v>
      </c>
      <c r="E3" s="1662"/>
      <c r="F3" s="1662"/>
      <c r="G3" s="1665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66" t="s">
        <v>1356</v>
      </c>
      <c r="E4" s="1667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68" t="s">
        <v>1360</v>
      </c>
      <c r="B5" s="1669">
        <f>主表!F5</f>
        <v>892</v>
      </c>
      <c r="C5" s="1670" t="s">
        <v>1361</v>
      </c>
      <c r="D5" s="1667" t="s">
        <v>1362</v>
      </c>
      <c r="E5" s="1671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68"/>
      <c r="B6" s="1669"/>
      <c r="C6" s="1670"/>
      <c r="D6" s="167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68"/>
      <c r="B7" s="1669"/>
      <c r="C7" s="1670"/>
      <c r="D7" s="167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68"/>
      <c r="B8" s="1669"/>
      <c r="C8" s="1670"/>
      <c r="D8" s="1673" t="s">
        <v>1384</v>
      </c>
      <c r="E8" s="1674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68"/>
      <c r="B9" s="1669"/>
      <c r="C9" s="1670"/>
      <c r="D9" s="1673" t="s">
        <v>1385</v>
      </c>
      <c r="E9" s="1674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68"/>
      <c r="B10" s="1669"/>
      <c r="C10" s="1670"/>
      <c r="D10" s="1673" t="s">
        <v>1386</v>
      </c>
      <c r="E10" s="1674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67" t="s">
        <v>1367</v>
      </c>
      <c r="E11" s="1671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1369</v>
      </c>
      <c r="E12" s="1671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67" t="s">
        <v>1370</v>
      </c>
      <c r="E13" s="1671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892</v>
      </c>
      <c r="C14" s="1220" t="s">
        <v>1372</v>
      </c>
      <c r="D14" s="1667" t="s">
        <v>1371</v>
      </c>
      <c r="E14" s="1671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9">
        <f ca="1">主表!F24</f>
        <v>892</v>
      </c>
      <c r="C15" s="1675"/>
      <c r="D15" s="1673" t="s">
        <v>1374</v>
      </c>
      <c r="E15" s="1674"/>
      <c r="F15" s="1674"/>
      <c r="G15" s="1676"/>
      <c r="H15" s="1636"/>
      <c r="I15" s="1635"/>
      <c r="X15" s="210"/>
      <c r="AG15" s="182"/>
    </row>
    <row r="16" spans="1:33" ht="27.75" thickBot="1">
      <c r="A16" s="1213" t="s">
        <v>1375</v>
      </c>
      <c r="B16" s="1669">
        <f ca="1">主表!F25</f>
        <v>5.2930999999999999</v>
      </c>
      <c r="C16" s="1675"/>
      <c r="D16" s="1673" t="s">
        <v>1376</v>
      </c>
      <c r="E16" s="1674"/>
      <c r="F16" s="1674"/>
      <c r="G16" s="1676"/>
      <c r="H16" s="1222" t="str">
        <f ca="1">NUMBERSTRING(INT(B16*10000),2)&amp;"元整"</f>
        <v>伍万贰仟玖佰叁拾壹元整</v>
      </c>
      <c r="I16" s="1223"/>
      <c r="X16" s="210"/>
      <c r="AG16" s="182"/>
    </row>
    <row r="17" spans="1:33" ht="13.5">
      <c r="A17" s="1213" t="s">
        <v>1377</v>
      </c>
      <c r="B17" s="1682">
        <f>主表!F33</f>
        <v>0</v>
      </c>
      <c r="C17" s="1675"/>
      <c r="D17" s="1673" t="s">
        <v>1378</v>
      </c>
      <c r="E17" s="1674"/>
      <c r="F17" s="1674"/>
      <c r="G17" s="1676"/>
      <c r="H17" s="1636"/>
      <c r="I17" s="1635"/>
      <c r="X17" s="210"/>
      <c r="AG17" s="182"/>
    </row>
    <row r="18" spans="1:33" ht="27.75" thickBot="1">
      <c r="A18" s="1213" t="s">
        <v>1379</v>
      </c>
      <c r="B18" s="1669">
        <f ca="1">主表!F35</f>
        <v>0</v>
      </c>
      <c r="C18" s="1675"/>
      <c r="D18" s="1673" t="s">
        <v>1380</v>
      </c>
      <c r="E18" s="1674"/>
      <c r="F18" s="1674"/>
      <c r="G18" s="1676"/>
      <c r="H18" s="1636"/>
      <c r="I18" s="1635"/>
      <c r="X18" s="210"/>
      <c r="AG18" s="182"/>
    </row>
    <row r="19" spans="1:33" ht="27.75" thickBot="1">
      <c r="A19" s="1221" t="s">
        <v>1381</v>
      </c>
      <c r="B19" s="1677">
        <f ca="1">主表!F36</f>
        <v>0</v>
      </c>
      <c r="C19" s="1678"/>
      <c r="D19" s="1679" t="s">
        <v>1382</v>
      </c>
      <c r="E19" s="1680"/>
      <c r="F19" s="1680"/>
      <c r="G19" s="1681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38045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12</v>
      </c>
    </row>
    <row r="4" spans="1:18" ht="15.75" customHeight="1">
      <c r="A4" s="1127" t="s">
        <v>1776</v>
      </c>
      <c r="B4" s="1479">
        <f>B3</f>
        <v>38045</v>
      </c>
      <c r="C4" s="1100"/>
      <c r="D4" s="1107" t="s">
        <v>1276</v>
      </c>
      <c r="E4" s="1108" t="s">
        <v>1569</v>
      </c>
      <c r="F4" s="1109">
        <f ca="1">F5+F8+F9+F10</f>
        <v>892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892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1049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59.34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157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58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0.95899999999999996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1800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1992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892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5.2930999999999999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0.8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59.34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3" t="s">
        <v>928</v>
      </c>
      <c r="E16" s="1704"/>
      <c r="F16" s="1703" t="s">
        <v>926</v>
      </c>
      <c r="G16" s="1705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698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39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38045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0.98329999999999995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6.0999999999999999E-2</v>
      </c>
      <c r="H20" s="1386" t="s">
        <v>1634</v>
      </c>
      <c r="I20" s="964">
        <f>IF(H20="剩余土地使用年限",主表!B15,主表!B16)</f>
        <v>58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6.0999999999999999E-2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1159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1160</v>
      </c>
      <c r="B92" s="170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708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709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709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709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709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709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709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709"/>
      <c r="B109" s="1711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706" t="s">
        <v>1175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2026-01-30T03:03:33Z</dcterms:modified>
</cp:coreProperties>
</file>