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首开东都汇\F02结果\"/>
    </mc:Choice>
  </mc:AlternateContent>
  <xr:revisionPtr revIDLastSave="0" documentId="13_ncr:1_{73039D55-66ED-47FF-A654-D26F288AAAC3}"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34" l="1"/>
  <c r="I34" i="34"/>
  <c r="D14" i="9"/>
  <c r="G48" i="34"/>
  <c r="E48" i="34"/>
  <c r="I37" i="34"/>
  <c r="G37" i="34"/>
  <c r="E37" i="34"/>
  <c r="C37" i="34"/>
  <c r="G34" i="34"/>
  <c r="E34" i="34"/>
  <c r="C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S28" i="34"/>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3" i="34"/>
  <c r="D78" i="9"/>
  <c r="A16" i="55"/>
  <c r="B46" i="60" s="1"/>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D20" i="57"/>
  <c r="E2" i="36"/>
  <c r="E2" i="21"/>
  <c r="E2" i="34"/>
  <c r="C20" i="57"/>
  <c r="F4" i="61"/>
  <c r="D19" i="57"/>
  <c r="E2" i="35"/>
  <c r="C19" i="57"/>
  <c r="E2" i="11"/>
  <c r="D3" i="61"/>
  <c r="D7" i="61"/>
  <c r="H23" i="31"/>
  <c r="D4" i="61"/>
  <c r="F3" i="61"/>
  <c r="F7" i="61"/>
  <c r="F5" i="61"/>
  <c r="F6" i="61"/>
  <c r="D5" i="61"/>
  <c r="E2" i="33"/>
  <c r="E2" i="37"/>
  <c r="D6" i="61"/>
  <c r="D3" i="37" l="1"/>
  <c r="D10" i="11"/>
  <c r="A14" i="52"/>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C114" i="9"/>
  <c r="H112" i="9" s="1"/>
  <c r="G125" i="57"/>
  <c r="P51" i="15"/>
  <c r="C106" i="9"/>
  <c r="H102" i="9" s="1"/>
  <c r="D47" i="15"/>
  <c r="C112" i="57"/>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6" i="12" l="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F121" i="9" l="1"/>
  <c r="H121" i="9"/>
  <c r="D14" i="62" s="1"/>
  <c r="D121" i="9"/>
  <c r="E14" i="62" l="1"/>
  <c r="B5" i="62"/>
  <c r="F14" i="62"/>
  <c r="H122" i="9"/>
  <c r="H5" i="52" s="1"/>
  <c r="H4" i="52"/>
  <c r="G121" i="9"/>
  <c r="G4" i="52" s="1"/>
  <c r="B41" i="60" s="1"/>
  <c r="F4" i="52"/>
  <c r="B40" i="60" s="1"/>
  <c r="E121" i="9"/>
  <c r="E4" i="52" s="1"/>
  <c r="B38" i="60" s="1"/>
  <c r="D4" i="52"/>
  <c r="B37" i="60" s="1"/>
  <c r="F122" i="9"/>
  <c r="F5" i="52" s="1"/>
  <c r="B42" i="60" s="1"/>
  <c r="D122" i="9"/>
  <c r="D5" i="52" s="1"/>
  <c r="B39" i="60" s="1"/>
  <c r="I102" i="9"/>
  <c r="I121" i="9"/>
  <c r="I4" i="52" s="1"/>
  <c r="C103" i="9"/>
  <c r="D106" i="9"/>
  <c r="D112" i="9" s="1"/>
  <c r="C5" i="62" l="1"/>
  <c r="D5" i="62"/>
  <c r="D28" i="50"/>
  <c r="D29" i="50" s="1"/>
  <c r="D7" i="50"/>
  <c r="D117" i="9"/>
  <c r="D107" i="9"/>
  <c r="D113" i="9" s="1"/>
  <c r="C104" i="9"/>
  <c r="I103" i="9"/>
  <c r="I110" i="9"/>
  <c r="N48" i="9"/>
  <c r="D45" i="9"/>
  <c r="D125" i="9" l="1"/>
  <c r="D36" i="50"/>
  <c r="D37" i="50" s="1"/>
  <c r="D15" i="50"/>
  <c r="I115" i="9"/>
  <c r="D23" i="50" s="1"/>
  <c r="B34" i="60" s="1"/>
  <c r="D44" i="50"/>
  <c r="B19" i="60"/>
  <c r="D8" i="50"/>
  <c r="B22" i="60" s="1"/>
  <c r="D9" i="50"/>
  <c r="B21" i="60" s="1"/>
  <c r="D30" i="50"/>
  <c r="I111" i="9"/>
  <c r="D38" i="50"/>
  <c r="B62" i="60" s="1"/>
  <c r="C72" i="9"/>
  <c r="C78" i="9"/>
  <c r="C73" i="9" s="1"/>
  <c r="C93" i="9"/>
  <c r="C86" i="9" s="1"/>
  <c r="C64" i="9"/>
  <c r="C63" i="9" s="1"/>
  <c r="C67" i="9" s="1"/>
  <c r="C68" i="9" s="1"/>
  <c r="D54" i="9" s="1"/>
  <c r="C85" i="9"/>
  <c r="D52" i="9"/>
  <c r="D53" i="9"/>
  <c r="D48" i="9" s="1"/>
  <c r="N52" i="9" s="1"/>
  <c r="O57" i="9" s="1"/>
  <c r="D8" i="52" l="1"/>
  <c r="G14" i="62"/>
  <c r="B6" i="62" s="1"/>
  <c r="C95" i="9"/>
  <c r="C96" i="9" s="1"/>
  <c r="D126" i="9"/>
  <c r="D9" i="52" s="1"/>
  <c r="D17" i="50"/>
  <c r="B29" i="60"/>
  <c r="D16" i="50"/>
  <c r="B30" i="60" s="1"/>
  <c r="Q57" i="9"/>
  <c r="O58" i="9"/>
  <c r="O59" i="9"/>
  <c r="C79" i="9"/>
  <c r="D6" i="62" l="1"/>
  <c r="C6" i="62"/>
  <c r="E96" i="9"/>
  <c r="E97" i="9" s="1"/>
  <c r="C97" i="9"/>
  <c r="D58" i="9" s="1"/>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<sst xmlns="http://schemas.openxmlformats.org/spreadsheetml/2006/main" count="6956" uniqueCount="3041">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</sst>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估价对象为北京市房地产，为所有。根据《房屋所有权证》[]，估价对象建筑面积为71.43平方米。根据《》[]，估价对象（分摊）出让国有建设用地使用权面积为平方米。估价对象用途为。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71.430000000000007</v>
      </c>
    </row>
    <row r="19" spans="1:2">
      <c r="A19" s="1181" t="s">
        <v>1056</v>
      </c>
      <c r="B19" s="1168">
        <f ca="1">'预评函-2（1）'!D7</f>
        <v>208</v>
      </c>
    </row>
    <row r="20" spans="1:2">
      <c r="A20" s="1181" t="s">
        <v>1094</v>
      </c>
      <c r="B20" s="1168" t="str">
        <f>'预评函-2（1）'!C7</f>
        <v>总价（万元）</v>
      </c>
    </row>
    <row r="21" spans="1:2">
      <c r="A21" s="1181" t="s">
        <v>1057</v>
      </c>
      <c r="B21" s="1168">
        <f ca="1">'预评函-2（1）'!D9</f>
        <v>29119</v>
      </c>
    </row>
    <row r="22" spans="1:2">
      <c r="A22" s="1181" t="s">
        <v>1058</v>
      </c>
      <c r="B22" s="1168" t="str">
        <f ca="1">'预评函-2（1）'!D8</f>
        <v>贰佰零捌万元整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208</v>
      </c>
    </row>
    <row r="30" spans="1:2">
      <c r="A30" s="1181" t="s">
        <v>1064</v>
      </c>
      <c r="B30" s="1168" t="str">
        <f ca="1">'预评函-2（1）'!D16</f>
        <v>贰佰零捌万元整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208</v>
      </c>
    </row>
    <row r="38" spans="1:2">
      <c r="A38" s="1181" t="s">
        <v>1072</v>
      </c>
      <c r="B38" s="1168">
        <f ca="1">'预评函-2（2）'!E4</f>
        <v>29119</v>
      </c>
    </row>
    <row r="39" spans="1:2">
      <c r="A39" s="1181" t="s">
        <v>1073</v>
      </c>
      <c r="B39" s="1168" t="str">
        <f ca="1">'预评函-2（2）'!D5</f>
        <v>贰佰零捌万元整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29119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9" sqref="C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44610</v>
      </c>
      <c r="C2" s="2861" t="s">
        <v>1473</v>
      </c>
      <c r="D2" s="2562">
        <f>B2</f>
        <v>44610</v>
      </c>
      <c r="E2" s="824"/>
      <c r="F2" s="824"/>
      <c r="G2" s="1163"/>
      <c r="H2" s="2873"/>
    </row>
    <row r="3" spans="1:17" ht="13.5" thickBot="1">
      <c r="A3" s="2563" t="s">
        <v>1474</v>
      </c>
      <c r="B3" s="2564" t="s">
        <v>2986</v>
      </c>
      <c r="C3" s="2565">
        <f ca="1">SUMIF(注册房地产估价师,B3,估价师及机构信息!B3:B16)</f>
        <v>1419970001</v>
      </c>
      <c r="D3" s="2564" t="s">
        <v>2987</v>
      </c>
      <c r="E3" s="2566">
        <f ca="1">SUMIF(注册房地产估价师,D3,估价师及机构信息!B3:B16)</f>
        <v>1120070131</v>
      </c>
      <c r="F3" s="825"/>
      <c r="G3" s="1164"/>
      <c r="H3" s="2873"/>
    </row>
    <row r="4" spans="1:17" ht="13.5" customHeight="1" thickTop="1">
      <c r="A4" s="1397" t="s">
        <v>1475</v>
      </c>
      <c r="B4" s="1398"/>
      <c r="C4" s="2862" t="s">
        <v>1476</v>
      </c>
      <c r="D4" s="1399" t="s">
        <v>2985</v>
      </c>
      <c r="E4" s="824"/>
      <c r="F4" s="824"/>
      <c r="G4" s="1163"/>
    </row>
    <row r="5" spans="1:17">
      <c r="A5" s="1400" t="s">
        <v>1477</v>
      </c>
      <c r="B5" s="1401"/>
      <c r="C5" s="2863" t="s">
        <v>1478</v>
      </c>
      <c r="D5" s="1403" t="s">
        <v>2984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c r="E7" s="825"/>
      <c r="F7" s="825"/>
      <c r="G7" s="1164"/>
    </row>
    <row r="8" spans="1:17" ht="13.5" thickTop="1">
      <c r="A8" s="3372" t="s">
        <v>1483</v>
      </c>
      <c r="B8" s="1409" t="s">
        <v>1484</v>
      </c>
      <c r="C8" s="3385">
        <v>511</v>
      </c>
      <c r="D8" s="3386"/>
      <c r="E8" s="2571" t="s">
        <v>1485</v>
      </c>
      <c r="F8" s="2572" t="s">
        <v>1486</v>
      </c>
      <c r="G8" s="2573">
        <f>C6</f>
        <v>0</v>
      </c>
    </row>
    <row r="9" spans="1:17" ht="25.5">
      <c r="A9" s="3372"/>
      <c r="B9" s="259" t="s">
        <v>1487</v>
      </c>
      <c r="C9" s="1401"/>
      <c r="D9" s="1410" t="s">
        <v>2988</v>
      </c>
      <c r="E9" s="2867" t="s">
        <v>1488</v>
      </c>
      <c r="F9" s="2574" t="s">
        <v>70</v>
      </c>
      <c r="G9" s="2575"/>
    </row>
    <row r="10" spans="1:17" ht="13.5" thickBot="1">
      <c r="A10" s="3372"/>
      <c r="B10" s="259" t="s">
        <v>1489</v>
      </c>
      <c r="C10" s="3387"/>
      <c r="D10" s="3388"/>
      <c r="E10" s="2868" t="s">
        <v>1490</v>
      </c>
      <c r="F10" s="2576" t="s">
        <v>334</v>
      </c>
      <c r="G10" s="2577"/>
    </row>
    <row r="11" spans="1:17" ht="13.5" thickBot="1">
      <c r="A11" s="3372"/>
      <c r="B11" s="1412" t="s">
        <v>1491</v>
      </c>
      <c r="C11" s="3389"/>
      <c r="D11" s="3390"/>
      <c r="E11" s="811"/>
      <c r="F11" s="811"/>
      <c r="G11" s="830"/>
    </row>
    <row r="12" spans="1:17" ht="13.5" thickBot="1">
      <c r="A12" s="3376" t="s">
        <v>2769</v>
      </c>
      <c r="B12" s="2869" t="s">
        <v>1492</v>
      </c>
      <c r="C12" s="808">
        <v>71.430000000000007</v>
      </c>
      <c r="D12" s="1413" t="s">
        <v>1493</v>
      </c>
      <c r="E12" s="1414" t="s">
        <v>2989</v>
      </c>
      <c r="F12" s="1415"/>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2768</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53" sqref="C5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44610</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3039</v>
      </c>
      <c r="C3" s="1655"/>
      <c r="D3" s="3408"/>
      <c r="E3" s="2609" t="s">
        <v>2999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2998</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71.430000000000007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3000</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37</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0.91500000000000004</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0.08</v>
      </c>
      <c r="C17" s="2533" t="s">
        <v>2782</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250005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2011</v>
      </c>
      <c r="C27" s="1655"/>
      <c r="D27" s="3127" t="s">
        <v>3002</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3001</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1.5E-3</v>
      </c>
      <c r="C46" s="2533" t="s">
        <v>2783</v>
      </c>
      <c r="D46" s="2653" t="s">
        <v>1400</v>
      </c>
      <c r="E46" s="2640"/>
      <c r="F46" s="1281">
        <v>3</v>
      </c>
      <c r="G46" s="2645"/>
      <c r="H46" s="2645"/>
      <c r="M46" s="1655"/>
      <c r="N46" s="1655"/>
    </row>
    <row r="47" spans="1:14" ht="15" thickBot="1">
      <c r="A47" s="2903" t="s">
        <v>1639</v>
      </c>
      <c r="B47" s="2656">
        <v>0.02</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2792</v>
      </c>
      <c r="B3" s="3076" t="s">
        <v>2793</v>
      </c>
      <c r="C3" s="3077" t="s">
        <v>2794</v>
      </c>
      <c r="D3" s="3078"/>
      <c r="E3" s="3079" t="s">
        <v>2792</v>
      </c>
      <c r="F3" s="3080" t="s">
        <v>2795</v>
      </c>
      <c r="G3" s="3081"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2797</v>
      </c>
      <c r="C4" s="3082" t="s">
        <v>2798</v>
      </c>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2801</v>
      </c>
      <c r="C5" s="3082" t="s">
        <v>2802</v>
      </c>
      <c r="D5" s="3078"/>
      <c r="E5" s="3083"/>
      <c r="F5" s="3063" t="s">
        <v>2803</v>
      </c>
      <c r="G5" s="3084" t="s">
        <v>2804</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2805</v>
      </c>
      <c r="C6" s="3084" t="s">
        <v>2800</v>
      </c>
      <c r="D6" s="3078"/>
      <c r="E6" s="3083"/>
      <c r="F6" s="3063" t="s">
        <v>2806</v>
      </c>
      <c r="G6" s="3084" t="s">
        <v>2807</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2803</v>
      </c>
      <c r="C7" s="3084" t="s">
        <v>2804</v>
      </c>
      <c r="D7" s="2952"/>
      <c r="E7" s="3085"/>
      <c r="F7" s="3086" t="s">
        <v>2808</v>
      </c>
      <c r="G7" s="3087" t="s">
        <v>2809</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2806</v>
      </c>
      <c r="C8" s="3084" t="s">
        <v>2807</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2810</v>
      </c>
      <c r="C9" s="3082" t="s">
        <v>2811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2812</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2813</v>
      </c>
      <c r="D14" s="3078"/>
      <c r="E14" s="3096"/>
      <c r="F14" s="3096"/>
      <c r="G14" s="3071" t="s">
        <v>2814</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2815</v>
      </c>
      <c r="B15" s="3101" t="s">
        <v>2793</v>
      </c>
      <c r="C15" s="3102" t="str">
        <f>C3</f>
        <v>估价对象周边居住用地比例、居住小区规模和社区发展完善程度，综合评价居住社区成熟度一般</v>
      </c>
      <c r="D15" s="3078"/>
      <c r="E15" s="3103" t="s">
        <v>2816</v>
      </c>
      <c r="F15" s="3101" t="s">
        <v>2817</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估价对象位于XX商圈，周边商业氛围成熟，人流量大，商业繁华度好</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2801</v>
      </c>
      <c r="C17" s="3106" t="str">
        <f>C5</f>
        <v>估价对象位于XX商圈，周边办公楼项目较多，入驻率高，办公集聚程度较好</v>
      </c>
      <c r="D17" s="2952"/>
      <c r="E17" s="3107"/>
      <c r="F17" s="3064" t="s">
        <v>2818</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2805</v>
      </c>
      <c r="C18" s="3108" t="str">
        <f>C6</f>
        <v>估价对象周边道路状况、公共交通通达情况、停车便捷程度，综合评价交通便捷度较好</v>
      </c>
      <c r="D18" s="2952"/>
      <c r="E18" s="3107"/>
      <c r="F18" s="3064" t="s">
        <v>2808</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2819</v>
      </c>
      <c r="C19" s="3109"/>
      <c r="D19" s="3078"/>
      <c r="E19" s="3107"/>
      <c r="F19" s="3063" t="s">
        <v>2803</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2820</v>
      </c>
      <c r="C20" s="3106" t="str">
        <f>C9</f>
        <v>区域自然环境：；人文环境；综合评价环境状况一般</v>
      </c>
      <c r="D20" s="2952"/>
      <c r="E20" s="3107"/>
      <c r="F20" s="3063" t="s">
        <v>2806</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2803</v>
      </c>
      <c r="C21" s="3108" t="str">
        <f>C7</f>
        <v>估价对象所在区域公共配套设施齐备情况</v>
      </c>
      <c r="D21" s="3078"/>
      <c r="E21" s="3107"/>
      <c r="F21" s="3064" t="s">
        <v>2821</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2806</v>
      </c>
      <c r="C22" s="3108" t="str">
        <f>C8</f>
        <v>估价对象所在区域基础设施水平</v>
      </c>
      <c r="D22" s="3078"/>
      <c r="E22" s="3107"/>
      <c r="F22" s="3064" t="s">
        <v>2812</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2821</v>
      </c>
      <c r="C23" s="3110"/>
      <c r="D23" s="3097"/>
      <c r="E23" s="3112"/>
      <c r="F23" s="3066" t="s">
        <v>2822</v>
      </c>
      <c r="G23" s="3113"/>
      <c r="H23" s="3097"/>
      <c r="I23" s="3098"/>
      <c r="J23" s="3097"/>
      <c r="K23" s="3097"/>
      <c r="L23" s="3098"/>
      <c r="M23" s="3097"/>
      <c r="N23" s="3097"/>
      <c r="O23" s="3098"/>
      <c r="P23" s="3097"/>
      <c r="Q23" s="3097"/>
      <c r="R23" s="3099"/>
    </row>
    <row r="24" spans="1:29" s="3074" customFormat="1" ht="13.5" thickBot="1">
      <c r="A24" s="3114"/>
      <c r="B24" s="3066" t="s">
        <v>2823</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28" sqref="D28"/>
    </sheetView>
  </sheetViews>
  <sheetFormatPr defaultColWidth="14.625" defaultRowHeight="13.5"/>
  <cols>
    <col min="1" max="1" width="24.375" style="2553" customWidth="1"/>
    <col min="2" max="16384" width="14.625" style="2553"/>
  </cols>
  <sheetData>
    <row r="1" spans="1:9" ht="16.5">
      <c r="A1" s="2551" t="s">
        <v>1155</v>
      </c>
      <c r="B1" s="2551">
        <f>SUM(B14:B23)</f>
        <v>71.430000000000007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208</v>
      </c>
      <c r="C5" s="2551">
        <f ca="1">ROUND(B5*10000/$B$1,0)</f>
        <v>29119</v>
      </c>
      <c r="D5" s="2551" t="e">
        <f ca="1">ROUND(B5*10000/$B$2,0)</f>
        <v>#DIV/0!</v>
      </c>
      <c r="E5" s="1604"/>
      <c r="F5" s="2552"/>
      <c r="G5" s="2552"/>
    </row>
    <row r="6" spans="1:9" ht="16.5">
      <c r="A6" s="2551" t="s">
        <v>1163</v>
      </c>
      <c r="B6" s="2551">
        <f ca="1">SUM(G14:G23)</f>
        <v>208</v>
      </c>
      <c r="C6" s="2551">
        <f t="shared" ref="C6:C8" ca="1" si="0">ROUND(B6*10000/$B$1,0)</f>
        <v>29119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3040</v>
      </c>
      <c r="B14" s="2887">
        <f>项目基本情况!C12</f>
        <v>71.430000000000007</v>
      </c>
      <c r="C14" s="2887">
        <f>项目基本情况!C13</f>
        <v>0</v>
      </c>
      <c r="D14" s="2887">
        <f ca="1">IF('数据-取费表'!B3="万元",IF(A14="估价对象1（结果表）",结果表!H121,'结果表 (1修多)'!H125),IF(A14="估价对象1（结果表）",结果表!H121,'结果表 (1修多)'!H125)/10000)</f>
        <v>208</v>
      </c>
      <c r="E14" s="2887">
        <f ca="1">ROUND(D14*10000/B14,0)</f>
        <v>29119</v>
      </c>
      <c r="F14" s="2887" t="e">
        <f ca="1">ROUND(D14*10000/C14,0)</f>
        <v>#DIV/0!</v>
      </c>
      <c r="G14" s="2887">
        <f ca="1">IF('数据-取费表'!B3="万元",IF(A14="估价对象1（结果表）",结果表!D125,'结果表 (1修多)'!D129),IF(A14="估价对象1（结果表）",结果表!D125,'结果表 (1修多)'!D129)/10000)</f>
        <v>208</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31" sqref="E31"/>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1653</v>
      </c>
      <c r="B3" s="3488"/>
      <c r="C3" s="3488"/>
      <c r="D3" s="3488"/>
      <c r="E3" s="3488"/>
      <c r="F3" s="3488"/>
      <c r="G3" s="3488"/>
      <c r="H3" s="3488"/>
      <c r="I3" s="3488"/>
      <c r="J3" s="2815"/>
    </row>
    <row r="4" spans="1:15" ht="14.25">
      <c r="A4" s="2683" t="s">
        <v>1654</v>
      </c>
      <c r="B4" s="2683" t="s">
        <v>1655</v>
      </c>
      <c r="C4" s="2684" t="s">
        <v>3036</v>
      </c>
      <c r="D4" s="2684" t="s">
        <v>3037</v>
      </c>
      <c r="E4" s="3484" t="s">
        <v>1656</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v>8</v>
      </c>
      <c r="D14" s="3486">
        <f>10-C14</f>
        <v>2</v>
      </c>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503" t="s">
        <v>2758</v>
      </c>
      <c r="F18" s="3504"/>
      <c r="G18" s="3504"/>
      <c r="H18" s="3504"/>
      <c r="I18" s="3504"/>
      <c r="J18" s="2817"/>
    </row>
    <row r="19" spans="1:36" ht="15">
      <c r="A19" s="2690" t="s">
        <v>1676</v>
      </c>
      <c r="B19" s="2691" t="s">
        <v>1677</v>
      </c>
      <c r="C19" s="2692">
        <f ca="1">SUMIF(INDIRECT("'"&amp;C4&amp;"'"&amp;"!A:A"),结果表!B19,INDIRECT("'"&amp;C4&amp;"'"&amp;"!B:B"))</f>
        <v>219</v>
      </c>
      <c r="D19" s="2693">
        <f ca="1">SUMIF(INDIRECT("'"&amp;D4&amp;"'"&amp;"!A:A"),结果表!B19,INDIRECT("'"&amp;D4&amp;"'"&amp;"!B:B"))</f>
        <v>164</v>
      </c>
      <c r="E19" s="2690" t="s">
        <v>1678</v>
      </c>
      <c r="F19" s="2691" t="s">
        <v>1677</v>
      </c>
      <c r="G19" s="2694">
        <f ca="1">ROUND(C19*$C$18+D19*$D$18,0)</f>
        <v>208</v>
      </c>
      <c r="H19" s="2695" t="str">
        <f>'数据-取费表'!B3</f>
        <v>万元</v>
      </c>
      <c r="I19" s="2743"/>
      <c r="J19" s="2818"/>
    </row>
    <row r="20" spans="1:36" ht="15">
      <c r="A20" s="2696"/>
      <c r="B20" s="1664" t="s">
        <v>1679</v>
      </c>
      <c r="C20" s="1889">
        <f ca="1">SUMIF(INDIRECT("'"&amp;C4&amp;"'"&amp;"!A:A"),结果表!B20,INDIRECT("'"&amp;C4&amp;"'"&amp;"!B:B"))</f>
        <v>30632</v>
      </c>
      <c r="D20" s="1892">
        <f ca="1">SUMIF(INDIRECT("'"&amp;D4&amp;"'"&amp;"!A:A"),结果表!B20,INDIRECT("'"&amp;D4&amp;"'"&amp;"!B:B"))</f>
        <v>22942</v>
      </c>
      <c r="E20" s="2696"/>
      <c r="F20" s="1664" t="s">
        <v>1679</v>
      </c>
      <c r="G20" s="2063">
        <f ca="1">ROUND(C20*$C$18+D20*$D$18,0)</f>
        <v>29094</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0.33536585365853666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208</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3035</v>
      </c>
      <c r="E33" s="2716" t="s">
        <v>1690</v>
      </c>
      <c r="F33" s="2717" t="str">
        <f>IF(B32="楼面单价","取值（单价）","取值（总价）")</f>
        <v>取值（总价）</v>
      </c>
      <c r="G33" s="947"/>
      <c r="H33" s="947"/>
      <c r="I33" s="947"/>
      <c r="J33" s="2817"/>
    </row>
    <row r="34" spans="1:17" ht="15">
      <c r="A34" s="1436"/>
      <c r="B34" s="2718" t="s">
        <v>1691</v>
      </c>
      <c r="C34" s="2719">
        <f ca="1">IF(D33="自定义",F34,C32-C35)</f>
        <v>208</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92" t="s">
        <v>1695</v>
      </c>
      <c r="B36" s="1438" t="s">
        <v>1696</v>
      </c>
      <c r="C36" s="2727">
        <v>0</v>
      </c>
      <c r="D36" s="2728"/>
      <c r="E36" s="1650"/>
      <c r="F36" s="1650"/>
      <c r="G36" s="947"/>
      <c r="H36" s="947"/>
      <c r="I36" s="947"/>
      <c r="J36" s="2817"/>
    </row>
    <row r="37" spans="1:17" ht="15.75" thickBot="1">
      <c r="A37" s="3497"/>
      <c r="B37" s="2064" t="s">
        <v>1697</v>
      </c>
      <c r="C37" s="2729">
        <v>0</v>
      </c>
      <c r="D37" s="1281"/>
      <c r="E37" s="1281"/>
      <c r="F37" s="1650"/>
      <c r="G37" s="1281"/>
      <c r="H37" s="1281"/>
      <c r="I37" s="1281"/>
      <c r="J37" s="2821"/>
    </row>
    <row r="38" spans="1:17" ht="15.75" thickBot="1">
      <c r="A38" s="3498"/>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17" t="s">
        <v>1706</v>
      </c>
      <c r="B45" s="3418"/>
      <c r="C45" s="3428"/>
      <c r="D45" s="246">
        <f ca="1">ROUND(I102*F45,0)</f>
        <v>208</v>
      </c>
      <c r="E45" s="1512" t="s">
        <v>1707</v>
      </c>
      <c r="F45" s="2531">
        <v>1</v>
      </c>
      <c r="G45" s="2532" t="s">
        <v>1708</v>
      </c>
      <c r="H45" s="947"/>
      <c r="I45" s="947"/>
      <c r="J45" s="2817"/>
      <c r="K45" s="3423" t="s">
        <v>2687</v>
      </c>
      <c r="L45" s="3423"/>
      <c r="M45" s="3423"/>
      <c r="N45" s="3423"/>
      <c r="O45" s="3423"/>
      <c r="P45" s="3423"/>
      <c r="Q45" s="1278"/>
    </row>
    <row r="46" spans="1:17" ht="14.25" customHeight="1">
      <c r="A46" s="3494" t="s">
        <v>1710</v>
      </c>
      <c r="B46" s="3495"/>
      <c r="C46" s="3495"/>
      <c r="D46" s="3495"/>
      <c r="E46" s="3495"/>
      <c r="F46" s="3495"/>
      <c r="G46" s="3496"/>
      <c r="H46" s="2949"/>
      <c r="I46" s="947"/>
      <c r="J46" s="2817"/>
      <c r="K46" s="2506">
        <v>1</v>
      </c>
      <c r="L46" s="3424" t="s">
        <v>2688</v>
      </c>
      <c r="M46" s="3424"/>
      <c r="N46" s="3425" t="str">
        <f>项目基本情况!B1</f>
        <v>北京市房地产抵押价值预评估</v>
      </c>
      <c r="O46" s="3425"/>
      <c r="P46" s="3425"/>
      <c r="Q46" s="1278"/>
    </row>
    <row r="47" spans="1:17" ht="12" customHeight="1">
      <c r="A47" s="38" t="s">
        <v>1712</v>
      </c>
      <c r="B47" s="39"/>
      <c r="C47" s="40"/>
      <c r="D47" s="1070" t="s">
        <v>1713</v>
      </c>
      <c r="E47" s="235" t="s">
        <v>1714</v>
      </c>
      <c r="F47" s="41" t="s">
        <v>1715</v>
      </c>
      <c r="G47" s="2534" t="s">
        <v>1716</v>
      </c>
      <c r="H47" s="2949"/>
      <c r="I47" s="947"/>
      <c r="J47" s="2817"/>
      <c r="K47" s="2506">
        <v>2</v>
      </c>
      <c r="L47" s="3424" t="s">
        <v>2689</v>
      </c>
      <c r="M47" s="3424"/>
      <c r="N47" s="3426">
        <f>'数据-取费表'!B2</f>
        <v>44610</v>
      </c>
      <c r="O47" s="3426"/>
      <c r="P47" s="3426"/>
      <c r="Q47" s="1278"/>
    </row>
    <row r="48" spans="1:17" ht="25.5">
      <c r="A48" s="3499" t="s">
        <v>1718</v>
      </c>
      <c r="B48" s="3433"/>
      <c r="C48" s="3433"/>
      <c r="D48" s="12">
        <f ca="1">IF(H48="情况1",0,IF(H48="情况2",D52,IF(H48="情况3",D53,IF(H48="情况4",D54))))</f>
        <v>11</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4" t="s">
        <v>2690</v>
      </c>
      <c r="M48" s="3424"/>
      <c r="N48" s="3425">
        <f ca="1">I102</f>
        <v>208</v>
      </c>
      <c r="O48" s="3425"/>
      <c r="P48" s="3425"/>
      <c r="Q48" s="1278"/>
    </row>
    <row r="49" spans="1:17" ht="25.5" customHeight="1">
      <c r="A49" s="2061" t="s">
        <v>1722</v>
      </c>
      <c r="B49" s="3472" t="s">
        <v>1723</v>
      </c>
      <c r="C49" s="3472"/>
      <c r="D49" s="2538">
        <v>0</v>
      </c>
      <c r="E49" s="261" t="s">
        <v>1724</v>
      </c>
      <c r="F49" s="2539" t="s">
        <v>48</v>
      </c>
      <c r="G49" s="3414"/>
      <c r="H49" s="2540" t="s">
        <v>2764</v>
      </c>
      <c r="I49" s="2541"/>
      <c r="J49" s="2825"/>
      <c r="K49" s="2506">
        <v>4</v>
      </c>
      <c r="L49" s="3424" t="str">
        <f>IF(项目基本情况!F5="房地产抵押价值","房地产抵押价值","抵押担保权已注销时的房地产抵押价值")</f>
        <v>抵押担保权已注销时的房地产抵押价值</v>
      </c>
      <c r="M49" s="3424"/>
      <c r="N49" s="3425" t="str">
        <f>IF(项目基本情况!F5="房地产抵押价值",I110,I112)</f>
        <v>——</v>
      </c>
      <c r="O49" s="3425"/>
      <c r="P49" s="3425"/>
      <c r="Q49" s="1278"/>
    </row>
    <row r="50" spans="1:17" ht="25.5" customHeight="1">
      <c r="A50" s="2051"/>
      <c r="B50" s="3472" t="s">
        <v>1725</v>
      </c>
      <c r="C50" s="3472"/>
      <c r="D50" s="2542"/>
      <c r="E50" s="269"/>
      <c r="F50" s="2539"/>
      <c r="G50" s="3415"/>
      <c r="H50" s="2543" t="s">
        <v>2683</v>
      </c>
      <c r="I50" s="2541"/>
      <c r="J50" s="2825"/>
      <c r="K50" s="3424" t="s">
        <v>2691</v>
      </c>
      <c r="L50" s="3424"/>
      <c r="M50" s="3424"/>
      <c r="N50" s="3424"/>
      <c r="O50" s="3424"/>
      <c r="P50" s="3424"/>
      <c r="Q50" s="1278"/>
    </row>
    <row r="51" spans="1:17" ht="20.45" customHeight="1">
      <c r="A51" s="2544"/>
      <c r="B51" s="3472" t="s">
        <v>1727</v>
      </c>
      <c r="C51" s="3472"/>
      <c r="D51" s="1070"/>
      <c r="E51" s="264"/>
      <c r="F51" s="2539"/>
      <c r="G51" s="3416"/>
      <c r="H51" s="2543" t="s">
        <v>2684</v>
      </c>
      <c r="I51" s="2541"/>
      <c r="J51" s="2825"/>
      <c r="K51" s="2507" t="s">
        <v>2692</v>
      </c>
      <c r="L51" s="3424" t="s">
        <v>2693</v>
      </c>
      <c r="M51" s="3424"/>
      <c r="N51" s="2507" t="s">
        <v>2694</v>
      </c>
      <c r="O51" s="2507" t="s">
        <v>2695</v>
      </c>
      <c r="P51" s="2507" t="s">
        <v>2696</v>
      </c>
      <c r="Q51" s="1278"/>
    </row>
    <row r="52" spans="1:17" ht="24" customHeight="1">
      <c r="A52" s="2052" t="s">
        <v>1733</v>
      </c>
      <c r="B52" s="3472" t="s">
        <v>1734</v>
      </c>
      <c r="C52" s="3472"/>
      <c r="D52" s="1070">
        <f ca="1">ROUND(D45*'数据-取费表'!E29/(1+'数据-取费表'!F30),0)</f>
        <v>11</v>
      </c>
      <c r="E52" s="2062" t="s">
        <v>1735</v>
      </c>
      <c r="F52" s="2545">
        <f>'数据-取费表'!E29</f>
        <v>5.6000000000000001E-2</v>
      </c>
      <c r="G52" s="2546"/>
      <c r="H52" s="947"/>
      <c r="I52" s="2950"/>
      <c r="J52" s="2825"/>
      <c r="K52" s="2506">
        <v>1</v>
      </c>
      <c r="L52" s="3413" t="s">
        <v>2697</v>
      </c>
      <c r="M52" s="3413"/>
      <c r="N52" s="2508">
        <f ca="1">D48</f>
        <v>11</v>
      </c>
      <c r="O52" s="2506" t="str">
        <f>E48</f>
        <v>销售额×税（费）率</v>
      </c>
      <c r="P52" s="2509">
        <f>F48</f>
        <v>5.6000000000000001E-2</v>
      </c>
      <c r="Q52" s="1278"/>
    </row>
    <row r="53" spans="1:17" ht="12" customHeight="1">
      <c r="A53" s="2052" t="s">
        <v>1737</v>
      </c>
      <c r="B53" s="3484" t="s">
        <v>2776</v>
      </c>
      <c r="C53" s="3473"/>
      <c r="D53" s="1070">
        <f ca="1">ROUND(D45*'数据-取费表'!E29/(1+'数据-取费表'!F30),0)</f>
        <v>11</v>
      </c>
      <c r="E53" s="2062" t="s">
        <v>1735</v>
      </c>
      <c r="F53" s="2545">
        <f>'数据-取费表'!E29</f>
        <v>5.6000000000000001E-2</v>
      </c>
      <c r="G53" s="2546"/>
      <c r="H53" s="947"/>
      <c r="I53" s="2950"/>
      <c r="J53" s="2825"/>
      <c r="K53" s="2506">
        <v>2</v>
      </c>
      <c r="L53" s="3413" t="s">
        <v>2698</v>
      </c>
      <c r="M53" s="3413"/>
      <c r="N53" s="2508">
        <f t="shared" ref="N53:P54" si="1">D55</f>
        <v>0</v>
      </c>
      <c r="O53" s="2506" t="str">
        <f t="shared" si="1"/>
        <v>销售额×税（费）率</v>
      </c>
      <c r="P53" s="2509" t="str">
        <f t="shared" si="1"/>
        <v>免征</v>
      </c>
      <c r="Q53" s="1278"/>
    </row>
    <row r="54" spans="1:17" ht="12" customHeight="1">
      <c r="A54" s="2052" t="s">
        <v>1739</v>
      </c>
      <c r="B54" s="3484" t="s">
        <v>2777</v>
      </c>
      <c r="C54" s="3473"/>
      <c r="D54" s="1070">
        <f ca="1">C68</f>
        <v>11</v>
      </c>
      <c r="E54" s="264" t="s">
        <v>1740</v>
      </c>
      <c r="F54" s="2545">
        <f>'数据-取费表'!E29</f>
        <v>5.6000000000000001E-2</v>
      </c>
      <c r="G54" s="2546"/>
      <c r="H54" s="2951"/>
      <c r="I54" s="2950"/>
      <c r="J54" s="2825"/>
      <c r="K54" s="2506">
        <v>3</v>
      </c>
      <c r="L54" s="3413" t="s">
        <v>2699</v>
      </c>
      <c r="M54" s="3413"/>
      <c r="N54" s="2508">
        <f t="shared" si="1"/>
        <v>0</v>
      </c>
      <c r="O54" s="2506" t="str">
        <f t="shared" si="1"/>
        <v>增值额×税（费）率</v>
      </c>
      <c r="P54" s="2510" t="str">
        <f t="shared" si="1"/>
        <v>免征</v>
      </c>
      <c r="Q54" s="1278"/>
    </row>
    <row r="55" spans="1:17" ht="24" customHeight="1">
      <c r="A55" s="3437" t="s">
        <v>1742</v>
      </c>
      <c r="B55" s="3433"/>
      <c r="C55" s="3433"/>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13" t="str">
        <f>IF(H59="非个人房产","——","个人所得税")</f>
        <v>——</v>
      </c>
      <c r="M55" s="3413"/>
      <c r="N55" s="2511" t="str">
        <f>D59</f>
        <v>——</v>
      </c>
      <c r="O55" s="2512" t="str">
        <f>E59</f>
        <v>——</v>
      </c>
      <c r="P55" s="2513" t="str">
        <f>F59</f>
        <v>——</v>
      </c>
      <c r="Q55" s="1278"/>
    </row>
    <row r="56" spans="1:17" ht="24.75">
      <c r="A56" s="3437" t="s">
        <v>1745</v>
      </c>
      <c r="B56" s="3433"/>
      <c r="C56" s="3433"/>
      <c r="D56" s="12">
        <f>IF(H56="个人住宅",D57,D58)</f>
        <v>0</v>
      </c>
      <c r="E56" s="2062" t="s">
        <v>1746</v>
      </c>
      <c r="F56" s="2545" t="str">
        <f>IF(H56="正常",F58,"免征")</f>
        <v>免征</v>
      </c>
      <c r="G56" s="2547" t="s">
        <v>1747</v>
      </c>
      <c r="H56" s="2548" t="s">
        <v>2680</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1722</v>
      </c>
      <c r="B57" s="3484" t="s">
        <v>1748</v>
      </c>
      <c r="C57" s="3473"/>
      <c r="D57" s="2538">
        <v>0</v>
      </c>
      <c r="E57" s="261" t="s">
        <v>1724</v>
      </c>
      <c r="F57" s="235"/>
      <c r="G57" s="2546"/>
      <c r="H57" s="2952"/>
      <c r="I57" s="2952"/>
      <c r="J57" s="2825"/>
      <c r="K57" s="3413">
        <f>IF(AND(K55="",K56=""),4,IF(项目基本情况!I6="上海银行",K56+1,K55+1))</f>
        <v>4</v>
      </c>
      <c r="L57" s="3413" t="s">
        <v>2700</v>
      </c>
      <c r="M57" s="2514" t="s">
        <v>2701</v>
      </c>
      <c r="N57" s="2515"/>
      <c r="O57" s="2516">
        <f ca="1">SUMIF(N52:N56,"&lt;9e307")</f>
        <v>11</v>
      </c>
      <c r="P57" s="2517"/>
      <c r="Q57" s="1276" t="e">
        <f ca="1">O57/N49</f>
        <v>#VALUE!</v>
      </c>
    </row>
    <row r="58" spans="1:17" ht="24.75">
      <c r="A58" s="2052" t="s">
        <v>1733</v>
      </c>
      <c r="B58" s="3484" t="s">
        <v>1751</v>
      </c>
      <c r="C58" s="3472"/>
      <c r="D58" s="12">
        <f ca="1">IF(H58="转让取得",C81,C97)</f>
        <v>118</v>
      </c>
      <c r="E58" s="2062" t="s">
        <v>1746</v>
      </c>
      <c r="F58" s="235" t="s">
        <v>48</v>
      </c>
      <c r="G58" s="2546"/>
      <c r="H58" s="2548" t="s">
        <v>1752</v>
      </c>
      <c r="I58" s="2952"/>
      <c r="J58" s="2825"/>
      <c r="K58" s="3413"/>
      <c r="L58" s="3413"/>
      <c r="M58" s="2514" t="s">
        <v>2702</v>
      </c>
      <c r="N58" s="2518"/>
      <c r="O58" s="2519" t="str">
        <f ca="1">IF(H19="元",NUMBERSTRING(INT(O57),2)&amp;"元整",NUMBERSTRING(INT(O57*10000),2)&amp;"元整")</f>
        <v>壹拾壹万元整</v>
      </c>
      <c r="P58" s="2520"/>
      <c r="Q58" s="1278"/>
    </row>
    <row r="59" spans="1:17" ht="24.75" thickBot="1">
      <c r="A59" s="3500" t="s">
        <v>1754</v>
      </c>
      <c r="B59" s="3501"/>
      <c r="C59" s="350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66">
        <f>K57+1</f>
        <v>5</v>
      </c>
      <c r="L59" s="3413"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67"/>
      <c r="L60" s="3413"/>
      <c r="M60" s="2514" t="s">
        <v>2702</v>
      </c>
      <c r="N60" s="2518"/>
      <c r="O60" s="2519" t="e">
        <f ca="1">IF(H19="元",NUMBERSTRING(INT(O59),2)&amp;"元整",NUMBERSTRING(INT(O59*10000),2)&amp;"元整")</f>
        <v>#VALUE!</v>
      </c>
      <c r="P60" s="2520"/>
      <c r="Q60" s="1278"/>
    </row>
    <row r="61" spans="1:17" ht="13.5" thickBot="1">
      <c r="A61" s="3502" t="s">
        <v>1756</v>
      </c>
      <c r="B61" s="3502"/>
      <c r="C61" s="3502"/>
      <c r="D61" s="3502"/>
      <c r="E61" s="3502"/>
      <c r="F61" s="2953"/>
      <c r="G61" s="2953"/>
      <c r="H61" s="2955"/>
      <c r="I61" s="31"/>
      <c r="K61" s="2506">
        <f>K59+1</f>
        <v>6</v>
      </c>
      <c r="L61" s="3413" t="s">
        <v>2704</v>
      </c>
      <c r="M61" s="3413"/>
      <c r="N61" s="2524"/>
      <c r="O61" s="2525" t="e">
        <f ca="1">IF(H19="元",ROUND(O59/项目基本情况!C12,0),ROUND(O59*10000/项目基本情况!C12,0))</f>
        <v>#VALUE!</v>
      </c>
      <c r="P61" s="2526"/>
      <c r="Q61" s="1278"/>
    </row>
    <row r="62" spans="1:17" ht="12.75">
      <c r="A62" s="3451" t="s">
        <v>1758</v>
      </c>
      <c r="B62" s="3452"/>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198</v>
      </c>
      <c r="D63" s="47"/>
      <c r="E63" s="48"/>
      <c r="F63" s="2953"/>
      <c r="G63" s="2953"/>
      <c r="H63" s="2955"/>
      <c r="I63" s="31"/>
      <c r="K63" s="3432"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208</v>
      </c>
      <c r="D64" s="50" t="s">
        <v>41</v>
      </c>
      <c r="E64" s="52"/>
      <c r="F64" s="2953"/>
      <c r="G64" s="2953"/>
      <c r="H64" s="2955"/>
      <c r="I64" s="31"/>
      <c r="K64" s="3432"/>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432"/>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432"/>
      <c r="L66" s="2528" t="s">
        <v>2710</v>
      </c>
      <c r="M66" s="2528" t="e">
        <f>N49*0.5%</f>
        <v>#VALUE!</v>
      </c>
      <c r="N66" s="2529" t="e">
        <f>IF(M66&gt;0.5,0.5,ROUND(M66,0))</f>
        <v>#VALUE!</v>
      </c>
      <c r="O66" s="2527" t="s">
        <v>2711</v>
      </c>
      <c r="P66" s="2527"/>
      <c r="Q66" s="1278"/>
    </row>
    <row r="67" spans="1:36" ht="12.75">
      <c r="A67" s="53" t="s">
        <v>42</v>
      </c>
      <c r="B67" s="54" t="s">
        <v>1773</v>
      </c>
      <c r="C67" s="2760">
        <f ca="1">C63-C66</f>
        <v>198</v>
      </c>
      <c r="D67" s="50" t="s">
        <v>41</v>
      </c>
      <c r="E67" s="52"/>
      <c r="F67" s="2953"/>
      <c r="G67" s="2953"/>
      <c r="H67" s="2955"/>
      <c r="I67" s="31"/>
      <c r="K67" s="3432"/>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11</v>
      </c>
      <c r="D68" s="2212">
        <f>'数据-取费表'!E29</f>
        <v>5.6000000000000001E-2</v>
      </c>
      <c r="E68" s="57"/>
      <c r="F68" s="2953"/>
      <c r="G68" s="2953"/>
      <c r="H68" s="2955"/>
      <c r="I68" s="31"/>
      <c r="K68" s="3432"/>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1778</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1758</v>
      </c>
      <c r="B71" s="3452"/>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198</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4" t="s">
        <v>1788</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6.000000000000001E-3</v>
      </c>
      <c r="E78" s="3420" t="s">
        <v>1793</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197</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118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1797</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1758</v>
      </c>
      <c r="B84" s="3452"/>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198</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0" t="s">
        <v>2675</v>
      </c>
      <c r="H90" s="3460"/>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0" t="s">
        <v>1805</v>
      </c>
      <c r="F91" s="3421"/>
      <c r="G91" s="342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0" t="s">
        <v>1808</v>
      </c>
      <c r="F92" s="3421"/>
      <c r="G92" s="3421"/>
      <c r="H92" s="3441"/>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6.000000000000001E-3</v>
      </c>
      <c r="E93" s="3420" t="s">
        <v>1793</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0" t="s">
        <v>1810</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197</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118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8" t="s">
        <v>1812</v>
      </c>
      <c r="B99" s="3439"/>
      <c r="C99" s="3439"/>
      <c r="D99" s="3440"/>
      <c r="E99" s="1431"/>
      <c r="F99" s="3448" t="s">
        <v>1813</v>
      </c>
      <c r="G99" s="3449"/>
      <c r="H99" s="3449"/>
      <c r="I99" s="3450"/>
      <c r="J99" s="2831"/>
    </row>
    <row r="100" spans="1:36" ht="15">
      <c r="A100" s="3455" t="s">
        <v>1814</v>
      </c>
      <c r="B100" s="3456"/>
      <c r="C100" s="1277" t="str">
        <f>C4</f>
        <v>比较法-办公</v>
      </c>
      <c r="D100" s="2779" t="str">
        <f>D4</f>
        <v>收益法</v>
      </c>
      <c r="E100" s="1431"/>
      <c r="F100" s="3457" t="s">
        <v>2719</v>
      </c>
      <c r="G100" s="3459"/>
      <c r="H100" s="3457" t="s">
        <v>2720</v>
      </c>
      <c r="I100" s="3458"/>
      <c r="J100" s="2832"/>
    </row>
    <row r="101" spans="1:36" ht="12.75">
      <c r="A101" s="3474" t="s">
        <v>2752</v>
      </c>
      <c r="B101" s="2277" t="str">
        <f>IF(H19="元","总价（元）","总价（万元）")</f>
        <v>总价（万元）</v>
      </c>
      <c r="C101" s="1277">
        <f ca="1">C19</f>
        <v>219</v>
      </c>
      <c r="D101" s="2779">
        <f ca="1">D19</f>
        <v>164</v>
      </c>
      <c r="E101" s="1431"/>
      <c r="F101" s="3457" t="str">
        <f>项目基本情况!I1</f>
        <v>北京市房地产</v>
      </c>
      <c r="G101" s="3459"/>
      <c r="H101" s="3461">
        <f>项目基本情况!C12</f>
        <v>71.430000000000007</v>
      </c>
      <c r="I101" s="3458"/>
      <c r="J101" s="2832"/>
    </row>
    <row r="102" spans="1:36" ht="12.75">
      <c r="A102" s="3474"/>
      <c r="B102" s="2277" t="s">
        <v>2753</v>
      </c>
      <c r="C102" s="2780">
        <f ca="1">C20</f>
        <v>30632</v>
      </c>
      <c r="D102" s="2781">
        <f ca="1">D20</f>
        <v>22942</v>
      </c>
      <c r="E102" s="1431"/>
      <c r="F102" s="3444" t="s">
        <v>2749</v>
      </c>
      <c r="G102" s="3445"/>
      <c r="H102" s="2789" t="str">
        <f>C106</f>
        <v>总价（万元）</v>
      </c>
      <c r="I102" s="2790">
        <f ca="1">H121</f>
        <v>208</v>
      </c>
      <c r="J102" s="2832"/>
    </row>
    <row r="103" spans="1:36" ht="12.75">
      <c r="A103" s="3474" t="s">
        <v>2754</v>
      </c>
      <c r="B103" s="2215" t="str">
        <f>B101</f>
        <v>总价（万元）</v>
      </c>
      <c r="C103" s="2784">
        <f ca="1">H121</f>
        <v>208</v>
      </c>
      <c r="D103" s="2782"/>
      <c r="E103" s="1431"/>
      <c r="F103" s="3444"/>
      <c r="G103" s="3445"/>
      <c r="H103" s="2789" t="s">
        <v>2722</v>
      </c>
      <c r="I103" s="52">
        <f ca="1">I121</f>
        <v>29119</v>
      </c>
      <c r="J103" s="2816"/>
    </row>
    <row r="104" spans="1:36" ht="13.5" thickBot="1">
      <c r="A104" s="3475"/>
      <c r="B104" s="2786" t="s">
        <v>2753</v>
      </c>
      <c r="C104" s="2787">
        <f ca="1">I121</f>
        <v>29119</v>
      </c>
      <c r="D104" s="2788"/>
      <c r="E104" s="1431"/>
      <c r="F104" s="3444"/>
      <c r="G104" s="3445"/>
      <c r="H104" s="3476"/>
      <c r="I104" s="3477"/>
      <c r="J104" s="2833"/>
    </row>
    <row r="105" spans="1:36" ht="15">
      <c r="A105" s="3438" t="s">
        <v>1815</v>
      </c>
      <c r="B105" s="3439"/>
      <c r="C105" s="3439"/>
      <c r="D105" s="3440"/>
      <c r="E105" s="1431"/>
      <c r="F105" s="3480" t="s">
        <v>2723</v>
      </c>
      <c r="G105" s="3481"/>
      <c r="H105" s="2791" t="str">
        <f>C108</f>
        <v>总额（万元）</v>
      </c>
      <c r="I105" s="2790">
        <f>SUMIF(I106:I108,"&lt;9E307")</f>
        <v>0</v>
      </c>
      <c r="J105" s="2832"/>
    </row>
    <row r="106" spans="1:36" ht="14.25">
      <c r="A106" s="3444" t="s">
        <v>2746</v>
      </c>
      <c r="B106" s="3445"/>
      <c r="C106" s="2789" t="str">
        <f>B101</f>
        <v>总价（万元）</v>
      </c>
      <c r="D106" s="2790">
        <f ca="1">H121</f>
        <v>208</v>
      </c>
      <c r="E106" s="1431"/>
      <c r="F106" s="3446" t="s">
        <v>2724</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2747</v>
      </c>
      <c r="D107" s="52">
        <f ca="1">I121</f>
        <v>29119</v>
      </c>
      <c r="E107" s="1431"/>
      <c r="F107" s="3446" t="s">
        <v>2725</v>
      </c>
      <c r="G107" s="3447"/>
      <c r="H107" s="2791" t="str">
        <f>C110</f>
        <v>总额（万元）</v>
      </c>
      <c r="I107" s="52">
        <f>C37</f>
        <v>0</v>
      </c>
      <c r="J107" s="2816"/>
    </row>
    <row r="108" spans="1:36" ht="12.75">
      <c r="A108" s="3515" t="s">
        <v>2723</v>
      </c>
      <c r="B108" s="3516"/>
      <c r="C108" s="2791" t="str">
        <f>IF(H19="元","总额（元）","总额（万元）")</f>
        <v>总额（万元）</v>
      </c>
      <c r="D108" s="2790">
        <f>IF(D36="正常操作",I106+I107+I108,I107+I108)</f>
        <v>0</v>
      </c>
      <c r="E108" s="1431"/>
      <c r="F108" s="3446" t="s">
        <v>2750</v>
      </c>
      <c r="G108" s="3447"/>
      <c r="H108" s="2791" t="str">
        <f>C111</f>
        <v>总额（万元）</v>
      </c>
      <c r="I108" s="52">
        <f>C38</f>
        <v>0</v>
      </c>
      <c r="J108" s="2816"/>
    </row>
    <row r="109" spans="1:36" ht="12.75">
      <c r="A109" s="3446" t="s">
        <v>2724</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2748</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208</v>
      </c>
      <c r="J110" s="2832"/>
    </row>
    <row r="111" spans="1:36" ht="12.75">
      <c r="A111" s="3446" t="s">
        <v>2727</v>
      </c>
      <c r="B111" s="3447"/>
      <c r="C111" s="2791" t="str">
        <f>C108</f>
        <v>总额（万元）</v>
      </c>
      <c r="D111" s="52">
        <f>C38</f>
        <v>0</v>
      </c>
      <c r="E111" s="1431"/>
      <c r="F111" s="3429"/>
      <c r="G111" s="3430"/>
      <c r="H111" s="2789" t="s">
        <v>2722</v>
      </c>
      <c r="I111" s="2793">
        <f ca="1">D113</f>
        <v>29119</v>
      </c>
      <c r="J111" s="2835"/>
    </row>
    <row r="112" spans="1:36" ht="26.25" customHeight="1">
      <c r="A112" s="3444" t="str">
        <f>IF(项目基本情况!F5="已注销","——","3.房地产抵押价值")</f>
        <v>3.房地产抵押价值</v>
      </c>
      <c r="B112" s="3445"/>
      <c r="C112" s="2789" t="str">
        <f>B101</f>
        <v>总价（万元）</v>
      </c>
      <c r="D112" s="2790">
        <f ca="1">IF(A112="——","——",D106-D108)</f>
        <v>208</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2715</v>
      </c>
      <c r="D113" s="52">
        <f ca="1">ROUND(IF(D112=D106,D107,IF(H19="元",D112/项目基本情况!C12,D112*10000/项目基本情况!C12)),0)</f>
        <v>29119</v>
      </c>
      <c r="E113" s="1431"/>
      <c r="F113" s="3429"/>
      <c r="G113" s="3430"/>
      <c r="H113" s="2789" t="s">
        <v>2751</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v>
      </c>
      <c r="G114" s="3428"/>
      <c r="H114" s="2789" t="str">
        <f>C116</f>
        <v>总价（万元）</v>
      </c>
      <c r="I114" s="2790" t="str">
        <f>IF(F114="——","——",O59)</f>
        <v>——</v>
      </c>
      <c r="J114" s="2832"/>
    </row>
    <row r="115" spans="1:16" ht="13.5" thickBot="1">
      <c r="A115" s="3444"/>
      <c r="B115" s="3445"/>
      <c r="C115" s="2789" t="s">
        <v>2715</v>
      </c>
      <c r="D115" s="52" t="str">
        <f>IF(A114="——","——",ROUND(IF(D114=D106,D107,IF(H19="元",D114/项目基本情况!C12,D114*10000/项目基本情况!C12)),0))</f>
        <v>——</v>
      </c>
      <c r="E115" s="1431"/>
      <c r="F115" s="3507"/>
      <c r="G115" s="3508"/>
      <c r="H115" s="2794" t="s">
        <v>2715</v>
      </c>
      <c r="I115" s="2778" t="str">
        <f ca="1">D117</f>
        <v>——</v>
      </c>
      <c r="J115" s="2816"/>
    </row>
    <row r="116" spans="1:16" ht="15.75">
      <c r="A116" s="3444" t="str">
        <f>IF(项目基本情况!G5="抵押净值",IF(OR(项目基本情况!F5="已注销",项目基本情况!F5="房地产抵押价值"),"4.抵押净值","5.抵押净值"),"——")</f>
        <v>——</v>
      </c>
      <c r="B116" s="3445"/>
      <c r="C116" s="2789" t="str">
        <f>B101</f>
        <v>总价（万元）</v>
      </c>
      <c r="D116" s="2790" t="str">
        <f>IF(A116="——","——",O59)</f>
        <v>——</v>
      </c>
      <c r="E116" s="1431"/>
      <c r="F116" s="3422"/>
      <c r="G116" s="3422"/>
      <c r="H116" s="3463"/>
      <c r="I116" s="3463"/>
      <c r="J116" s="2836"/>
      <c r="O116" s="32"/>
      <c r="P116" s="32"/>
    </row>
    <row r="117" spans="1:16" ht="13.5" thickBot="1">
      <c r="A117" s="3513"/>
      <c r="B117" s="3514"/>
      <c r="C117" s="2794" t="s">
        <v>2715</v>
      </c>
      <c r="D117" s="2778" t="str">
        <f ca="1">IF(D116=D112,D113,IF(A116="——","——",O61))</f>
        <v>——</v>
      </c>
      <c r="E117" s="1431"/>
      <c r="F117" s="3506" t="str">
        <f>IF(B32="总价","（以上估价结果中单价为总价除以建筑面积得出）","（以上估价结果中总价为楼面单价乘以建筑面积得出）")</f>
        <v>（以上估价结果中单价为总价除以建筑面积得出）</v>
      </c>
      <c r="G117" s="3506"/>
      <c r="H117" s="3506"/>
      <c r="I117" s="3506"/>
      <c r="J117" s="2837"/>
      <c r="O117" s="32"/>
      <c r="P117" s="32"/>
    </row>
    <row r="118" spans="1:16" ht="15">
      <c r="A118" s="3464" t="s">
        <v>1816</v>
      </c>
      <c r="B118" s="3465"/>
      <c r="C118" s="3465"/>
      <c r="D118" s="3465"/>
      <c r="E118" s="3465"/>
      <c r="F118" s="3465"/>
      <c r="G118" s="3465"/>
      <c r="H118" s="3465"/>
      <c r="I118" s="3465"/>
      <c r="J118" s="2838"/>
    </row>
    <row r="119" spans="1:16" ht="12.75">
      <c r="A119" s="3437" t="s">
        <v>2733</v>
      </c>
      <c r="B119" s="3435" t="s">
        <v>2743</v>
      </c>
      <c r="C119" s="3435" t="s">
        <v>2744</v>
      </c>
      <c r="D119" s="3442" t="s">
        <v>2735</v>
      </c>
      <c r="E119" s="3443"/>
      <c r="F119" s="3433" t="s">
        <v>2745</v>
      </c>
      <c r="G119" s="3433"/>
      <c r="H119" s="3433" t="s">
        <v>2736</v>
      </c>
      <c r="I119" s="3434"/>
      <c r="J119" s="2816"/>
    </row>
    <row r="120" spans="1:16" ht="12.75">
      <c r="A120" s="3437"/>
      <c r="B120" s="3436"/>
      <c r="C120" s="3436"/>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71.430000000000007</v>
      </c>
      <c r="C121" s="2062">
        <f>项目基本情况!C13</f>
        <v>0</v>
      </c>
      <c r="D121" s="2062">
        <f ca="1">ROUND(IF(B32="总价",C34,IF('数据-取费表'!B3="万元",E121*B121/10000,E121*B121)),0)</f>
        <v>208</v>
      </c>
      <c r="E121" s="2062">
        <f ca="1">ROUND(IF(B32="楼面单价",C34,IF(H19="元",D121/B121,D121*10000/B121)),0)</f>
        <v>29119</v>
      </c>
      <c r="F121" s="2062">
        <f ca="1">ROUND(IF(B32="总价",C35,IF('数据-取费表'!B3="万元",G121*B121/10000,G121*B121)),0)</f>
        <v>0</v>
      </c>
      <c r="G121" s="2062">
        <f ca="1">ROUND(IF(B32="楼面单价",C35,IF(H19="元",F121/B121,F121*10000/B121)),0)</f>
        <v>0</v>
      </c>
      <c r="H121" s="2062">
        <f ca="1">ROUND(IF(B32="总价",C32,IF('数据-取费表'!B3="万元",I121*B121/10000,I121*B121)),0)</f>
        <v>208</v>
      </c>
      <c r="I121" s="52">
        <f ca="1">ROUND(IF(B32="楼面单价",C32,IF(H19="元",H121/B121,H121*10000/B121)),0)</f>
        <v>29119</v>
      </c>
      <c r="J121" s="2816"/>
    </row>
    <row r="122" spans="1:16" ht="12.75">
      <c r="A122" s="3437" t="s">
        <v>2739</v>
      </c>
      <c r="B122" s="3433"/>
      <c r="C122" s="3433"/>
      <c r="D122" s="3468" t="str">
        <f ca="1">IF(H19="元",NUMBERSTRING(INT(D121),2)&amp;"元整",NUMBERSTRING(INT(D121*10000),2)&amp;"元整")</f>
        <v>贰佰零捌万元整</v>
      </c>
      <c r="E122" s="3469"/>
      <c r="F122" s="3468" t="str">
        <f ca="1">IF(H19="元",NUMBERSTRING(INT(F121),2)&amp;"元整",NUMBERSTRING(INT(F121*10000),2)&amp;"元整")</f>
        <v>零元整</v>
      </c>
      <c r="G122" s="3469"/>
      <c r="H122" s="3468" t="str">
        <f ca="1">IF(H19="元",NUMBERSTRING(INT(H121),2)&amp;"元整",NUMBERSTRING(INT(H121*10000),2)&amp;"元整")</f>
        <v>贰佰零捌万元整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2739</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208</v>
      </c>
      <c r="E125" s="3470"/>
      <c r="F125" s="3470"/>
      <c r="G125" s="3470"/>
      <c r="H125" s="3470"/>
      <c r="I125" s="3458"/>
      <c r="J125" s="2832"/>
    </row>
    <row r="126" spans="1:16" ht="12.75">
      <c r="A126" s="3437" t="s">
        <v>2739</v>
      </c>
      <c r="B126" s="3433"/>
      <c r="C126" s="3433"/>
      <c r="D126" s="3509">
        <f ca="1">I111</f>
        <v>29119</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2739</v>
      </c>
      <c r="B128" s="3433"/>
      <c r="C128" s="3484"/>
      <c r="D128" s="3462" t="str">
        <f>I113</f>
        <v>——</v>
      </c>
      <c r="E128" s="3462"/>
      <c r="F128" s="3462"/>
      <c r="G128" s="3462"/>
      <c r="H128" s="3462"/>
      <c r="I128" s="3462"/>
      <c r="J128" s="2840"/>
    </row>
    <row r="129" spans="1:10" ht="14.25" thickTop="1" thickBot="1">
      <c r="A129" s="3444" t="str">
        <f>IF(项目基本情况!D5="房地产市场价值","——",MID(F114,3,LEN(F114)-2))</f>
        <v/>
      </c>
      <c r="B129" s="3445"/>
      <c r="C129" s="3461"/>
      <c r="D129" s="3512" t="str">
        <f>I114</f>
        <v>——</v>
      </c>
      <c r="E129" s="3512"/>
      <c r="F129" s="3512"/>
      <c r="G129" s="3512"/>
      <c r="H129" s="3512"/>
      <c r="I129" s="3512"/>
      <c r="J129" s="2832"/>
    </row>
    <row r="130" spans="1:10" ht="14.25" thickTop="1" thickBot="1">
      <c r="A130" s="3500" t="s">
        <v>2739</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（以上估价结果中楼面单价为总价除以建筑面积得出）</v>
      </c>
      <c r="B132" s="3505"/>
      <c r="C132" s="3505"/>
      <c r="D132" s="3505"/>
      <c r="E132" s="3505"/>
      <c r="F132" s="3505"/>
      <c r="G132" s="3505"/>
      <c r="H132" s="3505"/>
      <c r="I132" s="350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7" t="s">
        <v>1825</v>
      </c>
      <c r="B2" s="3527"/>
      <c r="C2" s="3527"/>
      <c r="D2" s="3527"/>
      <c r="E2" s="3527"/>
      <c r="F2" s="3527"/>
      <c r="G2" s="3527"/>
      <c r="H2" s="3527"/>
      <c r="I2" s="3527"/>
      <c r="J2" s="2845"/>
    </row>
    <row r="3" spans="1:15" ht="12.75">
      <c r="A3" s="3487" t="s">
        <v>1653</v>
      </c>
      <c r="B3" s="3488"/>
      <c r="C3" s="3488"/>
      <c r="D3" s="3488"/>
      <c r="E3" s="3488"/>
      <c r="F3" s="3488"/>
      <c r="G3" s="3488"/>
      <c r="H3" s="3488"/>
      <c r="I3" s="3488"/>
      <c r="J3" s="2815"/>
    </row>
    <row r="4" spans="1:15" ht="14.25">
      <c r="A4" s="2683" t="s">
        <v>1654</v>
      </c>
      <c r="B4" s="2683" t="s">
        <v>1655</v>
      </c>
      <c r="C4" s="2684"/>
      <c r="D4" s="2684"/>
      <c r="E4" s="3484" t="s">
        <v>1826</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c r="D14" s="3486"/>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3" t="s">
        <v>2758</v>
      </c>
      <c r="F18" s="3504"/>
      <c r="G18" s="3504"/>
      <c r="H18" s="3504"/>
      <c r="I18" s="3504"/>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1829</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2" t="s">
        <v>1838</v>
      </c>
      <c r="B38" s="1438" t="s">
        <v>1839</v>
      </c>
      <c r="C38" s="2727"/>
      <c r="D38" s="2728"/>
      <c r="E38" s="1650"/>
      <c r="F38" s="1650"/>
      <c r="G38" s="947"/>
      <c r="H38" s="947"/>
      <c r="I38" s="947"/>
      <c r="J38" s="2817"/>
    </row>
    <row r="39" spans="1:16" ht="15.75" thickBot="1">
      <c r="A39" s="3497"/>
      <c r="B39" s="2064" t="s">
        <v>1840</v>
      </c>
      <c r="C39" s="2729"/>
      <c r="D39" s="1281"/>
      <c r="E39" s="1281"/>
      <c r="F39" s="1650"/>
      <c r="G39" s="1281"/>
      <c r="H39" s="1281"/>
      <c r="I39" s="1281"/>
      <c r="J39" s="2821"/>
    </row>
    <row r="40" spans="1:16" ht="15.75" thickBot="1">
      <c r="A40" s="3498"/>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17" t="s">
        <v>1851</v>
      </c>
      <c r="B47" s="3418"/>
      <c r="C47" s="3428"/>
      <c r="D47" s="246">
        <f>ROUND(I104*F47,0)</f>
        <v>0</v>
      </c>
      <c r="E47" s="1512" t="s">
        <v>1852</v>
      </c>
      <c r="F47" s="2531">
        <v>1</v>
      </c>
      <c r="G47" s="2532" t="s">
        <v>1853</v>
      </c>
      <c r="H47" s="947"/>
      <c r="I47" s="947"/>
      <c r="J47" s="2817"/>
      <c r="K47" s="3522" t="s">
        <v>1709</v>
      </c>
      <c r="L47" s="3522"/>
      <c r="M47" s="3522"/>
      <c r="N47" s="3522"/>
      <c r="O47" s="3522"/>
      <c r="P47" s="3522"/>
    </row>
    <row r="48" spans="1:16" ht="14.25" customHeight="1">
      <c r="A48" s="3494" t="s">
        <v>1710</v>
      </c>
      <c r="B48" s="3495"/>
      <c r="C48" s="3495"/>
      <c r="D48" s="3495"/>
      <c r="E48" s="3495"/>
      <c r="F48" s="3495"/>
      <c r="G48" s="3496"/>
      <c r="H48" s="2949"/>
      <c r="I48" s="947"/>
      <c r="J48" s="2817"/>
      <c r="K48" s="2483">
        <v>1</v>
      </c>
      <c r="L48" s="3523" t="s">
        <v>1711</v>
      </c>
      <c r="M48" s="3523"/>
      <c r="N48" s="3524"/>
      <c r="O48" s="3524"/>
      <c r="P48" s="3524"/>
    </row>
    <row r="49" spans="1:17" ht="12" customHeight="1">
      <c r="A49" s="38" t="s">
        <v>1712</v>
      </c>
      <c r="B49" s="39"/>
      <c r="C49" s="40"/>
      <c r="D49" s="1070" t="s">
        <v>1713</v>
      </c>
      <c r="E49" s="235" t="s">
        <v>1714</v>
      </c>
      <c r="F49" s="41" t="s">
        <v>1715</v>
      </c>
      <c r="G49" s="2534" t="s">
        <v>1716</v>
      </c>
      <c r="H49" s="2949"/>
      <c r="I49" s="947"/>
      <c r="J49" s="2817"/>
      <c r="K49" s="2483">
        <v>2</v>
      </c>
      <c r="L49" s="3523" t="s">
        <v>1717</v>
      </c>
      <c r="M49" s="3523"/>
      <c r="N49" s="3526">
        <f>'数据-取费表'!B2</f>
        <v>44610</v>
      </c>
      <c r="O49" s="3526"/>
      <c r="P49" s="3526"/>
    </row>
    <row r="50" spans="1:17" ht="25.5">
      <c r="A50" s="3499" t="s">
        <v>1718</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3" t="s">
        <v>1721</v>
      </c>
      <c r="M50" s="3523"/>
      <c r="N50" s="3528">
        <f>I104</f>
        <v>0</v>
      </c>
      <c r="O50" s="3528"/>
      <c r="P50" s="3528"/>
    </row>
    <row r="51" spans="1:17" ht="25.5" customHeight="1">
      <c r="A51" s="2061" t="s">
        <v>1722</v>
      </c>
      <c r="B51" s="3472" t="s">
        <v>1723</v>
      </c>
      <c r="C51" s="3472"/>
      <c r="D51" s="2538">
        <v>0</v>
      </c>
      <c r="E51" s="261" t="s">
        <v>1724</v>
      </c>
      <c r="F51" s="2539" t="s">
        <v>48</v>
      </c>
      <c r="G51" s="3414"/>
      <c r="H51" s="2540" t="s">
        <v>2682</v>
      </c>
      <c r="I51" s="2541"/>
      <c r="J51" s="2825"/>
      <c r="K51" s="2483">
        <v>4</v>
      </c>
      <c r="L51" s="3523" t="str">
        <f>IF(项目基本情况!F5="房地产抵押价值","房地产抵押价值","抵押担保权已注销时的房地产抵押价值")</f>
        <v>抵押担保权已注销时的房地产抵押价值</v>
      </c>
      <c r="M51" s="3523"/>
      <c r="N51" s="3528" t="str">
        <f>IF(项目基本情况!F5="房地产抵押价值",I112,I114)</f>
        <v>——</v>
      </c>
      <c r="O51" s="3528"/>
      <c r="P51" s="3528"/>
    </row>
    <row r="52" spans="1:17" ht="25.5" customHeight="1">
      <c r="A52" s="2051"/>
      <c r="B52" s="3472" t="s">
        <v>1725</v>
      </c>
      <c r="C52" s="3472"/>
      <c r="D52" s="2542"/>
      <c r="E52" s="269"/>
      <c r="F52" s="2539"/>
      <c r="G52" s="3415"/>
      <c r="H52" s="2543" t="s">
        <v>2683</v>
      </c>
      <c r="I52" s="2541"/>
      <c r="J52" s="2825"/>
      <c r="K52" s="3523" t="s">
        <v>1726</v>
      </c>
      <c r="L52" s="3523"/>
      <c r="M52" s="3523"/>
      <c r="N52" s="3523"/>
      <c r="O52" s="3523"/>
      <c r="P52" s="3523"/>
    </row>
    <row r="53" spans="1:17" ht="20.45" customHeight="1">
      <c r="A53" s="2544"/>
      <c r="B53" s="3472" t="s">
        <v>1727</v>
      </c>
      <c r="C53" s="3472"/>
      <c r="D53" s="1070"/>
      <c r="E53" s="264"/>
      <c r="F53" s="2539"/>
      <c r="G53" s="3416"/>
      <c r="H53" s="2543" t="s">
        <v>2684</v>
      </c>
      <c r="I53" s="2541"/>
      <c r="J53" s="2825"/>
      <c r="K53" s="2484" t="s">
        <v>1728</v>
      </c>
      <c r="L53" s="3523" t="s">
        <v>1729</v>
      </c>
      <c r="M53" s="3523"/>
      <c r="N53" s="2484" t="s">
        <v>1730</v>
      </c>
      <c r="O53" s="2484" t="s">
        <v>1731</v>
      </c>
      <c r="P53" s="2484" t="s">
        <v>1732</v>
      </c>
    </row>
    <row r="54" spans="1:17" ht="24" customHeight="1">
      <c r="A54" s="2052" t="s">
        <v>1733</v>
      </c>
      <c r="B54" s="3472" t="s">
        <v>1734</v>
      </c>
      <c r="C54" s="3472"/>
      <c r="D54" s="1070">
        <f>ROUND(D47*'数据-取费表'!E29/(1+'数据-取费表'!F30),0)</f>
        <v>0</v>
      </c>
      <c r="E54" s="2062" t="s">
        <v>1735</v>
      </c>
      <c r="F54" s="2545">
        <f>'数据-取费表'!E29</f>
        <v>5.6000000000000001E-2</v>
      </c>
      <c r="G54" s="2546"/>
      <c r="H54" s="947"/>
      <c r="I54" s="2950"/>
      <c r="J54" s="2825"/>
      <c r="K54" s="2483">
        <v>1</v>
      </c>
      <c r="L54" s="3525" t="s">
        <v>1736</v>
      </c>
      <c r="M54" s="3525"/>
      <c r="N54" s="2485">
        <f>D50</f>
        <v>0</v>
      </c>
      <c r="O54" s="2483" t="str">
        <f>E50</f>
        <v>销售额×税（费）率</v>
      </c>
      <c r="P54" s="2486">
        <f>F50</f>
        <v>5.6000000000000001E-2</v>
      </c>
    </row>
    <row r="55" spans="1:17" ht="12" customHeight="1">
      <c r="A55" s="2052" t="s">
        <v>1737</v>
      </c>
      <c r="B55" s="3484" t="s">
        <v>2776</v>
      </c>
      <c r="C55" s="3473"/>
      <c r="D55" s="1070">
        <f>ROUND(D47*'数据-取费表'!E29/(1+'数据-取费表'!F30),0)</f>
        <v>0</v>
      </c>
      <c r="E55" s="2062" t="s">
        <v>1735</v>
      </c>
      <c r="F55" s="2545">
        <f>'数据-取费表'!E29</f>
        <v>5.6000000000000001E-2</v>
      </c>
      <c r="G55" s="2546"/>
      <c r="H55" s="947"/>
      <c r="I55" s="2950"/>
      <c r="J55" s="2825"/>
      <c r="K55" s="2483">
        <v>2</v>
      </c>
      <c r="L55" s="3525" t="s">
        <v>1738</v>
      </c>
      <c r="M55" s="3525"/>
      <c r="N55" s="2485">
        <f t="shared" ref="N55:P56" si="1">D57</f>
        <v>0</v>
      </c>
      <c r="O55" s="2483" t="str">
        <f t="shared" si="1"/>
        <v>销售额×税（费）率</v>
      </c>
      <c r="P55" s="2486">
        <f t="shared" si="1"/>
        <v>5.0000000000000001E-4</v>
      </c>
    </row>
    <row r="56" spans="1:17" ht="12" customHeight="1">
      <c r="A56" s="2052" t="s">
        <v>1739</v>
      </c>
      <c r="B56" s="3484" t="s">
        <v>2777</v>
      </c>
      <c r="C56" s="3473"/>
      <c r="D56" s="1070">
        <f>C70</f>
        <v>0</v>
      </c>
      <c r="E56" s="264" t="s">
        <v>1740</v>
      </c>
      <c r="F56" s="2545">
        <f>'数据-取费表'!E29</f>
        <v>5.6000000000000001E-2</v>
      </c>
      <c r="G56" s="2546"/>
      <c r="H56" s="2951"/>
      <c r="I56" s="2950"/>
      <c r="J56" s="2825"/>
      <c r="K56" s="2483">
        <v>3</v>
      </c>
      <c r="L56" s="3525" t="s">
        <v>1741</v>
      </c>
      <c r="M56" s="3525"/>
      <c r="N56" s="2485">
        <f t="shared" si="1"/>
        <v>0</v>
      </c>
      <c r="O56" s="2483" t="str">
        <f t="shared" si="1"/>
        <v>增值额×税（费）率</v>
      </c>
      <c r="P56" s="2487" t="str">
        <f t="shared" si="1"/>
        <v>——</v>
      </c>
    </row>
    <row r="57" spans="1:17" ht="24" customHeight="1">
      <c r="A57" s="3437" t="s">
        <v>1742</v>
      </c>
      <c r="B57" s="3433"/>
      <c r="C57" s="3433"/>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1745</v>
      </c>
      <c r="B58" s="3433"/>
      <c r="C58" s="3433"/>
      <c r="D58" s="12">
        <f>IF(H58="个人住宅",D59,D60)</f>
        <v>0</v>
      </c>
      <c r="E58" s="2062" t="s">
        <v>1746</v>
      </c>
      <c r="F58" s="2545" t="str">
        <f>IF(H58="正常",F60,"免征")</f>
        <v>——</v>
      </c>
      <c r="G58" s="2547" t="s">
        <v>1747</v>
      </c>
      <c r="H58" s="2548" t="s">
        <v>1744</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1722</v>
      </c>
      <c r="B59" s="3484" t="s">
        <v>1748</v>
      </c>
      <c r="C59" s="3473"/>
      <c r="D59" s="2538">
        <v>0</v>
      </c>
      <c r="E59" s="261" t="s">
        <v>1724</v>
      </c>
      <c r="F59" s="235"/>
      <c r="G59" s="2546"/>
      <c r="H59" s="2952"/>
      <c r="I59" s="2952"/>
      <c r="J59" s="2825"/>
      <c r="K59" s="3525">
        <f>IF(AND(K57="",K58=""),4,IF(项目基本情况!I6="上海银行",K58+1,K57+1))</f>
        <v>5</v>
      </c>
      <c r="L59" s="3525" t="s">
        <v>1749</v>
      </c>
      <c r="M59" s="2491" t="s">
        <v>1750</v>
      </c>
      <c r="N59" s="2492"/>
      <c r="O59" s="2493">
        <f>SUMIF(N54:N58,"&lt;9e307")</f>
        <v>0</v>
      </c>
      <c r="P59" s="2494"/>
      <c r="Q59" s="1276" t="e">
        <f>O59/N51</f>
        <v>#VALUE!</v>
      </c>
    </row>
    <row r="60" spans="1:17" ht="24.75">
      <c r="A60" s="2052" t="s">
        <v>1733</v>
      </c>
      <c r="B60" s="3484" t="s">
        <v>1751</v>
      </c>
      <c r="C60" s="3472"/>
      <c r="D60" s="12">
        <f>IF(H60="转让取得",C83,C99)</f>
        <v>0</v>
      </c>
      <c r="E60" s="2062" t="s">
        <v>1746</v>
      </c>
      <c r="F60" s="235" t="s">
        <v>48</v>
      </c>
      <c r="G60" s="2546"/>
      <c r="H60" s="2548" t="s">
        <v>1752</v>
      </c>
      <c r="I60" s="2952"/>
      <c r="J60" s="2825"/>
      <c r="K60" s="3525"/>
      <c r="L60" s="3525"/>
      <c r="M60" s="2491" t="s">
        <v>1753</v>
      </c>
      <c r="N60" s="2495"/>
      <c r="O60" s="2496" t="str">
        <f>IF(H19="元",NUMBERSTRING(INT(O59),2)&amp;"元整",NUMBERSTRING(INT(O59*10000),2)&amp;"元整")</f>
        <v>零元整</v>
      </c>
      <c r="P60" s="2497"/>
    </row>
    <row r="61" spans="1:17" ht="26.25" thickBot="1">
      <c r="A61" s="3500" t="s">
        <v>1754</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1">
        <f>K59+1</f>
        <v>6</v>
      </c>
      <c r="L61" s="3525" t="s">
        <v>1755</v>
      </c>
      <c r="M61" s="2483" t="s">
        <v>1750</v>
      </c>
      <c r="N61" s="2498"/>
      <c r="O61" s="2499" t="e">
        <f>N51-O59</f>
        <v>#VALUE!</v>
      </c>
      <c r="P61" s="2500"/>
    </row>
    <row r="62" spans="1:17" ht="12" customHeight="1">
      <c r="A62" s="1427"/>
      <c r="B62" s="2533"/>
      <c r="C62" s="2533"/>
      <c r="D62" s="2533"/>
      <c r="E62" s="1427"/>
      <c r="F62" s="2952"/>
      <c r="G62" s="2952"/>
      <c r="H62" s="2947"/>
      <c r="I62" s="947"/>
      <c r="J62" s="2825"/>
      <c r="K62" s="3532"/>
      <c r="L62" s="3525"/>
      <c r="M62" s="2491" t="s">
        <v>1753</v>
      </c>
      <c r="N62" s="2495"/>
      <c r="O62" s="2496" t="e">
        <f>IF(H19="元",NUMBERSTRING(INT(O61),2)&amp;"元整",NUMBERSTRING(INT(O61*10000),2)&amp;"元整")</f>
        <v>#VALUE!</v>
      </c>
      <c r="P62" s="2497"/>
    </row>
    <row r="63" spans="1:17" ht="13.5" thickBot="1">
      <c r="A63" s="3533" t="s">
        <v>1756</v>
      </c>
      <c r="B63" s="3533"/>
      <c r="C63" s="3533"/>
      <c r="D63" s="3533"/>
      <c r="E63" s="3533"/>
      <c r="F63" s="2952"/>
      <c r="G63" s="2952"/>
      <c r="H63" s="2947"/>
      <c r="I63" s="947"/>
      <c r="J63" s="2817"/>
      <c r="K63" s="2483">
        <f>K61+1</f>
        <v>7</v>
      </c>
      <c r="L63" s="3525" t="s">
        <v>1757</v>
      </c>
      <c r="M63" s="3525"/>
      <c r="N63" s="2501"/>
      <c r="O63" s="2502" t="e">
        <f>IF(H19="元",ROUND(O61/项目基本情况!C12,0),ROUND(O61*10000/项目基本情况!C12,0))</f>
        <v>#VALUE!</v>
      </c>
      <c r="P63" s="2503"/>
    </row>
    <row r="64" spans="1:17" ht="12.75">
      <c r="A64" s="3451" t="s">
        <v>1758</v>
      </c>
      <c r="B64" s="3452"/>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1"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21"/>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21"/>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21"/>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21"/>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1"/>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1"/>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1778</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1758</v>
      </c>
      <c r="B73" s="3452"/>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4" t="s">
        <v>1788</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0" t="s">
        <v>1793</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1797</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1758</v>
      </c>
      <c r="B86" s="3452"/>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0" t="s">
        <v>2676</v>
      </c>
      <c r="H92" s="3540"/>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0" t="s">
        <v>1805</v>
      </c>
      <c r="F93" s="3421"/>
      <c r="G93" s="342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0" t="s">
        <v>1808</v>
      </c>
      <c r="F94" s="3421"/>
      <c r="G94" s="3421"/>
      <c r="H94" s="3441"/>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0" t="s">
        <v>1793</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0" t="s">
        <v>1810</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8" t="s">
        <v>1812</v>
      </c>
      <c r="B101" s="3439"/>
      <c r="C101" s="3439"/>
      <c r="D101" s="3440"/>
      <c r="E101" s="1431"/>
      <c r="F101" s="3535" t="s">
        <v>2718</v>
      </c>
      <c r="G101" s="3536"/>
      <c r="H101" s="3536"/>
      <c r="I101" s="3537"/>
      <c r="J101" s="2852"/>
    </row>
    <row r="102" spans="1:36" ht="15">
      <c r="A102" s="3455" t="s">
        <v>1814</v>
      </c>
      <c r="B102" s="3456"/>
      <c r="C102" s="2775">
        <f>C4</f>
        <v>0</v>
      </c>
      <c r="D102" s="2776">
        <f>D4</f>
        <v>0</v>
      </c>
      <c r="E102" s="1431"/>
      <c r="F102" s="3457" t="s">
        <v>2719</v>
      </c>
      <c r="G102" s="3459"/>
      <c r="H102" s="3470" t="s">
        <v>2720</v>
      </c>
      <c r="I102" s="3458"/>
      <c r="J102" s="2832"/>
    </row>
    <row r="103" spans="1:36" ht="12.75">
      <c r="A103" s="3541" t="s">
        <v>2714</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2715</v>
      </c>
      <c r="C104" s="2780" t="e">
        <f ca="1">C20</f>
        <v>#REF!</v>
      </c>
      <c r="D104" s="2781" t="e">
        <f ca="1">D20</f>
        <v>#REF!</v>
      </c>
      <c r="E104" s="1431"/>
      <c r="F104" s="3444" t="s">
        <v>2721</v>
      </c>
      <c r="G104" s="3445"/>
      <c r="H104" s="2789" t="str">
        <f>C110</f>
        <v>总价（万元）</v>
      </c>
      <c r="I104" s="2790">
        <f>H125</f>
        <v>0</v>
      </c>
      <c r="J104" s="2832"/>
    </row>
    <row r="105" spans="1:36" ht="12.75">
      <c r="A105" s="3541" t="s">
        <v>2716</v>
      </c>
      <c r="B105" s="2215" t="str">
        <f>B103</f>
        <v>总价（万元）</v>
      </c>
      <c r="C105" s="12" t="e">
        <f ca="1">ROUND(IF('数据-取费表'!B4="总价",G19,IF(H19="元",G20*'数据-取费表'!E5,G20*'数据-取费表'!E5/10000)),0)</f>
        <v>#REF!</v>
      </c>
      <c r="D105" s="2782"/>
      <c r="E105" s="1431"/>
      <c r="F105" s="3444"/>
      <c r="G105" s="3445"/>
      <c r="H105" s="2789" t="s">
        <v>2722</v>
      </c>
      <c r="I105" s="52" t="e">
        <f>I125</f>
        <v>#DIV/0!</v>
      </c>
      <c r="J105" s="2816"/>
    </row>
    <row r="106" spans="1:36" ht="12.75">
      <c r="A106" s="3541"/>
      <c r="B106" s="2277" t="s">
        <v>2715</v>
      </c>
      <c r="C106" s="1451" t="e">
        <f ca="1">ROUND(IF('数据-取费表'!B4="楼面单价",G20,IF(H19="元",G19/'数据-取费表'!E5,G19*10000/'数据-取费表'!E5)),0)</f>
        <v>#REF!</v>
      </c>
      <c r="D106" s="2782"/>
      <c r="E106" s="1431"/>
      <c r="F106" s="3444"/>
      <c r="G106" s="3445"/>
      <c r="H106" s="3476"/>
      <c r="I106" s="3477"/>
      <c r="J106" s="2833"/>
    </row>
    <row r="107" spans="1:36" ht="12.75">
      <c r="A107" s="3548" t="s">
        <v>2717</v>
      </c>
      <c r="B107" s="2783" t="str">
        <f>B103</f>
        <v>总价（万元）</v>
      </c>
      <c r="C107" s="2784">
        <f>H125</f>
        <v>0</v>
      </c>
      <c r="D107" s="2785"/>
      <c r="E107" s="1431"/>
      <c r="F107" s="3480" t="s">
        <v>2723</v>
      </c>
      <c r="G107" s="3481"/>
      <c r="H107" s="2791" t="str">
        <f>C112</f>
        <v>总额（万元）</v>
      </c>
      <c r="I107" s="2790">
        <f>SUMIF(I108:I110,"&lt;9E307")</f>
        <v>0</v>
      </c>
      <c r="J107" s="2832"/>
    </row>
    <row r="108" spans="1:36" ht="15" thickBot="1">
      <c r="A108" s="3475"/>
      <c r="B108" s="2786" t="s">
        <v>2715</v>
      </c>
      <c r="C108" s="2787" t="e">
        <f>I125</f>
        <v>#DIV/0!</v>
      </c>
      <c r="D108" s="2788"/>
      <c r="E108" s="1431"/>
      <c r="F108" s="3446" t="s">
        <v>2724</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1815</v>
      </c>
      <c r="B109" s="3545"/>
      <c r="C109" s="3545"/>
      <c r="D109" s="3546"/>
      <c r="E109" s="1431"/>
      <c r="F109" s="3446" t="s">
        <v>2725</v>
      </c>
      <c r="G109" s="3447"/>
      <c r="H109" s="2791" t="str">
        <f>C114</f>
        <v>总额（万元）</v>
      </c>
      <c r="I109" s="52">
        <f>C39</f>
        <v>0</v>
      </c>
      <c r="J109" s="2816"/>
    </row>
    <row r="110" spans="1:36" ht="12.75">
      <c r="A110" s="3444" t="s">
        <v>2728</v>
      </c>
      <c r="B110" s="3445"/>
      <c r="C110" s="2789" t="str">
        <f>B103</f>
        <v>总价（万元）</v>
      </c>
      <c r="D110" s="2790">
        <f>H125</f>
        <v>0</v>
      </c>
      <c r="E110" s="1431"/>
      <c r="F110" s="3446" t="s">
        <v>2726</v>
      </c>
      <c r="G110" s="3447"/>
      <c r="H110" s="2791" t="str">
        <f>C115</f>
        <v>总额（万元）</v>
      </c>
      <c r="I110" s="52">
        <f>C40</f>
        <v>0</v>
      </c>
      <c r="J110" s="2816"/>
    </row>
    <row r="111" spans="1:36" ht="12.75">
      <c r="A111" s="3444"/>
      <c r="B111" s="3445"/>
      <c r="C111" s="2789" t="s">
        <v>2729</v>
      </c>
      <c r="D111" s="52" t="e">
        <f>I125</f>
        <v>#DIV/0!</v>
      </c>
      <c r="E111" s="1431"/>
      <c r="F111" s="3444"/>
      <c r="G111" s="3445"/>
      <c r="H111" s="3478"/>
      <c r="I111" s="3479"/>
      <c r="J111" s="2834"/>
    </row>
    <row r="112" spans="1:36" ht="28.5" customHeight="1">
      <c r="A112" s="3515" t="s">
        <v>2723</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2730</v>
      </c>
      <c r="B113" s="3447"/>
      <c r="C113" s="2791" t="str">
        <f>C112</f>
        <v>总额（万元）</v>
      </c>
      <c r="D113" s="52">
        <f>IF(D38="同一抵押权人同一抵押物续贷",C38&amp;"（未扣减，详见特别提示）",C38)</f>
        <v>0</v>
      </c>
      <c r="E113" s="1431"/>
      <c r="F113" s="3429"/>
      <c r="G113" s="3430"/>
      <c r="H113" s="2789" t="s">
        <v>2722</v>
      </c>
      <c r="I113" s="2793" t="e">
        <f>D117</f>
        <v>#DIV/0!</v>
      </c>
      <c r="J113" s="2835"/>
    </row>
    <row r="114" spans="1:27" ht="12.75">
      <c r="A114" s="3446" t="s">
        <v>2731</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2732</v>
      </c>
      <c r="B115" s="3447"/>
      <c r="C115" s="2791" t="str">
        <f>C112</f>
        <v>总额（万元）</v>
      </c>
      <c r="D115" s="52">
        <f>C40</f>
        <v>0</v>
      </c>
      <c r="E115" s="1431"/>
      <c r="F115" s="3429"/>
      <c r="G115" s="3430"/>
      <c r="H115" s="2789" t="s">
        <v>2722</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v>
      </c>
      <c r="G116" s="3428"/>
      <c r="H116" s="2789" t="str">
        <f>C120</f>
        <v>总价（万元）</v>
      </c>
      <c r="I116" s="2790" t="str">
        <f>IF(F116="——","——",O61)</f>
        <v>——</v>
      </c>
      <c r="J116" s="2832"/>
    </row>
    <row r="117" spans="1:27" ht="13.5" thickBot="1">
      <c r="A117" s="3444"/>
      <c r="B117" s="3445"/>
      <c r="C117" s="2789" t="s">
        <v>2729</v>
      </c>
      <c r="D117" s="52" t="e">
        <f>ROUND(IF(D116=D110,D111,IF(H19="元",D116/B125,D116*10000/B125)),0)</f>
        <v>#DIV/0!</v>
      </c>
      <c r="E117" s="1431"/>
      <c r="F117" s="3507"/>
      <c r="G117" s="3508"/>
      <c r="H117" s="2794" t="s">
        <v>2722</v>
      </c>
      <c r="I117" s="2778" t="str">
        <f>D121</f>
        <v>——</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2729</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1854</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2733</v>
      </c>
      <c r="B123" s="3435" t="s">
        <v>2734</v>
      </c>
      <c r="C123" s="3435" t="s">
        <v>2740</v>
      </c>
      <c r="D123" s="3442" t="s">
        <v>2735</v>
      </c>
      <c r="E123" s="3443"/>
      <c r="F123" s="3433" t="s">
        <v>2741</v>
      </c>
      <c r="G123" s="3433"/>
      <c r="H123" s="3433" t="s">
        <v>2736</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2739</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2739</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2739</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2739</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2739</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172</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24130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71.430000000000007</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14286</v>
      </c>
      <c r="D19" s="1146">
        <f>IF(B1="仅计算典型户型",'数据-取费表'!E5,'数据-取费表'!B5)</f>
        <v>71.430000000000007</v>
      </c>
      <c r="E19" s="111">
        <f>'数据-取费表'!E15</f>
        <v>200</v>
      </c>
      <c r="F19" s="112"/>
      <c r="G19" s="1488"/>
    </row>
    <row r="20" spans="1:123" s="91" customFormat="1" ht="13.5" customHeight="1">
      <c r="A20" s="120" t="s">
        <v>1884</v>
      </c>
      <c r="B20" s="89" t="s">
        <v>1885</v>
      </c>
      <c r="C20" s="99">
        <f>ROUND((C5+C19)*F20,0)</f>
        <v>20896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90483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1225</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159852</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159852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1425958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275541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250005</v>
      </c>
      <c r="D34" s="1138"/>
      <c r="E34" s="115"/>
      <c r="F34" s="1149" t="str">
        <f>IF('数据-取费表'!B26=0,"",'数据-取费表'!E20)</f>
        <v/>
      </c>
      <c r="G34" s="95"/>
    </row>
    <row r="35" spans="1:123" ht="13.5" customHeight="1">
      <c r="A35" s="92" t="s">
        <v>1867</v>
      </c>
      <c r="B35" s="93" t="s">
        <v>1916</v>
      </c>
      <c r="C35" s="115">
        <f>ROUND(C34*F35,0)</f>
        <v>7500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14286</v>
      </c>
      <c r="D37" s="1138">
        <f>IF(B1="仅计算典型户型",'数据-取费表'!E5,'数据-取费表'!B5)</f>
        <v>71.430000000000007</v>
      </c>
      <c r="E37" s="115">
        <f>'数据-取费表'!E23</f>
        <v>200</v>
      </c>
      <c r="F37" s="1150"/>
      <c r="G37" s="124" t="s">
        <v>1921</v>
      </c>
    </row>
    <row r="38" spans="1:123" ht="13.5" customHeight="1">
      <c r="A38" s="92" t="s">
        <v>1922</v>
      </c>
      <c r="B38" s="93" t="s">
        <v>1923</v>
      </c>
      <c r="C38" s="115">
        <f>ROUND(C34*F38,0)</f>
        <v>3750</v>
      </c>
      <c r="D38" s="115"/>
      <c r="E38" s="115"/>
      <c r="F38" s="1150">
        <f>'数据-取费表'!E24</f>
        <v>1.4999999999999999E-2</v>
      </c>
      <c r="G38" s="95" t="s">
        <v>1917</v>
      </c>
    </row>
    <row r="39" spans="1:123" s="91" customFormat="1" ht="13.5" customHeight="1">
      <c r="A39" s="120" t="s">
        <v>1882</v>
      </c>
      <c r="B39" s="89" t="s">
        <v>1885</v>
      </c>
      <c r="C39" s="99">
        <f>ROUND(C33*F20,0)</f>
        <v>5511</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11804</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11573</v>
      </c>
      <c r="D42" s="104"/>
      <c r="E42" s="104"/>
      <c r="F42" s="105"/>
      <c r="G42" s="3550" t="s">
        <v>1927</v>
      </c>
    </row>
    <row r="43" spans="1:123" ht="13.5" customHeight="1">
      <c r="A43" s="92" t="s">
        <v>1867</v>
      </c>
      <c r="B43" s="93" t="s">
        <v>1896</v>
      </c>
      <c r="C43" s="104">
        <f ca="1">ROUND(IF('数据-取费表'!B24&lt;=1,C39*F22*'数据-取费表'!B23/2,C39*(POWER((1+F22),'数据-取费表'!B23/2)-1)),0)</f>
        <v>231</v>
      </c>
      <c r="D43" s="104"/>
      <c r="E43" s="104"/>
      <c r="F43" s="105"/>
      <c r="G43" s="3551"/>
    </row>
    <row r="44" spans="1:123" ht="13.5" customHeight="1">
      <c r="A44" s="92" t="s">
        <v>1869</v>
      </c>
      <c r="B44" s="93" t="s">
        <v>1898</v>
      </c>
      <c r="C44" s="104">
        <f ca="1">ROUND(IF('数据-取费表'!B24&lt;=1,C40*F22*'数据-取费表'!B23/2,C40*(POWER((1+F22),'数据-取费表'!B23/2)-1)),4)</f>
        <v>8.0000000000000004E-4</v>
      </c>
      <c r="D44" s="104"/>
      <c r="E44" s="104"/>
      <c r="F44" s="105"/>
      <c r="G44" s="3552"/>
    </row>
    <row r="45" spans="1:123" s="91" customFormat="1" ht="13.5" customHeight="1">
      <c r="A45" s="120" t="s">
        <v>1891</v>
      </c>
      <c r="B45" s="110" t="s">
        <v>1903</v>
      </c>
      <c r="C45" s="111">
        <f>C46</f>
        <v>42158</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42158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363001</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297661</v>
      </c>
      <c r="D51" s="99"/>
      <c r="E51" s="99"/>
      <c r="F51" s="126"/>
      <c r="G51" s="100" t="s">
        <v>1941</v>
      </c>
    </row>
    <row r="52" spans="1:123" s="88" customFormat="1" ht="16.5" thickBot="1">
      <c r="A52" s="127" t="s">
        <v>1942</v>
      </c>
      <c r="B52" s="128"/>
      <c r="C52" s="129">
        <f ca="1">C31+C51</f>
        <v>1723619</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0.17299999999999999</v>
      </c>
    </row>
    <row r="57" spans="1:123">
      <c r="B57" s="135" t="s">
        <v>1945</v>
      </c>
      <c r="C57" s="137">
        <f ca="1">1-C56</f>
        <v>0.82699999999999996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9" t="s">
        <v>2838</v>
      </c>
      <c r="K2" s="3560"/>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61" t="s">
        <v>2848</v>
      </c>
      <c r="K3" s="3562"/>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61" t="s">
        <v>2850</v>
      </c>
      <c r="K4" s="3562"/>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67" t="s">
        <v>2854</v>
      </c>
      <c r="B6" s="3568"/>
      <c r="C6" s="3569"/>
      <c r="D6" s="3207"/>
      <c r="E6" s="3151"/>
      <c r="F6" s="3152"/>
      <c r="G6" s="3252"/>
      <c r="H6" s="3238"/>
      <c r="I6" s="3239"/>
      <c r="J6" s="3553">
        <v>1</v>
      </c>
      <c r="K6" s="3554"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53"/>
      <c r="K7" s="3555"/>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70" t="s">
        <v>2867</v>
      </c>
      <c r="C8" s="3571"/>
      <c r="D8" s="3161" t="s">
        <v>2868</v>
      </c>
      <c r="E8" s="3162" t="s">
        <v>2869</v>
      </c>
      <c r="F8" s="3145" t="s">
        <v>2870</v>
      </c>
      <c r="G8" s="3315" t="s">
        <v>2978</v>
      </c>
      <c r="H8" s="3238"/>
      <c r="I8" s="3239"/>
      <c r="J8" s="3553"/>
      <c r="K8" s="3555"/>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70" t="s">
        <v>2872</v>
      </c>
      <c r="C9" s="3571"/>
      <c r="D9" s="3161">
        <f>ROUND(D6*E9,0)</f>
        <v>0</v>
      </c>
      <c r="E9" s="3208"/>
      <c r="F9" s="3163" t="s">
        <v>2873</v>
      </c>
      <c r="G9" s="3261" t="s">
        <v>2976</v>
      </c>
      <c r="H9" s="3238"/>
      <c r="I9" s="3239"/>
      <c r="J9" s="3553"/>
      <c r="K9" s="3555"/>
      <c r="L9" s="3256" t="s">
        <v>2966</v>
      </c>
      <c r="M9" s="3257"/>
      <c r="N9" s="3257"/>
      <c r="O9" s="3258"/>
      <c r="P9" s="3258"/>
      <c r="Q9" s="3259">
        <v>365</v>
      </c>
      <c r="R9" s="3260">
        <f t="shared" si="0"/>
        <v>0</v>
      </c>
      <c r="S9" s="3236"/>
      <c r="T9" s="3236"/>
      <c r="U9" s="3236"/>
      <c r="V9" s="3239"/>
      <c r="W9" s="3238"/>
    </row>
    <row r="10" spans="1:23" s="3144" customFormat="1" ht="13.15" customHeight="1">
      <c r="A10" s="3160">
        <v>2</v>
      </c>
      <c r="B10" s="3570" t="s">
        <v>2874</v>
      </c>
      <c r="C10" s="3571"/>
      <c r="D10" s="3161">
        <f>ROUND(D6*E10,0)</f>
        <v>0</v>
      </c>
      <c r="E10" s="3208"/>
      <c r="F10" s="3163" t="s">
        <v>2875</v>
      </c>
      <c r="G10" s="3261" t="s">
        <v>2977</v>
      </c>
      <c r="H10" s="3238"/>
      <c r="I10" s="3239"/>
      <c r="J10" s="3553"/>
      <c r="K10" s="3555"/>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70" t="s">
        <v>2876</v>
      </c>
      <c r="C11" s="3571"/>
      <c r="D11" s="3161">
        <f>D12+D14+D15+D16</f>
        <v>0</v>
      </c>
      <c r="E11" s="3164" t="e">
        <f>D11/D6</f>
        <v>#DIV/0!</v>
      </c>
      <c r="F11" s="3145"/>
      <c r="G11" s="3261"/>
      <c r="H11" s="3238"/>
      <c r="I11" s="3239"/>
      <c r="J11" s="3553"/>
      <c r="K11" s="3555"/>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3" t="s">
        <v>2878</v>
      </c>
      <c r="C12" s="3564"/>
      <c r="D12" s="3166">
        <f>ROUND(D13*1.2%*(1-30%),0)</f>
        <v>0</v>
      </c>
      <c r="E12" s="3167">
        <v>1.2E-2</v>
      </c>
      <c r="F12" s="3145" t="s">
        <v>2879</v>
      </c>
      <c r="G12" s="3261"/>
      <c r="H12" s="3238"/>
      <c r="I12" s="3239"/>
      <c r="J12" s="3553"/>
      <c r="K12" s="3555"/>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53"/>
      <c r="K13" s="3555"/>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3" t="s">
        <v>2882</v>
      </c>
      <c r="C14" s="3564"/>
      <c r="D14" s="3166">
        <f>ROUND(E14*B5/10000,0)</f>
        <v>0</v>
      </c>
      <c r="E14" s="3210"/>
      <c r="F14" s="3145" t="s">
        <v>2883</v>
      </c>
      <c r="G14" s="3261"/>
      <c r="H14" s="3238"/>
      <c r="I14" s="3239"/>
      <c r="J14" s="3553"/>
      <c r="K14" s="3556"/>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3" t="s">
        <v>2886</v>
      </c>
      <c r="C15" s="3564"/>
      <c r="D15" s="3166">
        <f>ROUND(D6*E15,0)</f>
        <v>0</v>
      </c>
      <c r="E15" s="3167">
        <v>5.5E-2</v>
      </c>
      <c r="F15" s="3145" t="s">
        <v>2887</v>
      </c>
      <c r="G15" s="3261"/>
      <c r="H15" s="3238"/>
      <c r="I15" s="3239"/>
      <c r="J15" s="3553">
        <v>2</v>
      </c>
      <c r="K15" s="3554"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3" t="s">
        <v>2897</v>
      </c>
      <c r="C16" s="3564"/>
      <c r="D16" s="3211">
        <f>D6*E16</f>
        <v>0</v>
      </c>
      <c r="E16" s="3212"/>
      <c r="F16" s="3163" t="s">
        <v>2898</v>
      </c>
      <c r="G16" s="3261"/>
      <c r="H16" s="3238"/>
      <c r="I16" s="3239"/>
      <c r="J16" s="3553"/>
      <c r="K16" s="3555"/>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2899</v>
      </c>
      <c r="C17" s="3566"/>
      <c r="D17" s="3172">
        <f>ROUND(D6*E17,0)</f>
        <v>0</v>
      </c>
      <c r="E17" s="3213"/>
      <c r="F17" s="3173" t="s">
        <v>2900</v>
      </c>
      <c r="G17" s="3314">
        <v>0.1</v>
      </c>
      <c r="H17" s="3238"/>
      <c r="I17" s="3239"/>
      <c r="J17" s="3553"/>
      <c r="K17" s="3555"/>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53"/>
      <c r="K18" s="3555"/>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53"/>
      <c r="K19" s="3556"/>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53"/>
      <c r="K21" s="3555"/>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53"/>
      <c r="K22" s="3555"/>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53"/>
      <c r="K23" s="3555"/>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53"/>
      <c r="K24" s="3556"/>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57">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9" t="s">
        <v>2936</v>
      </c>
      <c r="K32" s="3560"/>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61" t="s">
        <v>2940</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61" t="s">
        <v>2942</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53">
        <v>1</v>
      </c>
      <c r="K36" s="3554"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53"/>
      <c r="K40" s="3556"/>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71.430000000000007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81" t="s">
        <v>2189</v>
      </c>
      <c r="D4" s="3582"/>
      <c r="E4" s="3583" t="s">
        <v>2190</v>
      </c>
      <c r="F4" s="3584"/>
      <c r="G4" s="3581" t="s">
        <v>2191</v>
      </c>
      <c r="H4" s="3582"/>
      <c r="I4" s="3581" t="s">
        <v>2192</v>
      </c>
      <c r="J4" s="3582"/>
      <c r="K4" s="1635" t="s">
        <v>2193</v>
      </c>
      <c r="L4" s="2967"/>
      <c r="M4" s="2968"/>
      <c r="N4" s="2968"/>
      <c r="O4" s="2968"/>
      <c r="P4" s="3585" t="s">
        <v>2194</v>
      </c>
      <c r="Q4" s="3586"/>
      <c r="R4" s="3591" t="s">
        <v>2190</v>
      </c>
      <c r="S4" s="3592"/>
      <c r="T4" s="3591" t="s">
        <v>2191</v>
      </c>
      <c r="U4" s="3592"/>
      <c r="V4" s="3597" t="s">
        <v>2192</v>
      </c>
      <c r="W4" s="3597"/>
      <c r="X4" s="1636"/>
      <c r="Y4" s="3591" t="s">
        <v>2194</v>
      </c>
      <c r="Z4" s="3592"/>
      <c r="AA4" s="3578" t="s">
        <v>2190</v>
      </c>
      <c r="AB4" s="3578" t="s">
        <v>2191</v>
      </c>
      <c r="AC4" s="3578" t="s">
        <v>2192</v>
      </c>
    </row>
    <row r="5" spans="1:29" ht="15">
      <c r="A5" s="1638"/>
      <c r="B5" s="1639"/>
      <c r="C5" s="3600" t="s">
        <v>2195</v>
      </c>
      <c r="D5" s="3601"/>
      <c r="E5" s="3598" t="s">
        <v>2196</v>
      </c>
      <c r="F5" s="3599"/>
      <c r="G5" s="3600" t="s">
        <v>2197</v>
      </c>
      <c r="H5" s="3601"/>
      <c r="I5" s="3600" t="s">
        <v>2198</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2199</v>
      </c>
      <c r="D6" s="3603"/>
      <c r="E6" s="3604" t="s">
        <v>2199</v>
      </c>
      <c r="F6" s="3605"/>
      <c r="G6" s="3602" t="s">
        <v>2199</v>
      </c>
      <c r="H6" s="3603"/>
      <c r="I6" s="3602" t="s">
        <v>2199</v>
      </c>
      <c r="J6" s="3603"/>
      <c r="K6" s="1640" t="s">
        <v>2200</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2202</v>
      </c>
      <c r="Q7" s="3615"/>
      <c r="R7" s="1651" t="s">
        <v>34</v>
      </c>
      <c r="S7" s="1652">
        <f t="shared" ref="S7:S15" si="0">F7</f>
        <v>0</v>
      </c>
      <c r="T7" s="1651" t="s">
        <v>34</v>
      </c>
      <c r="U7" s="1652">
        <f t="shared" ref="U7:U15" si="1">H7</f>
        <v>0</v>
      </c>
      <c r="V7" s="1651" t="s">
        <v>34</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2205</v>
      </c>
      <c r="Q8" s="3614"/>
      <c r="R8" s="1651" t="s">
        <v>34</v>
      </c>
      <c r="S8" s="1652">
        <f t="shared" si="0"/>
        <v>0</v>
      </c>
      <c r="T8" s="1651" t="s">
        <v>34</v>
      </c>
      <c r="U8" s="1652">
        <f t="shared" si="1"/>
        <v>0</v>
      </c>
      <c r="V8" s="1651" t="s">
        <v>34</v>
      </c>
      <c r="W8" s="1652">
        <f t="shared" si="2"/>
        <v>0</v>
      </c>
      <c r="X8" s="1653"/>
      <c r="Y8" s="3613" t="s">
        <v>2205</v>
      </c>
      <c r="Z8" s="3614"/>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2213</v>
      </c>
      <c r="Q15" s="1586" t="str">
        <f t="shared" si="6"/>
        <v>居住社区成熟度</v>
      </c>
      <c r="R15" s="1696" t="s">
        <v>28</v>
      </c>
      <c r="S15" s="1697">
        <f t="shared" si="0"/>
        <v>100</v>
      </c>
      <c r="T15" s="1696" t="s">
        <v>28</v>
      </c>
      <c r="U15" s="1697">
        <f t="shared" si="1"/>
        <v>100</v>
      </c>
      <c r="V15" s="1696" t="s">
        <v>28</v>
      </c>
      <c r="W15" s="1697">
        <f t="shared" si="2"/>
        <v>100</v>
      </c>
      <c r="X15" s="1636"/>
      <c r="Y15" s="3606"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2219</v>
      </c>
      <c r="Q32" s="1586" t="str">
        <f t="shared" si="11"/>
        <v>建筑类型</v>
      </c>
      <c r="R32" s="1696" t="s">
        <v>28</v>
      </c>
      <c r="S32" s="1697">
        <f t="shared" si="12"/>
        <v>100</v>
      </c>
      <c r="T32" s="1696" t="s">
        <v>28</v>
      </c>
      <c r="U32" s="1697">
        <f t="shared" si="13"/>
        <v>100</v>
      </c>
      <c r="V32" s="1696" t="s">
        <v>28</v>
      </c>
      <c r="W32" s="1697">
        <f t="shared" si="14"/>
        <v>100</v>
      </c>
      <c r="X32" s="1636"/>
      <c r="Y32" s="3611"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2219</v>
      </c>
      <c r="Q38" s="1586" t="str">
        <f t="shared" si="11"/>
        <v>物业管理</v>
      </c>
      <c r="R38" s="1696" t="s">
        <v>28</v>
      </c>
      <c r="S38" s="1697">
        <f t="shared" si="12"/>
        <v>100</v>
      </c>
      <c r="T38" s="1696" t="s">
        <v>28</v>
      </c>
      <c r="U38" s="1697">
        <f t="shared" si="13"/>
        <v>100</v>
      </c>
      <c r="V38" s="1696" t="s">
        <v>28</v>
      </c>
      <c r="W38" s="1697">
        <f t="shared" si="14"/>
        <v>100</v>
      </c>
      <c r="X38" s="1636"/>
      <c r="Y38" s="3611"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71.430000000000007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2045"/>
      <c r="Y4" s="3591" t="s">
        <v>2194</v>
      </c>
      <c r="Z4" s="3592"/>
      <c r="AA4" s="3578" t="s">
        <v>2190</v>
      </c>
      <c r="AB4" s="3597" t="s">
        <v>2191</v>
      </c>
      <c r="AC4" s="3578" t="s">
        <v>2192</v>
      </c>
    </row>
    <row r="5" spans="1:29" ht="15">
      <c r="A5" s="1638"/>
      <c r="B5" s="1639"/>
      <c r="C5" s="3600" t="s">
        <v>2195</v>
      </c>
      <c r="D5" s="3601"/>
      <c r="E5" s="3598" t="s">
        <v>2196</v>
      </c>
      <c r="F5" s="3599"/>
      <c r="G5" s="3600" t="s">
        <v>2197</v>
      </c>
      <c r="H5" s="3601"/>
      <c r="I5" s="3600" t="s">
        <v>2198</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2202</v>
      </c>
      <c r="Q7" s="3615"/>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2208</v>
      </c>
      <c r="Q9" s="2036"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2213</v>
      </c>
      <c r="Q15" s="2042" t="str">
        <f t="shared" si="6"/>
        <v>商业繁华度</v>
      </c>
      <c r="R15" s="1696" t="s">
        <v>25</v>
      </c>
      <c r="S15" s="1697">
        <f t="shared" si="0"/>
        <v>100</v>
      </c>
      <c r="T15" s="1696" t="s">
        <v>25</v>
      </c>
      <c r="U15" s="1697">
        <f t="shared" si="1"/>
        <v>100</v>
      </c>
      <c r="V15" s="1696" t="s">
        <v>25</v>
      </c>
      <c r="W15" s="1697">
        <f t="shared" si="2"/>
        <v>100</v>
      </c>
      <c r="X15" s="2045"/>
      <c r="Y15" s="3606"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2219</v>
      </c>
      <c r="Q32" s="2042" t="str">
        <f t="shared" si="11"/>
        <v>商业类型</v>
      </c>
      <c r="R32" s="1696" t="s">
        <v>25</v>
      </c>
      <c r="S32" s="1697">
        <f t="shared" si="12"/>
        <v>100</v>
      </c>
      <c r="T32" s="1696" t="s">
        <v>25</v>
      </c>
      <c r="U32" s="1697">
        <f t="shared" si="13"/>
        <v>100</v>
      </c>
      <c r="V32" s="1696" t="s">
        <v>25</v>
      </c>
      <c r="W32" s="1697">
        <f t="shared" si="14"/>
        <v>100</v>
      </c>
      <c r="X32" s="2045"/>
      <c r="Y32" s="3611"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2219</v>
      </c>
      <c r="Q38" s="2042" t="str">
        <f t="shared" si="11"/>
        <v>业态</v>
      </c>
      <c r="R38" s="1696" t="s">
        <v>25</v>
      </c>
      <c r="S38" s="1697">
        <f t="shared" si="12"/>
        <v>100</v>
      </c>
      <c r="T38" s="1696" t="s">
        <v>25</v>
      </c>
      <c r="U38" s="1697">
        <f t="shared" si="13"/>
        <v>100</v>
      </c>
      <c r="V38" s="1696" t="s">
        <v>25</v>
      </c>
      <c r="W38" s="1697">
        <f t="shared" si="14"/>
        <v>100</v>
      </c>
      <c r="X38" s="2045"/>
      <c r="Y38" s="3611"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2" zoomScale="90" zoomScaleNormal="60" zoomScaleSheetLayoutView="90" workbookViewId="0">
      <selection activeCell="E51" sqref="E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219</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30632</v>
      </c>
      <c r="C3" s="1630" t="s">
        <v>2187</v>
      </c>
      <c r="D3" s="1630">
        <f>IF(C1="仅计算典型户型",'数据-取费表'!E5,'数据-取费表'!B5)</f>
        <v>71.430000000000007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2045"/>
      <c r="Y4" s="3591" t="s">
        <v>2194</v>
      </c>
      <c r="Z4" s="3592"/>
      <c r="AA4" s="3578" t="s">
        <v>2190</v>
      </c>
      <c r="AB4" s="3578" t="s">
        <v>2191</v>
      </c>
      <c r="AC4" s="3578" t="s">
        <v>2192</v>
      </c>
    </row>
    <row r="5" spans="1:29" ht="15">
      <c r="A5" s="1638"/>
      <c r="B5" s="1639"/>
      <c r="C5" s="3600" t="s">
        <v>2195</v>
      </c>
      <c r="D5" s="3601"/>
      <c r="E5" s="3627" t="s">
        <v>3034</v>
      </c>
      <c r="F5" s="3599"/>
      <c r="G5" s="3626" t="s">
        <v>3034</v>
      </c>
      <c r="H5" s="3601"/>
      <c r="I5" s="3626" t="s">
        <v>3034</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2201</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613" t="s">
        <v>2202</v>
      </c>
      <c r="Q7" s="3615"/>
      <c r="R7" s="1651" t="s">
        <v>25</v>
      </c>
      <c r="S7" s="1652">
        <f t="shared" ref="S7:S15" si="0">F7</f>
        <v>100</v>
      </c>
      <c r="T7" s="1651" t="s">
        <v>25</v>
      </c>
      <c r="U7" s="1652">
        <f t="shared" ref="U7:U15" si="1">H7</f>
        <v>100</v>
      </c>
      <c r="V7" s="1651" t="s">
        <v>25</v>
      </c>
      <c r="W7" s="1652">
        <f t="shared" ref="W7:W15" si="2">J7</f>
        <v>100</v>
      </c>
      <c r="X7" s="1653"/>
      <c r="Y7" s="3613" t="s">
        <v>2202</v>
      </c>
      <c r="Z7" s="3614"/>
      <c r="AA7" s="1654">
        <f>D7/F7</f>
        <v>1</v>
      </c>
      <c r="AB7" s="1654">
        <f>D7/H7</f>
        <v>1</v>
      </c>
      <c r="AC7" s="1654">
        <f>D7/J7</f>
        <v>1</v>
      </c>
    </row>
    <row r="8" spans="1:29" s="1655" customFormat="1" ht="15.75" thickBot="1">
      <c r="A8" s="1643" t="s">
        <v>2203</v>
      </c>
      <c r="B8" s="1644"/>
      <c r="C8" s="1656" t="s">
        <v>2204</v>
      </c>
      <c r="D8" s="1646">
        <v>100</v>
      </c>
      <c r="E8" s="1656" t="s">
        <v>2824</v>
      </c>
      <c r="F8" s="1648">
        <f>SUMIF(62:62,E8,63:63)-SUMIF(62:62,C8,63:63)+100</f>
        <v>100</v>
      </c>
      <c r="G8" s="1656" t="s">
        <v>2824</v>
      </c>
      <c r="H8" s="1646">
        <f>SUMIF(62:62,G8,63:63)-SUMIF(62:62,C8,63:63)+100</f>
        <v>100</v>
      </c>
      <c r="I8" s="1656" t="s">
        <v>2824</v>
      </c>
      <c r="J8" s="1646">
        <f>SUMIF(62:62,I8,63:63)-SUMIF(62:62,C8,63:63)+100</f>
        <v>100</v>
      </c>
      <c r="K8" s="1938"/>
      <c r="L8" s="2967"/>
      <c r="M8" s="2940"/>
      <c r="N8" s="2940"/>
      <c r="O8" s="2940"/>
      <c r="P8" s="3613" t="s">
        <v>2205</v>
      </c>
      <c r="Q8" s="3614"/>
      <c r="R8" s="1651" t="s">
        <v>25</v>
      </c>
      <c r="S8" s="1652">
        <f t="shared" si="0"/>
        <v>100</v>
      </c>
      <c r="T8" s="1651" t="s">
        <v>25</v>
      </c>
      <c r="U8" s="1652">
        <f t="shared" si="1"/>
        <v>100</v>
      </c>
      <c r="V8" s="1651" t="s">
        <v>25</v>
      </c>
      <c r="W8" s="1652">
        <f t="shared" si="2"/>
        <v>100</v>
      </c>
      <c r="X8" s="1653"/>
      <c r="Y8" s="3613" t="s">
        <v>2205</v>
      </c>
      <c r="Z8" s="3614"/>
      <c r="AA8" s="1654">
        <f t="shared" ref="AA8:AA47" si="3">D8/F8</f>
        <v>1</v>
      </c>
      <c r="AB8" s="1654">
        <f t="shared" ref="AB8:AB47" si="4">D8/H8</f>
        <v>1</v>
      </c>
      <c r="AC8" s="1654">
        <f t="shared" ref="AC8:AC47" si="5">D8/J8</f>
        <v>1</v>
      </c>
    </row>
    <row r="9" spans="1:29" s="1655" customFormat="1">
      <c r="A9" s="2037" t="s">
        <v>2206</v>
      </c>
      <c r="B9" s="1658" t="s">
        <v>2207</v>
      </c>
      <c r="C9" s="3320" t="s">
        <v>3033</v>
      </c>
      <c r="D9" s="1660">
        <v>100</v>
      </c>
      <c r="E9" s="1663" t="s">
        <v>3000</v>
      </c>
      <c r="F9" s="1660">
        <f>SUMIF(64:64,E9,65:65)-SUMIF(64:64,C9,65:65)+100</f>
        <v>100</v>
      </c>
      <c r="G9" s="1661" t="s">
        <v>3000</v>
      </c>
      <c r="H9" s="1660">
        <f>SUMIF(64:64,G9,65:65)-SUMIF(64:64,C9,65:65)+100</f>
        <v>100</v>
      </c>
      <c r="I9" s="1661" t="s">
        <v>3000</v>
      </c>
      <c r="J9" s="1660">
        <f>SUMIF(64:64,I9,65:65)-SUMIF(64:64,C9,65:65)+100</f>
        <v>100</v>
      </c>
      <c r="K9" s="1938"/>
      <c r="L9" s="2967"/>
      <c r="M9" s="2940"/>
      <c r="N9" s="2940"/>
      <c r="O9" s="2940"/>
      <c r="P9" s="3617" t="s">
        <v>2208</v>
      </c>
      <c r="Q9" s="288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3009</v>
      </c>
      <c r="F10" s="1668">
        <f>SUMIF(66:66,E10,67:67)-SUMIF(66:66,C10,67:67)+100</f>
        <v>100</v>
      </c>
      <c r="G10" s="1669" t="s">
        <v>3009</v>
      </c>
      <c r="H10" s="1668">
        <f>SUMIF(66:66,G10,67:67)-SUMIF(66:66,C10,67:67)+100</f>
        <v>100</v>
      </c>
      <c r="I10" s="1667" t="s">
        <v>3009</v>
      </c>
      <c r="J10" s="1668">
        <f>SUMIF(66:66,I10,67:67)-SUMIF(66:66,C10,67:67)+100</f>
        <v>100</v>
      </c>
      <c r="K10" s="1963">
        <v>2</v>
      </c>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7"/>
      <c r="Q11" s="2885"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2213</v>
      </c>
      <c r="Q15" s="2886" t="str">
        <f t="shared" si="6"/>
        <v>办公集聚程度</v>
      </c>
      <c r="R15" s="1696" t="s">
        <v>25</v>
      </c>
      <c r="S15" s="1697">
        <f t="shared" si="0"/>
        <v>100</v>
      </c>
      <c r="T15" s="1696" t="s">
        <v>25</v>
      </c>
      <c r="U15" s="1697">
        <f t="shared" si="1"/>
        <v>100</v>
      </c>
      <c r="V15" s="1696" t="s">
        <v>25</v>
      </c>
      <c r="W15" s="1697">
        <f t="shared" si="2"/>
        <v>100</v>
      </c>
      <c r="X15" s="2045"/>
      <c r="Y15" s="3606"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2304</v>
      </c>
      <c r="C27" s="1954" t="s">
        <v>3030</v>
      </c>
      <c r="D27" s="1682">
        <v>100</v>
      </c>
      <c r="E27" s="1962" t="s">
        <v>3030</v>
      </c>
      <c r="F27" s="1682">
        <f>SUMIF(89:89,E27,90:90)-SUMIF(89:89,C27,90:90)+100</f>
        <v>100</v>
      </c>
      <c r="G27" s="1954" t="s">
        <v>3030</v>
      </c>
      <c r="H27" s="1682">
        <f>SUMIF(89:89,G27,90:90)-SUMIF(89:89,C27,90:90)+100</f>
        <v>100</v>
      </c>
      <c r="I27" s="1962" t="s">
        <v>3030</v>
      </c>
      <c r="J27" s="1682">
        <f>SUMIF(89:89,I27,90:90)-SUMIF(89:89,C27,90:90)+100</f>
        <v>100</v>
      </c>
      <c r="K27" s="1963">
        <v>3</v>
      </c>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628" t="s">
        <v>2219</v>
      </c>
      <c r="Q33" s="2886" t="str">
        <f t="shared" si="11"/>
        <v>建筑类型</v>
      </c>
      <c r="R33" s="1696" t="s">
        <v>25</v>
      </c>
      <c r="S33" s="1697">
        <f t="shared" si="12"/>
        <v>100</v>
      </c>
      <c r="T33" s="1696" t="s">
        <v>25</v>
      </c>
      <c r="U33" s="1697">
        <f t="shared" si="13"/>
        <v>100</v>
      </c>
      <c r="V33" s="1696" t="s">
        <v>25</v>
      </c>
      <c r="W33" s="1697">
        <f t="shared" si="14"/>
        <v>100</v>
      </c>
      <c r="X33" s="2045"/>
      <c r="Y33" s="3611"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71.430000000000007</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611"/>
      <c r="Q34" s="1737" t="str">
        <f t="shared" si="11"/>
        <v>项目建筑规模</v>
      </c>
      <c r="R34" s="1738" t="s">
        <v>25</v>
      </c>
      <c r="S34" s="1739">
        <f t="shared" si="12"/>
        <v>100</v>
      </c>
      <c r="T34" s="1738" t="s">
        <v>25</v>
      </c>
      <c r="U34" s="1739">
        <f t="shared" si="13"/>
        <v>100</v>
      </c>
      <c r="V34" s="1738" t="s">
        <v>25</v>
      </c>
      <c r="W34" s="1739">
        <f t="shared" si="14"/>
        <v>100</v>
      </c>
      <c r="X34" s="1740"/>
      <c r="Y34" s="3611"/>
      <c r="Z34" s="1741" t="str">
        <f t="shared" si="15"/>
        <v>项目建筑规模</v>
      </c>
      <c r="AA34" s="2040">
        <f t="shared" si="3"/>
        <v>1</v>
      </c>
      <c r="AB34" s="2040">
        <f t="shared" si="4"/>
        <v>1</v>
      </c>
      <c r="AC34" s="2040">
        <f t="shared" si="5"/>
        <v>1</v>
      </c>
    </row>
    <row r="35" spans="1:29" ht="15">
      <c r="A35" s="1743"/>
      <c r="B35" s="1666" t="s">
        <v>2221</v>
      </c>
      <c r="C35" s="1723" t="s">
        <v>3003</v>
      </c>
      <c r="D35" s="1682">
        <v>100</v>
      </c>
      <c r="E35" s="1723" t="s">
        <v>3003</v>
      </c>
      <c r="F35" s="1725">
        <f>SUMIF(106:106,E35,107:107)-SUMIF(106:106,C35,107:107)+100</f>
        <v>100</v>
      </c>
      <c r="G35" s="1723" t="s">
        <v>3003</v>
      </c>
      <c r="H35" s="1682">
        <f>SUMIF(106:106,G35,107:107)-SUMIF(106:106,C35,107:107)+100</f>
        <v>100</v>
      </c>
      <c r="I35" s="1723" t="s">
        <v>3003</v>
      </c>
      <c r="J35" s="1682">
        <f>SUMIF(106:106,I35,107:107)-SUMIF(106:106,C35,107:107)+100</f>
        <v>100</v>
      </c>
      <c r="K35" s="1963">
        <v>3</v>
      </c>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2307</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611"/>
      <c r="Q37" s="2886" t="str">
        <f t="shared" si="11"/>
        <v>成新度</v>
      </c>
      <c r="R37" s="1696" t="s">
        <v>25</v>
      </c>
      <c r="S37" s="1697">
        <f t="shared" si="12"/>
        <v>100</v>
      </c>
      <c r="T37" s="1696" t="s">
        <v>25</v>
      </c>
      <c r="U37" s="1697">
        <f t="shared" si="13"/>
        <v>100</v>
      </c>
      <c r="V37" s="1696" t="s">
        <v>25</v>
      </c>
      <c r="W37" s="1697">
        <f t="shared" si="14"/>
        <v>100</v>
      </c>
      <c r="X37" s="2045"/>
      <c r="Y37" s="3611"/>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2335</v>
      </c>
      <c r="C39" s="1723" t="s">
        <v>3010</v>
      </c>
      <c r="D39" s="1682">
        <v>100</v>
      </c>
      <c r="E39" s="1723" t="s">
        <v>3010</v>
      </c>
      <c r="F39" s="1725">
        <f>SUMIF(115:115,E39,116:116)-SUMIF(115:115,C39,116:116)+100</f>
        <v>100</v>
      </c>
      <c r="G39" s="1723" t="s">
        <v>3010</v>
      </c>
      <c r="H39" s="1682">
        <f>SUMIF(115:115,G39,116:116)-SUMIF(115:115,C39,116:116)+100</f>
        <v>100</v>
      </c>
      <c r="I39" s="1723" t="s">
        <v>3010</v>
      </c>
      <c r="J39" s="1682">
        <f>SUMIF(115:115,I39,116:116)-SUMIF(115:115,C39,116:116)+100</f>
        <v>100</v>
      </c>
      <c r="K39" s="1963">
        <v>2</v>
      </c>
      <c r="L39" s="2972"/>
      <c r="M39" s="2968"/>
      <c r="N39" s="2968"/>
      <c r="O39" s="2968"/>
      <c r="P39" s="3611" t="s">
        <v>2219</v>
      </c>
      <c r="Q39" s="2886" t="str">
        <f t="shared" si="11"/>
        <v>物业管理</v>
      </c>
      <c r="R39" s="1696" t="s">
        <v>25</v>
      </c>
      <c r="S39" s="1697">
        <f t="shared" si="12"/>
        <v>100</v>
      </c>
      <c r="T39" s="1696" t="s">
        <v>25</v>
      </c>
      <c r="U39" s="1697">
        <f t="shared" si="13"/>
        <v>100</v>
      </c>
      <c r="V39" s="1696" t="s">
        <v>25</v>
      </c>
      <c r="W39" s="1697">
        <f t="shared" si="14"/>
        <v>100</v>
      </c>
      <c r="X39" s="2045"/>
      <c r="Y39" s="3611" t="s">
        <v>2219</v>
      </c>
      <c r="Z39" s="2049" t="str">
        <f t="shared" si="15"/>
        <v>物业管理</v>
      </c>
      <c r="AA39" s="2040">
        <f t="shared" si="3"/>
        <v>1</v>
      </c>
      <c r="AB39" s="2040">
        <f t="shared" si="4"/>
        <v>1</v>
      </c>
      <c r="AC39" s="2040">
        <f t="shared" si="5"/>
        <v>1</v>
      </c>
    </row>
    <row r="40" spans="1:29" ht="15">
      <c r="A40" s="1743"/>
      <c r="B40" s="1666" t="s">
        <v>2308</v>
      </c>
      <c r="C40" s="1723" t="s">
        <v>3014</v>
      </c>
      <c r="D40" s="1682">
        <v>100</v>
      </c>
      <c r="E40" s="1723" t="s">
        <v>3014</v>
      </c>
      <c r="F40" s="1725">
        <f>SUMIF(117:117,E40,118:118)-SUMIF(117:117,C40,118:118)+100</f>
        <v>100</v>
      </c>
      <c r="G40" s="1723" t="s">
        <v>3014</v>
      </c>
      <c r="H40" s="1682">
        <f>SUMIF(117:117,G40,118:118)-SUMIF(117:117,C40,118:118)+100</f>
        <v>100</v>
      </c>
      <c r="I40" s="1723" t="s">
        <v>3014</v>
      </c>
      <c r="J40" s="1682">
        <f>SUMIF(117:117,I40,118:118)-SUMIF(117:117,C40,118:118)+100</f>
        <v>100</v>
      </c>
      <c r="K40" s="1963">
        <v>2</v>
      </c>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2313</v>
      </c>
      <c r="C43" s="1723" t="s">
        <v>3021</v>
      </c>
      <c r="D43" s="1682">
        <v>100</v>
      </c>
      <c r="E43" s="1723" t="s">
        <v>3021</v>
      </c>
      <c r="F43" s="1725">
        <f>SUMIF(123:123,E43,124:124)-SUMIF(123:123,C43,124:124)+100</f>
        <v>100</v>
      </c>
      <c r="G43" s="1723" t="s">
        <v>3023</v>
      </c>
      <c r="H43" s="1682">
        <f>SUMIF(123:123,G43,124:124)-SUMIF(123:123,C43,124:124)+100</f>
        <v>98</v>
      </c>
      <c r="I43" s="1723" t="s">
        <v>3023</v>
      </c>
      <c r="J43" s="1682">
        <f>SUMIF(123:123,I43,124:124)-SUMIF(123:123,C43,124:124)+100</f>
        <v>98</v>
      </c>
      <c r="K43" s="1963">
        <v>2</v>
      </c>
      <c r="L43" s="2972"/>
      <c r="M43" s="2968"/>
      <c r="N43" s="2968"/>
      <c r="O43" s="2968"/>
      <c r="P43" s="3611"/>
      <c r="Q43" s="2886" t="str">
        <f t="shared" si="11"/>
        <v>内部装修</v>
      </c>
      <c r="R43" s="1696" t="s">
        <v>25</v>
      </c>
      <c r="S43" s="1697">
        <f t="shared" si="12"/>
        <v>100</v>
      </c>
      <c r="T43" s="1696" t="s">
        <v>25</v>
      </c>
      <c r="U43" s="1697">
        <f t="shared" si="13"/>
        <v>98</v>
      </c>
      <c r="V43" s="1696" t="s">
        <v>25</v>
      </c>
      <c r="W43" s="1697">
        <f t="shared" si="14"/>
        <v>98</v>
      </c>
      <c r="X43" s="2045"/>
      <c r="Y43" s="3611"/>
      <c r="Z43" s="2049" t="str">
        <f t="shared" si="15"/>
        <v>内部装修</v>
      </c>
      <c r="AA43" s="2040">
        <f t="shared" si="3"/>
        <v>1</v>
      </c>
      <c r="AB43" s="2040">
        <f t="shared" si="4"/>
        <v>1.0204081632653061</v>
      </c>
      <c r="AC43" s="2040">
        <f t="shared" si="5"/>
        <v>1.0204081632653061</v>
      </c>
    </row>
    <row r="44" spans="1:29" ht="15">
      <c r="A44" s="1743"/>
      <c r="B44" s="1666" t="s">
        <v>2230</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2231</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617" t="str">
        <f>A48</f>
        <v>成交单价（元/平方米）</v>
      </c>
      <c r="Q48" s="3617"/>
      <c r="R48" s="3618">
        <f>E48</f>
        <v>30367</v>
      </c>
      <c r="S48" s="3618"/>
      <c r="T48" s="3618">
        <f>G48</f>
        <v>31746</v>
      </c>
      <c r="U48" s="3618"/>
      <c r="V48" s="3618">
        <f>I48</f>
        <v>28553</v>
      </c>
      <c r="W48" s="3618"/>
      <c r="X48" s="1762"/>
      <c r="Y48" s="2044"/>
      <c r="Z48" s="1762"/>
      <c r="AA48" s="1762"/>
      <c r="AB48" s="1762"/>
      <c r="AC48" s="1762"/>
    </row>
    <row r="49" spans="1:29" ht="15.75" thickBot="1">
      <c r="A49" s="1764" t="s">
        <v>2314</v>
      </c>
      <c r="B49" s="1765"/>
      <c r="C49" s="1766">
        <f>R50</f>
        <v>30632</v>
      </c>
      <c r="D49" s="1767" t="s">
        <v>2685</v>
      </c>
      <c r="E49" s="1768">
        <f>R49</f>
        <v>30367</v>
      </c>
      <c r="F49" s="1769"/>
      <c r="G49" s="1766">
        <f>T49</f>
        <v>32394</v>
      </c>
      <c r="H49" s="1769"/>
      <c r="I49" s="1768">
        <f>V49</f>
        <v>29136</v>
      </c>
      <c r="J49" s="1769"/>
      <c r="K49" s="2481">
        <f>F49+H49+J49</f>
        <v>0</v>
      </c>
      <c r="L49" s="2973"/>
      <c r="M49" s="2968"/>
      <c r="N49" s="2968"/>
      <c r="O49" s="2968"/>
      <c r="P49" s="3617" t="str">
        <f>A49</f>
        <v>比较价值（元/平方米）</v>
      </c>
      <c r="Q49" s="3617"/>
      <c r="R49" s="3618">
        <f>IF(E1="售价",ROUND(PRODUCT(R48,AA7:AA47),0),ROUND(PRODUCT(R48,AA7:AA47),1))</f>
        <v>30367</v>
      </c>
      <c r="S49" s="3618"/>
      <c r="T49" s="3618">
        <f>IF(E1="售价",ROUND(PRODUCT(T48,AB7:AB47),0),ROUND(PRODUCT(T48,AB7:AB47),1))</f>
        <v>32394</v>
      </c>
      <c r="U49" s="3618"/>
      <c r="V49" s="3618">
        <f>IF(E1="售价",ROUND(PRODUCT(V48,AC7:AC47),0),ROUND(PRODUCT(V48,AC7:AC47),1))</f>
        <v>29136</v>
      </c>
      <c r="W49" s="3618"/>
      <c r="X49" s="1762"/>
      <c r="Y49" s="1762"/>
      <c r="Z49" s="1762"/>
      <c r="AA49" s="1762"/>
      <c r="AB49" s="1762"/>
      <c r="AC49" s="1762"/>
    </row>
    <row r="50" spans="1:29" ht="15.75" thickBot="1">
      <c r="A50" s="1770" t="s">
        <v>2337</v>
      </c>
      <c r="B50" s="1771"/>
      <c r="C50" s="1773">
        <f>R50</f>
        <v>30632</v>
      </c>
      <c r="D50" s="1773"/>
      <c r="E50" s="1773"/>
      <c r="F50" s="1773"/>
      <c r="G50" s="1773"/>
      <c r="H50" s="1773"/>
      <c r="I50" s="1773"/>
      <c r="J50" s="1773"/>
      <c r="K50" s="1989"/>
      <c r="L50" s="2973"/>
      <c r="M50" s="2968"/>
      <c r="N50" s="2968"/>
      <c r="O50" s="2968"/>
      <c r="P50" s="3623" t="str">
        <f>A50</f>
        <v>估价对象XX用房的比较价值（楼面单价，元/平方米）</v>
      </c>
      <c r="Q50" s="3624"/>
      <c r="R50" s="3625">
        <f>IF(E1="售价",ROUND(IF(D49="简单平均",AVERAGE(R49:V49),R49*F49+T49*H49+V49*J49),0),ROUND(IF(D49="简单平均",AVERAGE(R49:V49),R49*F49+T49*H49+V49*J49),1))</f>
        <v>30632</v>
      </c>
      <c r="S50" s="3625"/>
      <c r="T50" s="3625"/>
      <c r="U50" s="3625"/>
      <c r="V50" s="3625"/>
      <c r="W50" s="3625"/>
      <c r="X50" s="1762"/>
      <c r="Y50" s="1762"/>
      <c r="Z50" s="1762"/>
      <c r="AA50" s="1762"/>
      <c r="AB50" s="1762"/>
      <c r="AC50" s="1762"/>
    </row>
    <row r="51" spans="1:29">
      <c r="G51" s="2977"/>
    </row>
    <row r="53" spans="1:29" ht="13.5" customHeight="1">
      <c r="C53" s="383" t="s">
        <v>2316</v>
      </c>
      <c r="D53" s="1778"/>
      <c r="E53" s="1779">
        <f>IF(E48&lt;E49,E49/E48-1,E48/E49-1)</f>
        <v>0</v>
      </c>
      <c r="F53" s="1780" t="str">
        <f>IF(OR(E53&gt;=0.3,E53&lt;=-0.3),"超过30%","")</f>
        <v/>
      </c>
      <c r="G53" s="1779">
        <f>IF(G48&lt;G49,G49/G48-1,G48/G49-1)</f>
        <v>2.0412020412020393E-2</v>
      </c>
      <c r="H53" s="1780" t="str">
        <f>IF(OR(G53&gt;=0.3,G53&lt;=-0.3),"超过30%","")</f>
        <v/>
      </c>
      <c r="I53" s="1779">
        <f>IF(I48&lt;I49,I49/I48-1,I48/I49-1)</f>
        <v>2.041816971946897E-2</v>
      </c>
      <c r="J53" s="1780" t="str">
        <f>IF(OR(I53&gt;=0.3,I53&lt;=-0.3),"超过30%","")</f>
        <v/>
      </c>
    </row>
    <row r="54" spans="1:29" ht="13.5" customHeight="1">
      <c r="C54" s="383" t="s">
        <v>2317</v>
      </c>
      <c r="D54" s="1781"/>
      <c r="E54" s="1779">
        <f>IF(E49&lt;G49,G49/E49-1,E49/G49-1)</f>
        <v>6.67500905588303E-2</v>
      </c>
      <c r="F54" s="1780" t="str">
        <f>IF(OR(E54&gt;=0.2,E54&lt;=-0.2),"超过20%","")</f>
        <v/>
      </c>
      <c r="G54" s="1779">
        <f>IF(G49&lt;I49,I49/G49-1,G49/I49-1)</f>
        <v>0.11182042833607908</v>
      </c>
      <c r="H54" s="1780" t="str">
        <f>IF(OR(G54&gt;=0.2,G54&lt;=-0.2),"超过20%","")</f>
        <v/>
      </c>
      <c r="I54" s="1779">
        <f>IF(I49&lt;E49,E49/I49-1,I49/E49-1)</f>
        <v>4.2250137287204836E-2</v>
      </c>
      <c r="J54" s="1780" t="str">
        <f>IF(OR(I54&gt;=0.2,I54&lt;=-0.2),"超过20%","")</f>
        <v/>
      </c>
    </row>
    <row r="55" spans="1:29" s="1784" customFormat="1" ht="13.5" customHeight="1">
      <c r="C55" s="383" t="s">
        <v>2318</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3029</v>
      </c>
      <c r="D89" s="3317" t="s">
        <v>3031</v>
      </c>
      <c r="E89" s="3317" t="s">
        <v>3032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2268</v>
      </c>
      <c r="C106" s="3317"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2270</v>
      </c>
      <c r="C108" s="3317"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3011</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3012</v>
      </c>
      <c r="D117" s="3317" t="s">
        <v>3013</v>
      </c>
      <c r="E117" s="3317" t="s">
        <v>3015</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8" t="s">
        <v>3027</v>
      </c>
      <c r="D119" s="3318" t="s">
        <v>3028</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3020</v>
      </c>
      <c r="D123" s="3317" t="s">
        <v>3022</v>
      </c>
      <c r="E123" s="3317" t="s">
        <v>3024</v>
      </c>
      <c r="F123" s="3318" t="s">
        <v>3025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589-EFAD-4FD5-AABD-35F175216D2E}">
  <dimension ref="A1:G7"/>
  <sheetViews>
    <sheetView workbookViewId="0">
      <selection activeCell="H19" sqref="H19"/>
    </sheetView>
  </sheetViews>
  <sheetFormatPr defaultRowHeight="13.5"/>
  <sheetData>
    <row r="1" spans="1:7">
      <c r="A1" s="1311" t="s">
        <v>2990</v>
      </c>
      <c r="B1" s="1311" t="s">
        <v>2991</v>
      </c>
      <c r="C1" s="1311" t="s">
        <v>2992</v>
      </c>
      <c r="D1" s="1311" t="s">
        <v>2993</v>
      </c>
    </row>
    <row r="2" spans="1:7">
      <c r="A2">
        <v>1</v>
      </c>
      <c r="B2">
        <v>61.25</v>
      </c>
      <c r="C2">
        <v>186</v>
      </c>
      <c r="D2">
        <f>ROUND(C2/B2*10000,0)</f>
        <v>30367</v>
      </c>
      <c r="E2" s="1311" t="s">
        <v>3005</v>
      </c>
      <c r="F2" s="1311" t="s">
        <v>2994</v>
      </c>
      <c r="G2" s="1311" t="s">
        <v>3038</v>
      </c>
    </row>
    <row r="3" spans="1:7">
      <c r="A3">
        <v>2</v>
      </c>
      <c r="B3">
        <v>63.04</v>
      </c>
      <c r="C3">
        <v>180</v>
      </c>
      <c r="D3">
        <f t="shared" ref="D3:D4" si="0">ROUND(C3/B3*10000,0)</f>
        <v>28553</v>
      </c>
      <c r="E3" s="1311" t="s">
        <v>2995</v>
      </c>
      <c r="F3" s="1311" t="s">
        <v>2994</v>
      </c>
      <c r="G3" s="1311" t="s">
        <v>3006</v>
      </c>
    </row>
    <row r="4" spans="1:7">
      <c r="A4">
        <v>3</v>
      </c>
      <c r="B4">
        <v>63</v>
      </c>
      <c r="C4">
        <v>200</v>
      </c>
      <c r="D4">
        <f t="shared" si="0"/>
        <v>31746</v>
      </c>
      <c r="E4" s="1311" t="s">
        <v>3007</v>
      </c>
      <c r="F4" s="1311" t="s">
        <v>2994</v>
      </c>
      <c r="G4" s="1311" t="s">
        <v>3006</v>
      </c>
    </row>
    <row r="5" spans="1:7">
      <c r="A5">
        <v>4</v>
      </c>
      <c r="B5">
        <v>67.260000000000005</v>
      </c>
      <c r="C5">
        <v>208</v>
      </c>
      <c r="D5">
        <f>ROUND(C5/B5*10000,0)</f>
        <v>30925</v>
      </c>
      <c r="E5" s="1311" t="s">
        <v>3005</v>
      </c>
      <c r="F5" s="1311" t="s">
        <v>3008</v>
      </c>
      <c r="G5" s="1311" t="s">
        <v>3006</v>
      </c>
    </row>
    <row r="6" spans="1:7">
      <c r="D6">
        <f>ROUND(SUM(D2:D5)/4,0)</f>
        <v>30398</v>
      </c>
    </row>
    <row r="7" spans="1:7">
      <c r="A7" s="1311" t="s">
        <v>2996</v>
      </c>
      <c r="B7" s="1311" t="s">
        <v>2997</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8" zoomScale="80" zoomScaleNormal="60" zoomScaleSheetLayoutView="8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164</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22942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82230</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82127</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71.430000000000007</v>
      </c>
      <c r="G7" s="951"/>
      <c r="H7" s="237"/>
      <c r="I7" s="238"/>
      <c r="J7" s="239"/>
      <c r="K7" s="240"/>
      <c r="L7" s="235" t="s">
        <v>1959</v>
      </c>
      <c r="M7" s="236">
        <f>IF('数据-取费表'!B42="",IF(D1="仅计算典型户型",'数据-取费表'!E5,'数据-取费表'!B5),'数据-取费表'!B42)</f>
        <v>71.430000000000007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103</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297661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250005</v>
      </c>
      <c r="D14" s="1298" t="s">
        <v>1977</v>
      </c>
      <c r="E14" s="1299"/>
      <c r="F14" s="799"/>
      <c r="G14" s="952"/>
      <c r="H14" s="253" t="s">
        <v>1956</v>
      </c>
      <c r="I14" s="235" t="s">
        <v>1978</v>
      </c>
      <c r="J14" s="13">
        <f ca="1">C29</f>
        <v>363001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7500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5445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14286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3750</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275541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5511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5445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11804</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-5445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42158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363001</v>
      </c>
      <c r="D29" s="1076"/>
      <c r="E29" s="1074"/>
      <c r="F29" s="1077"/>
      <c r="G29" s="652"/>
      <c r="H29" s="271" t="s">
        <v>24</v>
      </c>
      <c r="I29" s="272" t="s">
        <v>2051</v>
      </c>
      <c r="J29" s="273">
        <f ca="1">ROUND(J26/(1+F40)^F41,0)</f>
        <v>0</v>
      </c>
      <c r="K29" s="274" t="s">
        <v>2052</v>
      </c>
      <c r="L29" s="275"/>
      <c r="M29" s="276">
        <f>IF(D1="仅计算典型户型",'数据-取费表'!E5,'数据-取费表'!B5)</f>
        <v>71.430000000000007</v>
      </c>
    </row>
    <row r="30" spans="1:37" ht="18" customHeight="1" thickTop="1">
      <c r="A30" s="1063" t="s">
        <v>14</v>
      </c>
      <c r="B30" s="1064" t="s">
        <v>2053</v>
      </c>
      <c r="C30" s="243">
        <f ca="1">ROUND(C31+C36+C37+C38,0)</f>
        <v>13011</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5475</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5445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446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1645</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69219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1628716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37</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22802</v>
      </c>
      <c r="D43" s="274" t="s">
        <v>2074</v>
      </c>
      <c r="E43" s="275" t="s">
        <v>2075</v>
      </c>
      <c r="F43" s="276">
        <f>IF(D1="仅计算典型户型",'数据-取费表'!E5,'数据-取费表'!B5)</f>
        <v>71.430000000000007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1628716</v>
      </c>
      <c r="R45" s="1050" t="s">
        <v>2082</v>
      </c>
    </row>
    <row r="46" spans="1:18" s="652" customFormat="1" ht="18" customHeight="1" thickBot="1">
      <c r="A46" s="649"/>
      <c r="D46" s="649"/>
      <c r="E46" s="649"/>
      <c r="F46" s="649"/>
      <c r="K46" s="653"/>
      <c r="O46" s="1047" t="s">
        <v>950</v>
      </c>
      <c r="P46" s="1048" t="s">
        <v>2083</v>
      </c>
      <c r="Q46" s="1049">
        <f ca="1">J61</f>
        <v>9997</v>
      </c>
      <c r="R46" s="1050" t="s">
        <v>2084</v>
      </c>
    </row>
    <row r="47" spans="1:18" s="652" customFormat="1" ht="21.75" thickBot="1">
      <c r="A47" s="1497" t="s">
        <v>2085</v>
      </c>
      <c r="C47" s="992">
        <f ca="1">IF(C2="元",C69-C40,ROUND((C69-C40)/10000,0))</f>
        <v>-172</v>
      </c>
      <c r="D47" s="1498" t="str">
        <f>C2</f>
        <v>万元</v>
      </c>
      <c r="E47" s="649"/>
      <c r="F47" s="649"/>
      <c r="I47" s="1499" t="s">
        <v>2086</v>
      </c>
      <c r="J47" s="1023"/>
      <c r="K47" s="1024"/>
      <c r="L47" s="1037">
        <f ca="1">IF(M48="住宅",0,IF(L49&gt;J52,L61,J61))</f>
        <v>9997</v>
      </c>
      <c r="O47" s="1051" t="s">
        <v>951</v>
      </c>
      <c r="P47" s="1048" t="s">
        <v>2087</v>
      </c>
      <c r="Q47" s="1049">
        <f ca="1">C29</f>
        <v>363001</v>
      </c>
      <c r="R47" s="1050" t="s">
        <v>2082</v>
      </c>
    </row>
    <row r="48" spans="1:18" s="652" customFormat="1" ht="15.75" thickBot="1">
      <c r="A48" s="228" t="s">
        <v>2088</v>
      </c>
      <c r="B48" s="229" t="s">
        <v>2089</v>
      </c>
      <c r="C48" s="229" t="s">
        <v>2090</v>
      </c>
      <c r="D48" s="229" t="s">
        <v>2091</v>
      </c>
      <c r="E48" s="986" t="s">
        <v>2092</v>
      </c>
      <c r="F48" s="987"/>
      <c r="I48" s="1500" t="s">
        <v>2093</v>
      </c>
      <c r="J48" s="1501" t="s">
        <v>3003</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3004</v>
      </c>
      <c r="K49" s="1505" t="s">
        <v>2098</v>
      </c>
      <c r="L49" s="863">
        <f>'数据-取费表'!B13</f>
        <v>37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71.430000000000007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164</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29591688</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37</v>
      </c>
      <c r="K54" s="3629" t="s">
        <v>2643</v>
      </c>
      <c r="L54" s="3630"/>
      <c r="O54" s="1047" t="s">
        <v>949</v>
      </c>
      <c r="P54" s="1048" t="s">
        <v>2081</v>
      </c>
      <c r="Q54" s="1049">
        <f ca="1">C40+J29</f>
        <v>1628716</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297661</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363001</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5891</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145200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163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9997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1628716</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5445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29591688</v>
      </c>
      <c r="R65" s="1054" t="s">
        <v>2144</v>
      </c>
    </row>
    <row r="66" spans="1:18" s="652" customFormat="1" ht="20.25" thickBot="1">
      <c r="A66" s="253" t="s">
        <v>20</v>
      </c>
      <c r="B66" s="235" t="s">
        <v>2022</v>
      </c>
      <c r="C66" s="13">
        <f ca="1">ROUND(C57*F66,0)</f>
        <v>446</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69219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69219</v>
      </c>
      <c r="R67" s="1050" t="s">
        <v>2082</v>
      </c>
    </row>
    <row r="68" spans="1:18" ht="15.75" thickBot="1">
      <c r="A68" s="248" t="s">
        <v>22</v>
      </c>
      <c r="B68" s="41" t="s">
        <v>2032</v>
      </c>
      <c r="C68" s="250">
        <f ca="1">C49-C59</f>
        <v>-5891</v>
      </c>
      <c r="D68" s="1298" t="s">
        <v>2033</v>
      </c>
      <c r="E68" s="1300"/>
      <c r="F68" s="268"/>
      <c r="H68" s="652"/>
      <c r="I68" s="652"/>
      <c r="J68" s="652"/>
      <c r="K68" s="652"/>
      <c r="L68" s="652"/>
      <c r="M68" s="652"/>
      <c r="O68" s="1051" t="s">
        <v>958</v>
      </c>
      <c r="P68" s="1055" t="s">
        <v>2148</v>
      </c>
      <c r="Q68" s="1049">
        <f ca="1">C13</f>
        <v>297661</v>
      </c>
      <c r="R68" s="1050" t="s">
        <v>2082</v>
      </c>
    </row>
    <row r="69" spans="1:18" ht="15.75" thickBot="1">
      <c r="A69" s="232" t="s">
        <v>23</v>
      </c>
      <c r="B69" s="233" t="s">
        <v>2070</v>
      </c>
      <c r="C69" s="234">
        <f ca="1">ROUND(C68*(1-((1+F71)/(1+F69))^F70)/(F69-F71),0)</f>
        <v>-92336</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-1293</v>
      </c>
      <c r="D72" s="274" t="s">
        <v>2074</v>
      </c>
      <c r="E72" s="275" t="s">
        <v>2075</v>
      </c>
      <c r="F72" s="276">
        <f>F43</f>
        <v>71.430000000000007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71.430000000000007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2824</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4"/>
      <c r="Q18" s="1304"/>
      <c r="R18" s="631"/>
      <c r="S18" s="632"/>
      <c r="T18" s="631"/>
      <c r="U18" s="632"/>
      <c r="V18" s="631"/>
      <c r="W18" s="632"/>
      <c r="X18" s="1305"/>
      <c r="Y18" s="3664"/>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4"/>
      <c r="Q20" s="1304"/>
      <c r="R20" s="631"/>
      <c r="S20" s="632"/>
      <c r="T20" s="631"/>
      <c r="U20" s="632"/>
      <c r="V20" s="631"/>
      <c r="W20" s="632"/>
      <c r="X20" s="1305"/>
      <c r="Y20" s="3664"/>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4"/>
      <c r="Q22" s="1304"/>
      <c r="R22" s="631"/>
      <c r="S22" s="632"/>
      <c r="T22" s="631"/>
      <c r="U22" s="632"/>
      <c r="V22" s="631"/>
      <c r="W22" s="632"/>
      <c r="X22" s="1305"/>
      <c r="Y22" s="3664"/>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4"/>
      <c r="Q24" s="1304"/>
      <c r="R24" s="631"/>
      <c r="S24" s="632"/>
      <c r="T24" s="631"/>
      <c r="U24" s="632"/>
      <c r="V24" s="631"/>
      <c r="W24" s="632"/>
      <c r="X24" s="1305"/>
      <c r="Y24" s="366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6" t="s">
        <v>2219</v>
      </c>
      <c r="Q29" s="1304" t="str">
        <f t="shared" si="11"/>
        <v>建筑类型</v>
      </c>
      <c r="R29" s="631" t="s">
        <v>25</v>
      </c>
      <c r="S29" s="632">
        <f t="shared" si="12"/>
        <v>100</v>
      </c>
      <c r="T29" s="631" t="s">
        <v>25</v>
      </c>
      <c r="U29" s="632">
        <f t="shared" si="13"/>
        <v>100</v>
      </c>
      <c r="V29" s="631" t="s">
        <v>25</v>
      </c>
      <c r="W29" s="632">
        <f t="shared" si="14"/>
        <v>100</v>
      </c>
      <c r="X29" s="1305"/>
      <c r="Y29" s="366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7" t="s">
        <v>2219</v>
      </c>
      <c r="Q35" s="1304" t="str">
        <f t="shared" si="11"/>
        <v>市政基础设施</v>
      </c>
      <c r="R35" s="631" t="s">
        <v>25</v>
      </c>
      <c r="S35" s="632">
        <f t="shared" si="12"/>
        <v>100</v>
      </c>
      <c r="T35" s="631" t="s">
        <v>25</v>
      </c>
      <c r="U35" s="632">
        <f t="shared" si="13"/>
        <v>100</v>
      </c>
      <c r="V35" s="631" t="s">
        <v>25</v>
      </c>
      <c r="W35" s="632">
        <f t="shared" si="14"/>
        <v>100</v>
      </c>
      <c r="X35" s="1305"/>
      <c r="Y35" s="366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71.430000000000007</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7" t="s">
        <v>2219</v>
      </c>
      <c r="Q32" s="1304" t="str">
        <f t="shared" si="11"/>
        <v>车位类型</v>
      </c>
      <c r="R32" s="631" t="s">
        <v>25</v>
      </c>
      <c r="S32" s="632">
        <f t="shared" si="12"/>
        <v>100</v>
      </c>
      <c r="T32" s="631" t="s">
        <v>25</v>
      </c>
      <c r="U32" s="632">
        <f t="shared" si="13"/>
        <v>100</v>
      </c>
      <c r="V32" s="631" t="s">
        <v>25</v>
      </c>
      <c r="W32" s="632">
        <f t="shared" si="14"/>
        <v>100</v>
      </c>
      <c r="X32" s="1305"/>
      <c r="Y32" s="366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71.430000000000007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7" t="s">
        <v>2219</v>
      </c>
      <c r="Q32" s="1304">
        <f t="shared" si="11"/>
        <v>111</v>
      </c>
      <c r="R32" s="631" t="s">
        <v>25</v>
      </c>
      <c r="S32" s="632">
        <f t="shared" si="12"/>
        <v>100</v>
      </c>
      <c r="T32" s="631" t="s">
        <v>25</v>
      </c>
      <c r="U32" s="632">
        <f t="shared" si="13"/>
        <v>100</v>
      </c>
      <c r="V32" s="631" t="s">
        <v>25</v>
      </c>
      <c r="W32" s="632">
        <f t="shared" si="14"/>
        <v>100</v>
      </c>
      <c r="X32" s="1305"/>
      <c r="Y32" s="366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1636"/>
      <c r="Y4" s="3591" t="s">
        <v>2194</v>
      </c>
      <c r="Z4" s="3592"/>
      <c r="AA4" s="3578" t="s">
        <v>2190</v>
      </c>
      <c r="AB4" s="3579" t="s">
        <v>2191</v>
      </c>
      <c r="AC4" s="3578" t="s">
        <v>2192</v>
      </c>
    </row>
    <row r="5" spans="1:30" ht="15">
      <c r="A5" s="1638"/>
      <c r="B5" s="1639"/>
      <c r="C5" s="3600" t="s">
        <v>2195</v>
      </c>
      <c r="D5" s="3601"/>
      <c r="E5" s="3598" t="s">
        <v>2196</v>
      </c>
      <c r="F5" s="3599"/>
      <c r="G5" s="3600" t="s">
        <v>2197</v>
      </c>
      <c r="H5" s="3601"/>
      <c r="I5" s="3600" t="s">
        <v>2198</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2201</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2202</v>
      </c>
      <c r="Q7" s="3615"/>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617"/>
      <c r="Q10" s="1605" t="str">
        <f t="shared" si="6"/>
        <v>土地使用年限（年）</v>
      </c>
      <c r="R10" s="1651" t="s">
        <v>25</v>
      </c>
      <c r="S10" s="1652">
        <f t="shared" si="0"/>
        <v>109</v>
      </c>
      <c r="T10" s="1651" t="s">
        <v>25</v>
      </c>
      <c r="U10" s="1652">
        <f t="shared" si="1"/>
        <v>109</v>
      </c>
      <c r="V10" s="1651" t="s">
        <v>25</v>
      </c>
      <c r="W10" s="1652">
        <f t="shared" si="2"/>
        <v>109</v>
      </c>
      <c r="X10" s="1653"/>
      <c r="Y10" s="3483"/>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2213</v>
      </c>
      <c r="Q15" s="1586" t="str">
        <f t="shared" si="6"/>
        <v>居住社区成熟度</v>
      </c>
      <c r="R15" s="1696" t="s">
        <v>25</v>
      </c>
      <c r="S15" s="1697">
        <f t="shared" si="0"/>
        <v>100</v>
      </c>
      <c r="T15" s="1696" t="s">
        <v>25</v>
      </c>
      <c r="U15" s="1697">
        <f t="shared" si="1"/>
        <v>100</v>
      </c>
      <c r="V15" s="1696" t="s">
        <v>25</v>
      </c>
      <c r="W15" s="1697">
        <f t="shared" si="2"/>
        <v>100</v>
      </c>
      <c r="X15" s="1636"/>
      <c r="Y15" s="3606"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2219</v>
      </c>
      <c r="Q36" s="1586">
        <f t="shared" si="8"/>
        <v>111</v>
      </c>
      <c r="R36" s="1696" t="s">
        <v>25</v>
      </c>
      <c r="S36" s="1697">
        <f t="shared" si="10"/>
        <v>100</v>
      </c>
      <c r="T36" s="1696" t="s">
        <v>25</v>
      </c>
      <c r="U36" s="1697">
        <f t="shared" si="11"/>
        <v>100</v>
      </c>
      <c r="V36" s="1696" t="s">
        <v>25</v>
      </c>
      <c r="W36" s="1697">
        <f t="shared" si="12"/>
        <v>100</v>
      </c>
      <c r="X36" s="1636"/>
      <c r="Y36" s="3611"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2219</v>
      </c>
      <c r="Q42" s="1586" t="str">
        <f t="shared" si="14"/>
        <v>工程地质条件</v>
      </c>
      <c r="R42" s="1696" t="s">
        <v>25</v>
      </c>
      <c r="S42" s="1697">
        <f t="shared" si="10"/>
        <v>100</v>
      </c>
      <c r="T42" s="1696" t="s">
        <v>25</v>
      </c>
      <c r="U42" s="1697">
        <f t="shared" si="11"/>
        <v>100</v>
      </c>
      <c r="V42" s="1696" t="s">
        <v>25</v>
      </c>
      <c r="W42" s="1697">
        <f t="shared" si="12"/>
        <v>100</v>
      </c>
      <c r="X42" s="1636"/>
      <c r="Y42" s="3611"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617" t="str">
        <f>A47</f>
        <v>比较价值（元/平方米）</v>
      </c>
      <c r="Q47" s="3617"/>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23" t="str">
        <f>A48</f>
        <v>估价对象XX用房的比较价值（楼面单价，元/平方米）</v>
      </c>
      <c r="Q48" s="3624"/>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估价对象为北京市房地产，为所有。根据《房屋所有权证》[]，估价对象建筑面积为71.43平方米。根据《》[]，估价对象（分摊）出让国有建设用地使用权面积为平方米。估价对象用途为。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5"/>
      <c r="Q10" s="1297" t="str">
        <f t="shared" si="6"/>
        <v>土地使用年限（年）</v>
      </c>
      <c r="R10" s="627" t="s">
        <v>25</v>
      </c>
      <c r="S10" s="628">
        <f t="shared" si="0"/>
        <v>109</v>
      </c>
      <c r="T10" s="627" t="s">
        <v>25</v>
      </c>
      <c r="U10" s="628">
        <f t="shared" si="1"/>
        <v>109</v>
      </c>
      <c r="V10" s="627" t="s">
        <v>25</v>
      </c>
      <c r="W10" s="628">
        <f t="shared" si="2"/>
        <v>109</v>
      </c>
      <c r="X10" s="629"/>
      <c r="Y10" s="3665"/>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4"/>
      <c r="Q18" s="1304"/>
      <c r="R18" s="631"/>
      <c r="S18" s="632"/>
      <c r="T18" s="631"/>
      <c r="U18" s="632"/>
      <c r="V18" s="631"/>
      <c r="W18" s="632"/>
      <c r="X18" s="1305"/>
      <c r="Y18" s="3664"/>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4"/>
      <c r="Q20" s="1304"/>
      <c r="R20" s="631"/>
      <c r="S20" s="632"/>
      <c r="T20" s="631"/>
      <c r="U20" s="632"/>
      <c r="V20" s="631"/>
      <c r="W20" s="632"/>
      <c r="X20" s="1305"/>
      <c r="Y20" s="3664"/>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4"/>
      <c r="Q22" s="1304"/>
      <c r="R22" s="631"/>
      <c r="S22" s="632"/>
      <c r="T22" s="631"/>
      <c r="U22" s="632"/>
      <c r="V22" s="631"/>
      <c r="W22" s="632"/>
      <c r="X22" s="1305"/>
      <c r="Y22" s="3664"/>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4"/>
      <c r="Q24" s="1297"/>
      <c r="R24" s="627"/>
      <c r="S24" s="628"/>
      <c r="T24" s="627"/>
      <c r="U24" s="628"/>
      <c r="V24" s="627"/>
      <c r="W24" s="628"/>
      <c r="X24" s="629"/>
      <c r="Y24" s="3664"/>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4"/>
      <c r="Q26" s="1297"/>
      <c r="R26" s="627"/>
      <c r="S26" s="628"/>
      <c r="T26" s="627"/>
      <c r="U26" s="628"/>
      <c r="V26" s="627"/>
      <c r="W26" s="628"/>
      <c r="X26" s="629"/>
      <c r="Y26" s="366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4"/>
      <c r="Q29" s="1304"/>
      <c r="R29" s="631"/>
      <c r="S29" s="632"/>
      <c r="T29" s="631"/>
      <c r="U29" s="632"/>
      <c r="V29" s="631"/>
      <c r="W29" s="632"/>
      <c r="X29" s="1305"/>
      <c r="Y29" s="366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6" t="s">
        <v>2219</v>
      </c>
      <c r="Q32" s="1304">
        <f t="shared" si="8"/>
        <v>111</v>
      </c>
      <c r="R32" s="631" t="s">
        <v>25</v>
      </c>
      <c r="S32" s="632">
        <f t="shared" si="10"/>
        <v>100</v>
      </c>
      <c r="T32" s="631" t="s">
        <v>25</v>
      </c>
      <c r="U32" s="632">
        <f t="shared" si="11"/>
        <v>100</v>
      </c>
      <c r="V32" s="631" t="s">
        <v>25</v>
      </c>
      <c r="W32" s="632">
        <f t="shared" si="12"/>
        <v>100</v>
      </c>
      <c r="X32" s="1305"/>
      <c r="Y32" s="366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7" t="s">
        <v>2219</v>
      </c>
      <c r="Q37" s="1304" t="str">
        <f t="shared" si="14"/>
        <v>工程地质条件</v>
      </c>
      <c r="R37" s="631" t="s">
        <v>25</v>
      </c>
      <c r="S37" s="632">
        <f t="shared" si="10"/>
        <v>100</v>
      </c>
      <c r="T37" s="631" t="s">
        <v>25</v>
      </c>
      <c r="U37" s="632">
        <f t="shared" si="11"/>
        <v>100</v>
      </c>
      <c r="V37" s="631" t="s">
        <v>25</v>
      </c>
      <c r="W37" s="632">
        <f t="shared" si="12"/>
        <v>100</v>
      </c>
      <c r="X37" s="1305"/>
      <c r="Y37" s="366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71.430000000000007</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1356027</v>
      </c>
      <c r="C2" s="2078" t="s">
        <v>2448</v>
      </c>
      <c r="D2" s="1572" t="s">
        <v>2449</v>
      </c>
      <c r="E2" s="2079" t="s">
        <v>2828</v>
      </c>
      <c r="F2" s="1572" t="s">
        <v>2450</v>
      </c>
      <c r="G2" s="2080" t="str">
        <f>项目基本情况!F9</f>
        <v>六级</v>
      </c>
      <c r="H2" s="1573" t="s">
        <v>2451</v>
      </c>
      <c r="I2" s="2080" t="str">
        <f>项目基本情况!F10</f>
        <v>Ⅵ-19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18984</v>
      </c>
      <c r="C3" s="2078" t="s">
        <v>2454</v>
      </c>
      <c r="D3" s="1572" t="s">
        <v>2455</v>
      </c>
      <c r="E3" s="2079" t="s">
        <v>2830</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94"/>
      <c r="B4" s="3695"/>
      <c r="C4" s="3695"/>
      <c r="D4" s="3696"/>
      <c r="E4" s="3696"/>
      <c r="F4" s="3696"/>
      <c r="G4" s="3696"/>
      <c r="H4" s="3696"/>
      <c r="I4" s="3696"/>
      <c r="J4" s="3697"/>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12751</v>
      </c>
      <c r="D5" s="2089">
        <f>ROUND(C6+C16,0)</f>
        <v>9660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9660</v>
      </c>
      <c r="D6" s="2098" t="s">
        <v>2465</v>
      </c>
      <c r="E6" s="1576"/>
      <c r="F6" s="1576"/>
      <c r="G6" s="2099"/>
      <c r="H6" s="2099"/>
      <c r="I6" s="2099"/>
      <c r="J6" s="2100"/>
      <c r="K6" s="3021"/>
      <c r="L6" s="2082" t="s">
        <v>2466</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698"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699"/>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2" t="s">
        <v>2475</v>
      </c>
      <c r="X8" s="3693"/>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9"/>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3"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9"/>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9"/>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3"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98">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3"/>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0"/>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3"/>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0"/>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1"/>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7">
        <f>IF(E2="办公",2,IF(E2="工业",2,IF(E2="住宅",3,IF(E2="商业",IF(C8="不临58条商业街",2,3)))))</f>
        <v>3</v>
      </c>
      <c r="B16" s="1601" t="s">
        <v>2521</v>
      </c>
      <c r="C16" s="1577">
        <f>ROUND(IF(F17="与级别开发程度一致",0,(G17-E17)/C17),0)</f>
        <v>0</v>
      </c>
      <c r="D16" s="3690" t="s">
        <v>2525</v>
      </c>
      <c r="E16" s="3691"/>
      <c r="F16" s="3690" t="s">
        <v>2522</v>
      </c>
      <c r="G16" s="369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8"/>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44610</v>
      </c>
      <c r="H19" s="2163" t="s">
        <v>2665</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0.86399999999999999</v>
      </c>
      <c r="D20" s="2172" t="s">
        <v>2537</v>
      </c>
      <c r="E20" s="3125">
        <f>存贷款利率!E20/100</f>
        <v>4.3499999999999997E-2</v>
      </c>
      <c r="F20" s="2172" t="s">
        <v>2526</v>
      </c>
      <c r="G20" s="3126">
        <f>SUMIF(M26:P26,E2,M28:P28)</f>
        <v>0.05</v>
      </c>
      <c r="H20" s="2172" t="s">
        <v>2538</v>
      </c>
      <c r="I20" s="2173">
        <f>'数据-取费表'!B13</f>
        <v>37</v>
      </c>
      <c r="J20" s="2174">
        <f>IF(E2="住宅",70,IF(E2="商业",40,50))</f>
        <v>70</v>
      </c>
      <c r="K20" s="3022"/>
      <c r="L20" s="2175" t="s">
        <v>2539</v>
      </c>
      <c r="M20" s="2176">
        <f>ROUND(SUMPRODUCT((地价!A4:A37=YEAR(G19)&amp;"-"&amp;ROUNDUP(MONTH(G19)/3,0))*(地价!B2:F2=E2)*(地价!B4:F37)),0)</f>
        <v>729</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1356027</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18984</v>
      </c>
      <c r="D29" s="2214">
        <f>项目基本情况!C12</f>
        <v>71.430000000000007</v>
      </c>
      <c r="E29" s="2001">
        <f>ROUND(C29*D29,0)</f>
        <v>1356027</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4746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7" t="s">
        <v>2571</v>
      </c>
      <c r="B33" s="2227" t="s">
        <v>2572</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8"/>
      <c r="B34" s="2132" t="s">
        <v>2573</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8"/>
      <c r="B35" s="2132" t="s">
        <v>2574</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9"/>
      <c r="B36" s="2132" t="s">
        <v>2575</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9" t="s">
        <v>2620</v>
      </c>
      <c r="B90" s="3679"/>
      <c r="C90" s="3679"/>
      <c r="D90" s="3679"/>
      <c r="E90" s="3679"/>
      <c r="F90" s="3679"/>
      <c r="G90" s="3679"/>
      <c r="H90" s="3679"/>
      <c r="I90" s="3679"/>
      <c r="J90" s="3679"/>
      <c r="K90" s="2276"/>
      <c r="L90" s="2276"/>
      <c r="M90" s="2276"/>
      <c r="N90" s="2276"/>
      <c r="Q90" s="3028"/>
      <c r="R90" s="3028"/>
      <c r="S90" s="3028"/>
      <c r="T90" s="3028"/>
      <c r="U90" s="3028"/>
      <c r="V90" s="3028"/>
      <c r="W90" s="3028"/>
    </row>
    <row r="91" spans="1:33">
      <c r="A91" s="3681" t="s">
        <v>2621</v>
      </c>
      <c r="B91" s="3681"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1"/>
      <c r="B92" s="368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2"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3"/>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2"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8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3"/>
      <c r="B108" s="3685"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4"/>
      <c r="B109" s="368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0" t="s">
        <v>2628</v>
      </c>
      <c r="B110" s="3680"/>
      <c r="C110" s="3680"/>
      <c r="D110" s="3680"/>
      <c r="E110" s="3680"/>
      <c r="F110" s="3680"/>
      <c r="G110" s="3680"/>
      <c r="H110" s="3680"/>
      <c r="I110" s="3680"/>
      <c r="J110" s="3680"/>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0.8548</v>
      </c>
      <c r="E113" s="1572" t="s">
        <v>2516</v>
      </c>
      <c r="F113" s="2289" t="str">
        <f>E2</f>
        <v>住宅</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2826</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2825</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8">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8"/>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8"/>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8"/>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8"/>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8"/>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8"/>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9"/>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7">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8"/>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8"/>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9"/>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7">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8"/>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8"/>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9"/>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7">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8"/>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8"/>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9"/>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7">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8">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8">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9">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7">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8">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8">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9">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7">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8">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8">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9">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7">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8">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8">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9">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7">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8">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8">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9">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7">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8">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8">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9">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7">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8">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8">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9">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7">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8">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8">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9">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7">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8">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8">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9">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7">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8">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8">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9">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2827</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71.430000000000007</v>
      </c>
      <c r="D6" s="3327"/>
      <c r="E6" s="1329"/>
    </row>
    <row r="7" spans="1:5" ht="14.25">
      <c r="A7" s="1329"/>
      <c r="B7" s="3321" t="s">
        <v>776</v>
      </c>
      <c r="C7" s="1335" t="str">
        <f>IF('数据-取费表'!B3="万元","总价（万元）","总价（元）")</f>
        <v>总价（万元）</v>
      </c>
      <c r="D7" s="1336">
        <f ca="1">IF('数据-取费表'!E3="否",结果表!I102,'结果表 (1修多)'!I104)</f>
        <v>208</v>
      </c>
      <c r="E7" s="1329"/>
    </row>
    <row r="8" spans="1:5" ht="14.25">
      <c r="A8" s="1329"/>
      <c r="B8" s="3321"/>
      <c r="C8" s="1337" t="s">
        <v>1106</v>
      </c>
      <c r="D8" s="1338" t="str">
        <f ca="1">IF('数据-取费表'!B3="万元",NUMBERSTRING(INT(D7*10000),2)&amp;"元整",NUMBERSTRING(INT(D7),2)&amp;"元整")</f>
        <v>贰佰零捌万元整</v>
      </c>
      <c r="E8" s="1329"/>
    </row>
    <row r="9" spans="1:5" ht="14.25">
      <c r="A9" s="1329"/>
      <c r="B9" s="3321"/>
      <c r="C9" s="1339" t="s">
        <v>1202</v>
      </c>
      <c r="D9" s="1336">
        <f ca="1">IF('数据-取费表'!E3="否",结果表!I103,'结果表 (1修多)'!I105)</f>
        <v>29119</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 ca="1">IF('数据-取费表'!E3="否",结果表!I110,'结果表 (1修多)'!I112)</f>
        <v>208</v>
      </c>
      <c r="E15" s="1329"/>
    </row>
    <row r="16" spans="1:5" ht="14.25">
      <c r="A16" s="1329"/>
      <c r="B16" s="3328"/>
      <c r="C16" s="1337" t="s">
        <v>1106</v>
      </c>
      <c r="D16" s="1336" t="str">
        <f ca="1">IF('数据-取费表'!B3="万元",NUMBERSTRING(INT(D15*10000),2)&amp;"元整",NUMBERSTRING(INT(D15),2)&amp;"元整")</f>
        <v>贰佰零捌万元整</v>
      </c>
      <c r="E16" s="1329"/>
    </row>
    <row r="17" spans="1:5" ht="14.25">
      <c r="A17" s="1329"/>
      <c r="B17" s="3328"/>
      <c r="C17" s="1339" t="s">
        <v>1202</v>
      </c>
      <c r="D17" s="1336">
        <f ca="1">IF('数据-取费表'!E3="否",结果表!I111,'结果表 (1修多)'!I113)</f>
        <v>29119</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v>
      </c>
      <c r="C21" s="1335" t="str">
        <f>C7</f>
        <v>总价（万元）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208</v>
      </c>
      <c r="E28" s="1329"/>
    </row>
    <row r="29" spans="1:5" ht="14.25">
      <c r="A29" s="1329"/>
      <c r="B29" s="3330"/>
      <c r="C29" s="1348" t="s">
        <v>1106</v>
      </c>
      <c r="D29" s="1349" t="str">
        <f ca="1">IF('数据-取费表'!B3="万元",NUMBERSTRING(INT(D28*10000),2)&amp;"元整",NUMBERSTRING(INT(D28),2)&amp;"元整")</f>
        <v>贰佰零捌万元整</v>
      </c>
      <c r="E29" s="1329"/>
    </row>
    <row r="30" spans="1:5" ht="14.25">
      <c r="A30" s="1329"/>
      <c r="B30" s="3331"/>
      <c r="C30" s="1339" t="s">
        <v>1109</v>
      </c>
      <c r="D30" s="1350">
        <f ca="1">IF('数据-取费表'!E3="否",结果表!I103,'结果表 (1修多)'!I105)</f>
        <v>29119</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208</v>
      </c>
      <c r="E36" s="1329"/>
    </row>
    <row r="37" spans="1:5" ht="14.25">
      <c r="A37" s="1329"/>
      <c r="B37" s="3332"/>
      <c r="C37" s="1348" t="s">
        <v>1106</v>
      </c>
      <c r="D37" s="1353" t="str">
        <f ca="1">IF('数据-取费表'!B3="万元",NUMBERSTRING(INT(D36*10000),2)&amp;"元整",NUMBERSTRING(INT(D36),2)&amp;"元整")</f>
        <v>贰佰零捌万元整</v>
      </c>
      <c r="E37" s="1329"/>
    </row>
    <row r="38" spans="1:5" ht="14.25">
      <c r="A38" s="1329"/>
      <c r="B38" s="3332"/>
      <c r="C38" s="1339" t="s">
        <v>1110</v>
      </c>
      <c r="D38" s="1350">
        <f ca="1">IF('数据-取费表'!E3="否",结果表!D113,'结果表 (1修多)'!D117)</f>
        <v>29119</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71.430000000000007</v>
      </c>
      <c r="C4" s="818">
        <f>结果表!C121</f>
        <v>0</v>
      </c>
      <c r="D4" s="818">
        <f ca="1">IF('数据-取费表'!E3="否",结果表!D121,'结果表 (1修多)'!D125)</f>
        <v>208</v>
      </c>
      <c r="E4" s="818">
        <f ca="1">IF('数据-取费表'!E3="否",结果表!E121,'结果表 (1修多)'!E125)</f>
        <v>29119</v>
      </c>
      <c r="F4" s="818">
        <f ca="1">IF('数据-取费表'!E3="否",结果表!F121,'结果表 (1修多)'!F125)</f>
        <v>0</v>
      </c>
      <c r="G4" s="818">
        <f ca="1">IF('数据-取费表'!E3="否",结果表!G121,'结果表 (1修多)'!G125)</f>
        <v>0</v>
      </c>
      <c r="H4" s="818">
        <f ca="1">IF('数据-取费表'!E3="否",结果表!H121,'结果表 (1修多)'!H125)</f>
        <v>208</v>
      </c>
      <c r="I4" s="818">
        <f ca="1">IF('数据-取费表'!E3="否",结果表!I121,'结果表 (1修多)'!I125)</f>
        <v>29119</v>
      </c>
    </row>
    <row r="5" spans="1:9" ht="15">
      <c r="A5" s="3346" t="s">
        <v>1212</v>
      </c>
      <c r="B5" s="3346"/>
      <c r="C5" s="3346"/>
      <c r="D5" s="3344" t="str">
        <f ca="1">IF('数据-取费表'!E3="否",结果表!D122,'结果表 (1修多)'!D126)</f>
        <v>贰佰零捌万元整</v>
      </c>
      <c r="E5" s="3344"/>
      <c r="F5" s="3344" t="str">
        <f ca="1">IF('数据-取费表'!E3="否",结果表!F122,'结果表 (1修多)'!F126)</f>
        <v>零元整</v>
      </c>
      <c r="G5" s="3344"/>
      <c r="H5" s="3344" t="str">
        <f ca="1">IF('数据-取费表'!E3="否",结果表!H122,'结果表 (1修多)'!H126)</f>
        <v>贰佰零捌万元整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208</v>
      </c>
      <c r="E8" s="3345"/>
      <c r="F8" s="3345"/>
      <c r="G8" s="3345"/>
      <c r="H8" s="3345"/>
      <c r="I8" s="3345"/>
    </row>
    <row r="9" spans="1:9" ht="15">
      <c r="A9" s="3346" t="s">
        <v>1212</v>
      </c>
      <c r="B9" s="3346"/>
      <c r="C9" s="3346"/>
      <c r="D9" s="3344">
        <f ca="1">IF('数据-取费表'!E3="否",结果表!D126,'结果表 (1修多)'!D130)</f>
        <v>29119</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2678</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1227</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2679</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2022-02-21T08:06:07Z</dcterms:modified>
</cp:coreProperties>
</file>