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6" i="43" l="1"/>
  <c r="Q6" i="43"/>
  <c r="G2" i="77"/>
  <c r="B29" i="1"/>
  <c r="B2" i="49"/>
  <c r="B11" i="49" s="1"/>
  <c r="E4" i="4" s="1"/>
  <c r="B5" i="62" s="1"/>
  <c r="B73" i="72" s="1"/>
  <c r="D3" i="4"/>
  <c r="C1" i="73"/>
  <c r="J1" i="73"/>
  <c r="J20" i="43"/>
  <c r="E15" i="4"/>
  <c r="F6" i="1"/>
  <c r="I20" i="43"/>
  <c r="K48" i="43"/>
  <c r="D48" i="43"/>
  <c r="K49" i="43"/>
  <c r="D49" i="43"/>
  <c r="K50" i="43"/>
  <c r="D50" i="43"/>
  <c r="K51" i="43"/>
  <c r="D51" i="43"/>
  <c r="K52" i="43"/>
  <c r="D52" i="43"/>
  <c r="K53" i="43"/>
  <c r="D53" i="43"/>
  <c r="K54" i="43"/>
  <c r="D54" i="43"/>
  <c r="K55" i="43"/>
  <c r="J55" i="43"/>
  <c r="D55" i="43"/>
  <c r="K56" i="43"/>
  <c r="D56" i="43"/>
  <c r="E48" i="43"/>
  <c r="B46" i="43"/>
  <c r="C24" i="43"/>
  <c r="G3" i="43"/>
  <c r="G2" i="43"/>
  <c r="S2" i="43"/>
  <c r="I2" i="43"/>
  <c r="M4" i="43"/>
  <c r="C6" i="43"/>
  <c r="C7"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U2" i="43"/>
  <c r="S3" i="43"/>
  <c r="G3" i="77"/>
  <c r="U3" i="43"/>
  <c r="S4" i="43"/>
  <c r="G4" i="77"/>
  <c r="U4" i="43"/>
  <c r="S5" i="43"/>
  <c r="G5" i="77"/>
  <c r="U5" i="43"/>
  <c r="F7" i="68"/>
  <c r="A6" i="1"/>
  <c r="G1" i="68"/>
  <c r="E9" i="68"/>
  <c r="I5" i="3"/>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10" i="68"/>
  <c r="C19" i="68"/>
  <c r="F20" i="68"/>
  <c r="B22" i="1"/>
  <c r="E1" i="73"/>
  <c r="K1" i="73"/>
  <c r="B23" i="1"/>
  <c r="F21" i="68"/>
  <c r="C21" i="68"/>
  <c r="B43" i="1"/>
  <c r="B41" i="1"/>
  <c r="F30" i="68"/>
  <c r="C42" i="1"/>
  <c r="C30" i="68"/>
  <c r="B24" i="1"/>
  <c r="F34" i="68"/>
  <c r="M6" i="1"/>
  <c r="T6" i="1"/>
  <c r="F35" i="68"/>
  <c r="E37" i="68"/>
  <c r="F38" i="68"/>
  <c r="C40" i="68"/>
  <c r="C48" i="68"/>
  <c r="A7" i="1"/>
  <c r="K7" i="1"/>
  <c r="M7" i="1"/>
  <c r="A8" i="1"/>
  <c r="K8" i="1"/>
  <c r="M8" i="1"/>
  <c r="A9" i="1"/>
  <c r="K9" i="1"/>
  <c r="M9" i="1"/>
  <c r="A10" i="1"/>
  <c r="K10" i="1"/>
  <c r="M10" i="1"/>
  <c r="A11" i="1"/>
  <c r="K11" i="1"/>
  <c r="M11" i="1"/>
  <c r="A12" i="1"/>
  <c r="K12" i="1"/>
  <c r="M12" i="1"/>
  <c r="A13" i="1"/>
  <c r="K13" i="1"/>
  <c r="M13" i="1"/>
  <c r="K14" i="1"/>
  <c r="M14" i="1"/>
  <c r="N6" i="1"/>
  <c r="M16" i="1"/>
  <c r="N16" i="1"/>
  <c r="F50" i="68"/>
  <c r="G1" i="15"/>
  <c r="L1" i="73"/>
  <c r="F32"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R6" i="1"/>
  <c r="B52" i="1"/>
  <c r="F34" i="15"/>
  <c r="F15" i="15"/>
  <c r="F17" i="15"/>
  <c r="F18" i="15"/>
  <c r="F20" i="15"/>
  <c r="F23" i="15"/>
  <c r="F21" i="15"/>
  <c r="F28" i="15"/>
  <c r="C28" i="15"/>
  <c r="Y6" i="1"/>
  <c r="M47" i="15"/>
  <c r="J50" i="15"/>
  <c r="J51" i="15"/>
  <c r="C17" i="9"/>
  <c r="D17" i="9"/>
  <c r="C18" i="9" s="1"/>
  <c r="D18" i="9" s="1"/>
  <c r="C24" i="9"/>
  <c r="M18" i="9"/>
  <c r="B118" i="9"/>
  <c r="F2" i="52"/>
  <c r="D2" i="52"/>
  <c r="E107" i="9"/>
  <c r="H105" i="9"/>
  <c r="H106" i="9"/>
  <c r="H103" i="9"/>
  <c r="K34" i="4"/>
  <c r="T34" i="4"/>
  <c r="R35" i="4"/>
  <c r="T35" i="4"/>
  <c r="A19" i="51"/>
  <c r="C18" i="4"/>
  <c r="S2" i="4"/>
  <c r="C17" i="4"/>
  <c r="A10" i="51"/>
  <c r="A7" i="51"/>
  <c r="I19" i="43"/>
  <c r="D5" i="43"/>
  <c r="F33" i="43"/>
  <c r="F34" i="43"/>
  <c r="F35" i="43"/>
  <c r="F36" i="43"/>
  <c r="F37" i="43"/>
  <c r="F38" i="43"/>
  <c r="F39" i="43"/>
  <c r="D29" i="43"/>
  <c r="BM5" i="3"/>
  <c r="BO5" i="3"/>
  <c r="F29" i="6"/>
  <c r="BN5" i="3"/>
  <c r="BP5" i="3"/>
  <c r="G29" i="6"/>
  <c r="E29" i="6"/>
  <c r="K15" i="1"/>
  <c r="K16" i="1"/>
  <c r="D62"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47" i="67"/>
  <c r="J53" i="67"/>
  <c r="AD5" i="3"/>
  <c r="AH5" i="3"/>
  <c r="AL5" i="3"/>
  <c r="AP5" i="3"/>
  <c r="I4" i="6"/>
  <c r="H33" i="43"/>
  <c r="H34" i="43"/>
  <c r="H35" i="43"/>
  <c r="H36" i="43"/>
  <c r="H37" i="43"/>
  <c r="H38" i="43"/>
  <c r="H39"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9" i="43"/>
  <c r="C10" i="43"/>
  <c r="C11" i="43"/>
  <c r="D1" i="43"/>
  <c r="C100" i="43"/>
  <c r="AH6" i="71"/>
  <c r="AG6" i="71"/>
  <c r="AE6" i="71"/>
  <c r="AF6" i="71"/>
  <c r="AD6" i="71"/>
  <c r="L3" i="71"/>
  <c r="K3" i="71"/>
  <c r="I3" i="71"/>
  <c r="J3" i="71"/>
  <c r="M19" i="9"/>
  <c r="C118" i="9"/>
  <c r="C14" i="74"/>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Q35" i="4"/>
  <c r="P35" i="4"/>
  <c r="O35" i="4"/>
  <c r="N35" i="4"/>
  <c r="M35" i="4"/>
  <c r="L35" i="4"/>
  <c r="G13" i="1"/>
  <c r="G11" i="1"/>
  <c r="I15" i="4"/>
  <c r="H15" i="4"/>
  <c r="G15" i="4"/>
  <c r="D15" i="4"/>
  <c r="F7" i="1"/>
  <c r="G7" i="1"/>
  <c r="F19" i="4"/>
  <c r="B50" i="72"/>
  <c r="B46" i="72"/>
  <c r="B8" i="53"/>
  <c r="B23" i="72"/>
  <c r="L4" i="9"/>
  <c r="B17" i="72"/>
  <c r="B15" i="72"/>
  <c r="A3" i="51"/>
  <c r="C8" i="11"/>
  <c r="B23" i="49"/>
  <c r="B40" i="48"/>
  <c r="B3" i="72"/>
  <c r="N1" i="43"/>
  <c r="F35" i="4"/>
  <c r="J55" i="39"/>
  <c r="F15" i="43"/>
  <c r="E15" i="43"/>
  <c r="D15" i="43"/>
  <c r="C15"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AQ13" i="1"/>
  <c r="O6" i="1"/>
  <c r="P6" i="1"/>
  <c r="F30" i="11"/>
  <c r="C48" i="11"/>
  <c r="F28" i="67"/>
  <c r="C28" i="67"/>
  <c r="F31" i="12"/>
  <c r="F52" i="9"/>
  <c r="C31" i="12"/>
  <c r="M18" i="67"/>
  <c r="F32" i="67"/>
  <c r="F60" i="67"/>
  <c r="F30" i="69"/>
  <c r="C48" i="69"/>
  <c r="F60" i="15"/>
  <c r="M18" i="15"/>
  <c r="E63" i="39"/>
  <c r="T11" i="1"/>
  <c r="D9" i="69"/>
  <c r="C9" i="69" s="1"/>
  <c r="D19" i="12"/>
  <c r="C19" i="12" s="1"/>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102" i="43"/>
  <c r="H102" i="43"/>
  <c r="I102" i="43"/>
  <c r="L102" i="43"/>
  <c r="M102" i="43"/>
  <c r="E103" i="43"/>
  <c r="H103" i="43"/>
  <c r="I103" i="43"/>
  <c r="L103" i="43"/>
  <c r="M103" i="43"/>
  <c r="E104" i="43"/>
  <c r="H104" i="43"/>
  <c r="I104" i="43"/>
  <c r="L104" i="43"/>
  <c r="M104" i="43"/>
  <c r="E105" i="43"/>
  <c r="H105" i="43"/>
  <c r="I105" i="43"/>
  <c r="L105" i="43"/>
  <c r="M105" i="43"/>
  <c r="E106" i="43"/>
  <c r="H106" i="43"/>
  <c r="I106" i="43"/>
  <c r="L106" i="43"/>
  <c r="M106" i="43"/>
  <c r="E107" i="43"/>
  <c r="H107" i="43"/>
  <c r="I107" i="43"/>
  <c r="L107" i="43"/>
  <c r="M107" i="43"/>
  <c r="S6"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O7" i="1"/>
  <c r="Q16" i="1"/>
  <c r="F27" i="69"/>
  <c r="C29" i="69" s="1"/>
  <c r="D27" i="69" s="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D10" i="11"/>
  <c r="C10" i="11"/>
  <c r="D20" i="12"/>
  <c r="C20" i="12" s="1"/>
  <c r="D25" i="6"/>
  <c r="D26" i="6"/>
  <c r="D15" i="6"/>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B7" i="72"/>
  <c r="C4" i="52"/>
  <c r="B45" i="72"/>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F6" i="15"/>
  <c r="F4" i="73"/>
  <c r="F26" i="15"/>
  <c r="F40" i="15"/>
  <c r="D9" i="68"/>
  <c r="D5" i="73"/>
  <c r="F27" i="68"/>
  <c r="F8" i="15"/>
  <c r="F35" i="15"/>
  <c r="F43" i="15"/>
  <c r="F37" i="15"/>
  <c r="F42" i="15"/>
  <c r="M8" i="15"/>
  <c r="D35" i="9"/>
  <c r="E7" i="76"/>
  <c r="E11" i="76"/>
  <c r="B12" i="76"/>
  <c r="B9" i="76"/>
  <c r="D6" i="73"/>
  <c r="AO11" i="1"/>
  <c r="C76" i="67"/>
  <c r="M22" i="15"/>
  <c r="F13" i="67"/>
  <c r="L48" i="67"/>
  <c r="L47" i="15"/>
  <c r="L47" i="67"/>
  <c r="F40" i="67"/>
  <c r="M29" i="67"/>
  <c r="F42" i="67"/>
  <c r="E10" i="76"/>
  <c r="B8" i="76"/>
  <c r="B13" i="76"/>
  <c r="F7" i="73"/>
  <c r="F6" i="73"/>
  <c r="AO9" i="1"/>
  <c r="AO12" i="1"/>
  <c r="M24" i="67"/>
  <c r="F8" i="67"/>
  <c r="M28" i="15"/>
  <c r="M9" i="67"/>
  <c r="J15" i="67"/>
  <c r="M22" i="67"/>
  <c r="F36" i="67"/>
  <c r="F9" i="67"/>
  <c r="M23" i="67"/>
  <c r="M21" i="15"/>
  <c r="F41" i="67"/>
  <c r="E2" i="69"/>
  <c r="F20" i="31"/>
  <c r="D2" i="35"/>
  <c r="M27" i="67"/>
  <c r="E2" i="68"/>
  <c r="AO7" i="1"/>
  <c r="D2" i="34"/>
  <c r="D4" i="73"/>
  <c r="F7" i="15"/>
  <c r="C14" i="15"/>
  <c r="F36" i="15"/>
  <c r="M6" i="15"/>
  <c r="D10" i="68"/>
  <c r="G1" i="73"/>
  <c r="C36" i="68"/>
  <c r="F9" i="15"/>
  <c r="F16" i="15"/>
  <c r="F13" i="15"/>
  <c r="F38" i="15"/>
  <c r="L48" i="15"/>
  <c r="M9" i="15"/>
  <c r="C34" i="68"/>
  <c r="E9" i="76"/>
  <c r="E13" i="76"/>
  <c r="B10" i="76"/>
  <c r="D3" i="73"/>
  <c r="D7" i="73"/>
  <c r="AO10" i="1"/>
  <c r="F6" i="67"/>
  <c r="M26" i="67"/>
  <c r="F7" i="67"/>
  <c r="F43" i="67"/>
  <c r="F16" i="67"/>
  <c r="F38" i="67"/>
  <c r="M28" i="67"/>
  <c r="M8" i="67"/>
  <c r="E8" i="76"/>
  <c r="E12" i="76"/>
  <c r="B11" i="76"/>
  <c r="B7" i="76"/>
  <c r="F5" i="73"/>
  <c r="F3" i="73"/>
  <c r="AO13" i="1"/>
  <c r="M24" i="15"/>
  <c r="M23" i="15"/>
  <c r="F26" i="67"/>
  <c r="J15" i="15"/>
  <c r="M6" i="67"/>
  <c r="C76" i="15"/>
  <c r="F37" i="67"/>
  <c r="M26" i="15"/>
  <c r="M29" i="15"/>
  <c r="F35" i="67"/>
  <c r="M21" i="67"/>
  <c r="AO8" i="1"/>
  <c r="D2" i="36"/>
  <c r="D2" i="33"/>
  <c r="D34" i="9"/>
  <c r="D2" i="21"/>
  <c r="M27" i="15"/>
  <c r="D2" i="37"/>
  <c r="C10" i="69" l="1"/>
  <c r="C8" i="69" s="1"/>
  <c r="C5" i="69" s="1"/>
  <c r="R16" i="1"/>
  <c r="C15" i="12"/>
  <c r="C16" i="12" s="1"/>
  <c r="C19" i="69"/>
  <c r="D37" i="69"/>
  <c r="C37" i="69" s="1"/>
  <c r="B8" i="49"/>
  <c r="C4" i="4" s="1"/>
  <c r="B4" i="62" s="1"/>
  <c r="B71" i="72" s="1"/>
  <c r="B2" i="34"/>
  <c r="B3" i="34" s="1"/>
  <c r="B2" i="37"/>
  <c r="B3" i="37" s="1"/>
  <c r="B7" i="70"/>
  <c r="B2" i="21"/>
  <c r="B3" i="21" s="1"/>
  <c r="B2" i="35"/>
  <c r="B3" i="35" s="1"/>
  <c r="B2" i="33"/>
  <c r="B3" i="33" s="1"/>
  <c r="B20" i="31"/>
  <c r="B2" i="36"/>
  <c r="B3" i="36" s="1"/>
  <c r="B8" i="70"/>
  <c r="F69" i="67"/>
  <c r="J20" i="67"/>
  <c r="J20" i="15"/>
  <c r="F63" i="67"/>
  <c r="C62" i="67" s="1"/>
  <c r="C34" i="67"/>
  <c r="F64" i="67"/>
  <c r="F65" i="67"/>
  <c r="Q71" i="15"/>
  <c r="C27" i="67"/>
  <c r="F51" i="67"/>
  <c r="B12" i="70"/>
  <c r="B13" i="70"/>
  <c r="B9" i="70"/>
  <c r="F70" i="67"/>
  <c r="F68" i="67"/>
  <c r="F66" i="67"/>
  <c r="N59" i="67"/>
  <c r="M59" i="67"/>
  <c r="L58" i="67"/>
  <c r="L59" i="67"/>
  <c r="L58" i="15"/>
  <c r="M59" i="15"/>
  <c r="N59" i="15"/>
  <c r="L59" i="15"/>
  <c r="F71" i="67"/>
  <c r="I54" i="67"/>
  <c r="L56" i="67"/>
  <c r="J57" i="67"/>
  <c r="J55" i="67" s="1"/>
  <c r="J58" i="67" s="1"/>
  <c r="Q50" i="67" s="1"/>
  <c r="F50" i="67"/>
  <c r="M7" i="67"/>
  <c r="J6" i="67" s="1"/>
  <c r="C6" i="67"/>
  <c r="Q71" i="67"/>
  <c r="B10" i="70"/>
  <c r="B11" i="70"/>
  <c r="C35" i="68"/>
  <c r="C38" i="68"/>
  <c r="J57" i="15"/>
  <c r="J55" i="15" s="1"/>
  <c r="J58" i="15" s="1"/>
  <c r="Q50" i="15" s="1"/>
  <c r="J60" i="15"/>
  <c r="Q48" i="15" s="1"/>
  <c r="J53" i="15"/>
  <c r="J59" i="15"/>
  <c r="I54" i="15"/>
  <c r="L56" i="15"/>
  <c r="L57" i="15"/>
  <c r="L60" i="15"/>
  <c r="F66" i="15"/>
  <c r="F65" i="15"/>
  <c r="F71" i="15"/>
  <c r="C34" i="15"/>
  <c r="F63" i="15"/>
  <c r="C62" i="15" s="1"/>
  <c r="F51" i="15"/>
  <c r="C29" i="68"/>
  <c r="D27" i="68" s="1"/>
  <c r="C47" i="68"/>
  <c r="D45" i="68" s="1"/>
  <c r="B40" i="1"/>
  <c r="C10" i="68"/>
  <c r="D19" i="68"/>
  <c r="D37" i="68" s="1"/>
  <c r="C37" i="68" s="1"/>
  <c r="C9" i="68"/>
  <c r="C8" i="68" s="1"/>
  <c r="F68" i="15"/>
  <c r="F64" i="15"/>
  <c r="C27" i="15"/>
  <c r="C15" i="15"/>
  <c r="C18" i="15"/>
  <c r="I1" i="73"/>
  <c r="B39" i="1" s="1"/>
  <c r="M7" i="15"/>
  <c r="J6" i="15" s="1"/>
  <c r="F50" i="15"/>
  <c r="C6" i="15"/>
  <c r="E20" i="43"/>
  <c r="C20" i="69"/>
  <c r="C38" i="69"/>
  <c r="C33" i="69" s="1"/>
  <c r="C18" i="12"/>
  <c r="K4" i="4"/>
  <c r="B46" i="48" s="1"/>
  <c r="B4" i="72" s="1"/>
  <c r="C17" i="67"/>
  <c r="C16" i="15"/>
  <c r="C14" i="67"/>
  <c r="C17" i="15"/>
  <c r="C16" i="67"/>
  <c r="C21" i="12" l="1"/>
  <c r="C22" i="12" s="1"/>
  <c r="L46" i="15"/>
  <c r="C33" i="68"/>
  <c r="C39" i="68" s="1"/>
  <c r="C46" i="68" s="1"/>
  <c r="C45" i="68" s="1"/>
  <c r="C15" i="67"/>
  <c r="C18" i="67"/>
  <c r="C19" i="15"/>
  <c r="C28" i="69"/>
  <c r="C27" i="69" s="1"/>
  <c r="M17" i="43"/>
  <c r="G20" i="43" s="1"/>
  <c r="C20" i="43" s="1"/>
  <c r="O17" i="43"/>
  <c r="P17" i="43"/>
  <c r="N17" i="43"/>
  <c r="F11" i="15"/>
  <c r="C53" i="15" s="1"/>
  <c r="M11" i="15"/>
  <c r="J10" i="15" s="1"/>
  <c r="J5" i="15" s="1"/>
  <c r="F11" i="67"/>
  <c r="M11" i="67"/>
  <c r="J10" i="67" s="1"/>
  <c r="J5" i="67" s="1"/>
  <c r="C49" i="15"/>
  <c r="C48" i="15" s="1"/>
  <c r="Q57" i="15"/>
  <c r="Q66" i="15"/>
  <c r="Q74" i="15"/>
  <c r="Q61" i="15"/>
  <c r="Q74" i="67"/>
  <c r="Q61" i="67"/>
  <c r="C49" i="67"/>
  <c r="C39" i="69"/>
  <c r="F22" i="68"/>
  <c r="F24" i="15"/>
  <c r="C24" i="15" s="1"/>
  <c r="F25" i="12"/>
  <c r="C26" i="12" s="1"/>
  <c r="D25" i="12" s="1"/>
  <c r="F24" i="67"/>
  <c r="C24" i="67" s="1"/>
  <c r="F22" i="11"/>
  <c r="F22" i="69"/>
  <c r="C25" i="69" s="1"/>
  <c r="F1" i="15"/>
  <c r="Q52" i="15"/>
  <c r="Q73" i="15"/>
  <c r="Q60" i="15"/>
  <c r="Q60" i="67"/>
  <c r="Q73" i="67"/>
  <c r="AE6" i="1"/>
  <c r="C19" i="67" l="1"/>
  <c r="C20" i="67" s="1"/>
  <c r="C26" i="67" s="1"/>
  <c r="C27" i="12"/>
  <c r="C25" i="12" s="1"/>
  <c r="J26" i="15"/>
  <c r="J18" i="15"/>
  <c r="J24" i="15"/>
  <c r="C25" i="11"/>
  <c r="C26" i="11"/>
  <c r="D22" i="11" s="1"/>
  <c r="C24" i="11"/>
  <c r="C44" i="11"/>
  <c r="D41" i="11" s="1"/>
  <c r="C23" i="11"/>
  <c r="C22" i="11" s="1"/>
  <c r="C42" i="11"/>
  <c r="C43" i="11"/>
  <c r="C24" i="68"/>
  <c r="C44" i="68"/>
  <c r="D41" i="68" s="1"/>
  <c r="C26" i="68"/>
  <c r="D22" i="68" s="1"/>
  <c r="C10" i="15"/>
  <c r="C5" i="15" s="1"/>
  <c r="C42" i="69"/>
  <c r="C43" i="68"/>
  <c r="C20" i="15"/>
  <c r="C23" i="15" s="1"/>
  <c r="C30" i="12"/>
  <c r="C28" i="12" s="1"/>
  <c r="C32" i="12" s="1"/>
  <c r="B2" i="12" s="1"/>
  <c r="B3" i="12" s="1"/>
  <c r="C26" i="69"/>
  <c r="D22" i="69" s="1"/>
  <c r="C44" i="69"/>
  <c r="D41" i="69" s="1"/>
  <c r="C23" i="69"/>
  <c r="C24" i="69"/>
  <c r="C43" i="69"/>
  <c r="C46" i="69"/>
  <c r="C45" i="69" s="1"/>
  <c r="C66" i="15"/>
  <c r="C60" i="15"/>
  <c r="C53" i="67"/>
  <c r="C48" i="67" s="1"/>
  <c r="C10" i="67"/>
  <c r="C5" i="67" s="1"/>
  <c r="T2" i="43"/>
  <c r="V2" i="43" s="1"/>
  <c r="T3" i="43"/>
  <c r="V3" i="43" s="1"/>
  <c r="T5" i="43"/>
  <c r="V5" i="43" s="1"/>
  <c r="C34" i="43"/>
  <c r="T4" i="43"/>
  <c r="V4" i="43" s="1"/>
  <c r="C33" i="43"/>
  <c r="C35" i="43"/>
  <c r="C37" i="43"/>
  <c r="C39" i="43"/>
  <c r="C36" i="43"/>
  <c r="C38" i="43"/>
  <c r="T11" i="43"/>
  <c r="V11" i="43" s="1"/>
  <c r="T16" i="43"/>
  <c r="V16" i="43" s="1"/>
  <c r="T14" i="43"/>
  <c r="V14" i="43" s="1"/>
  <c r="T12" i="43"/>
  <c r="V12" i="43" s="1"/>
  <c r="T9" i="43"/>
  <c r="V9" i="43" s="1"/>
  <c r="T7" i="43"/>
  <c r="V7" i="43" s="1"/>
  <c r="T8" i="43"/>
  <c r="V8" i="43" s="1"/>
  <c r="T15" i="43"/>
  <c r="V15" i="43" s="1"/>
  <c r="T13" i="43"/>
  <c r="V13" i="43" s="1"/>
  <c r="T10" i="43"/>
  <c r="V10" i="43" s="1"/>
  <c r="T6" i="43"/>
  <c r="V6" i="43" s="1"/>
  <c r="C29" i="43"/>
  <c r="J18" i="67"/>
  <c r="J24" i="67"/>
  <c r="J26" i="67"/>
  <c r="J29" i="67" s="1"/>
  <c r="C42" i="68"/>
  <c r="C41" i="68" s="1"/>
  <c r="C49" i="68" s="1"/>
  <c r="C51" i="68" s="1"/>
  <c r="F41" i="15"/>
  <c r="C23" i="67" l="1"/>
  <c r="C29" i="67" s="1"/>
  <c r="Q49" i="67" s="1"/>
  <c r="C26" i="15"/>
  <c r="C29" i="15" s="1"/>
  <c r="C31" i="11"/>
  <c r="F69" i="15"/>
  <c r="J29" i="15"/>
  <c r="C60" i="67"/>
  <c r="C66" i="67"/>
  <c r="E29" i="43"/>
  <c r="C30" i="43"/>
  <c r="E30" i="43" s="1"/>
  <c r="E38" i="43"/>
  <c r="G38" i="43"/>
  <c r="I38" i="43" s="1"/>
  <c r="E39" i="43"/>
  <c r="G39" i="43"/>
  <c r="I39" i="43" s="1"/>
  <c r="E35" i="43"/>
  <c r="G35" i="43"/>
  <c r="I35" i="43" s="1"/>
  <c r="C6" i="68"/>
  <c r="C22" i="69"/>
  <c r="C31" i="69" s="1"/>
  <c r="C41" i="69"/>
  <c r="C49" i="69" s="1"/>
  <c r="C51" i="69" s="1"/>
  <c r="C41" i="11"/>
  <c r="C49" i="11" s="1"/>
  <c r="C51" i="11" s="1"/>
  <c r="E36" i="43"/>
  <c r="G36" i="43"/>
  <c r="I36" i="43" s="1"/>
  <c r="E37" i="43"/>
  <c r="G37" i="43"/>
  <c r="I37" i="43" s="1"/>
  <c r="E33" i="43"/>
  <c r="G33" i="43"/>
  <c r="I33" i="43" s="1"/>
  <c r="E34" i="43"/>
  <c r="G34" i="43"/>
  <c r="I34" i="43" s="1"/>
  <c r="C32" i="67"/>
  <c r="C38" i="67"/>
  <c r="C38" i="15"/>
  <c r="C32" i="15"/>
  <c r="C33" i="15"/>
  <c r="C36" i="15" l="1"/>
  <c r="C13" i="15"/>
  <c r="J19" i="15"/>
  <c r="J17" i="15" s="1"/>
  <c r="C57" i="15"/>
  <c r="C61" i="15" s="1"/>
  <c r="C59" i="15" s="1"/>
  <c r="Q49" i="15"/>
  <c r="J14" i="15"/>
  <c r="J13" i="15" s="1"/>
  <c r="J23" i="15" s="1"/>
  <c r="J59" i="67"/>
  <c r="J60" i="67" s="1"/>
  <c r="L46" i="67" s="1"/>
  <c r="C36" i="67"/>
  <c r="C52" i="11"/>
  <c r="B2" i="11" s="1"/>
  <c r="B3" i="11" s="1"/>
  <c r="J19" i="67"/>
  <c r="J17" i="67" s="1"/>
  <c r="J14" i="67"/>
  <c r="J13" i="67" s="1"/>
  <c r="J23" i="67" s="1"/>
  <c r="C31" i="15"/>
  <c r="C57" i="67"/>
  <c r="C61" i="67" s="1"/>
  <c r="C59" i="67" s="1"/>
  <c r="C33" i="67"/>
  <c r="C13" i="67"/>
  <c r="Q70" i="67" s="1"/>
  <c r="C31" i="67"/>
  <c r="C64" i="15"/>
  <c r="C37" i="15"/>
  <c r="Q70" i="15"/>
  <c r="C56" i="15"/>
  <c r="C65" i="15" s="1"/>
  <c r="C75" i="15"/>
  <c r="C52" i="69"/>
  <c r="B2" i="69" s="1"/>
  <c r="B3" i="69" s="1"/>
  <c r="C7" i="68"/>
  <c r="C5" i="68" s="1"/>
  <c r="C26" i="43"/>
  <c r="J22" i="15"/>
  <c r="C27" i="43"/>
  <c r="E6" i="76"/>
  <c r="C56" i="67" l="1"/>
  <c r="C65" i="67" s="1"/>
  <c r="Q48" i="67"/>
  <c r="C75" i="67"/>
  <c r="C64" i="67"/>
  <c r="J22" i="67"/>
  <c r="C37" i="67"/>
  <c r="C30" i="67" s="1"/>
  <c r="C39" i="67" s="1"/>
  <c r="C56" i="11"/>
  <c r="C57" i="11" s="1"/>
  <c r="J16" i="15"/>
  <c r="J25" i="15" s="1"/>
  <c r="C57" i="69"/>
  <c r="C56" i="69" s="1"/>
  <c r="C30" i="15"/>
  <c r="C39" i="15" s="1"/>
  <c r="C40" i="15" s="1"/>
  <c r="J16" i="67"/>
  <c r="J25" i="67" s="1"/>
  <c r="C58" i="15"/>
  <c r="C67" i="15" s="1"/>
  <c r="C68" i="15" s="1"/>
  <c r="C46" i="15" s="1"/>
  <c r="E2" i="76"/>
  <c r="C20" i="68"/>
  <c r="C25" i="68" s="1"/>
  <c r="C23" i="68"/>
  <c r="Q69" i="15"/>
  <c r="Q68" i="15" s="1"/>
  <c r="B2" i="43"/>
  <c r="C71" i="15"/>
  <c r="L51" i="15"/>
  <c r="L51" i="67"/>
  <c r="B6" i="76"/>
  <c r="C58" i="67" l="1"/>
  <c r="C67" i="67" s="1"/>
  <c r="C68" i="67" s="1"/>
  <c r="C71" i="67" s="1"/>
  <c r="Q69" i="67"/>
  <c r="Q68" i="67" s="1"/>
  <c r="C80" i="67"/>
  <c r="C79" i="67" s="1"/>
  <c r="C40" i="67"/>
  <c r="Q65" i="67" s="1"/>
  <c r="C22" i="68"/>
  <c r="C80" i="15"/>
  <c r="C79" i="15" s="1"/>
  <c r="C28" i="68"/>
  <c r="C27" i="68" s="1"/>
  <c r="C31" i="68" s="1"/>
  <c r="C52" i="68" s="1"/>
  <c r="B2" i="68" s="1"/>
  <c r="B2" i="76"/>
  <c r="B3" i="76" s="1"/>
  <c r="Q67" i="15"/>
  <c r="Q67" i="67"/>
  <c r="L57" i="67"/>
  <c r="L60" i="67" s="1"/>
  <c r="B3" i="43"/>
  <c r="B2" i="15"/>
  <c r="Q65" i="15"/>
  <c r="Q75" i="15" s="1"/>
  <c r="Q47" i="15"/>
  <c r="Q53" i="15" s="1"/>
  <c r="Q56" i="15"/>
  <c r="Q62" i="15" s="1"/>
  <c r="C43" i="15"/>
  <c r="C83" i="15"/>
  <c r="C82" i="15" s="1"/>
  <c r="D19" i="9"/>
  <c r="AO6" i="1"/>
  <c r="C19" i="9"/>
  <c r="D2" i="67" l="1"/>
  <c r="B3" i="67" s="1"/>
  <c r="C83" i="67"/>
  <c r="C82" i="67" s="1"/>
  <c r="Q56" i="67"/>
  <c r="Q62" i="67" s="1"/>
  <c r="C45" i="67"/>
  <c r="C46" i="67" s="1"/>
  <c r="C43" i="67"/>
  <c r="Q47" i="67"/>
  <c r="Q53" i="67" s="1"/>
  <c r="C57" i="68"/>
  <c r="C56" i="68" s="1"/>
  <c r="G19" i="9"/>
  <c r="D22" i="9"/>
  <c r="C102" i="9"/>
  <c r="C21" i="9"/>
  <c r="D21" i="9"/>
  <c r="D102" i="9"/>
  <c r="B6" i="70"/>
  <c r="B2" i="70" s="1"/>
  <c r="B3" i="70" s="1"/>
  <c r="Q66" i="67"/>
  <c r="Q75" i="67" s="1"/>
  <c r="Q57" i="67"/>
  <c r="B3" i="15"/>
  <c r="D20" i="9"/>
  <c r="B3" i="68"/>
  <c r="B2" i="67" l="1"/>
  <c r="D103" i="9"/>
  <c r="C32" i="9"/>
  <c r="G21" i="9"/>
  <c r="C20" i="9"/>
  <c r="G20" i="9" l="1"/>
  <c r="C103" i="9"/>
  <c r="C35" i="9"/>
  <c r="F118" i="9" s="1"/>
  <c r="H118" i="9"/>
  <c r="C34" i="9" l="1"/>
  <c r="D118" i="9" s="1"/>
  <c r="D119" i="9" s="1"/>
  <c r="D5" i="52" s="1"/>
  <c r="B49" i="72" s="1"/>
  <c r="H101" i="9"/>
  <c r="I118" i="9"/>
  <c r="D14" i="74"/>
  <c r="H119" i="9"/>
  <c r="H5" i="52" s="1"/>
  <c r="C104" i="9"/>
  <c r="H4" i="52"/>
  <c r="F119" i="9"/>
  <c r="F5" i="52" s="1"/>
  <c r="B53" i="72" s="1"/>
  <c r="G118" i="9"/>
  <c r="G4" i="52" s="1"/>
  <c r="B52" i="72" s="1"/>
  <c r="F4" i="52"/>
  <c r="B51" i="72" s="1"/>
  <c r="D4" i="52" l="1"/>
  <c r="B47" i="72" s="1"/>
  <c r="F14" i="74"/>
  <c r="B5" i="74"/>
  <c r="E14" i="74"/>
  <c r="D5" i="53"/>
  <c r="H107" i="9"/>
  <c r="D45" i="9"/>
  <c r="M48" i="9"/>
  <c r="E118" i="9"/>
  <c r="E4" i="52" s="1"/>
  <c r="B48" i="72" s="1"/>
  <c r="H102" i="9"/>
  <c r="D7" i="53" s="1"/>
  <c r="B21" i="72" s="1"/>
  <c r="I4" i="52"/>
  <c r="C105" i="9"/>
  <c r="D13" i="53" l="1"/>
  <c r="H108" i="9"/>
  <c r="D15" i="53" s="1"/>
  <c r="B31" i="72" s="1"/>
  <c r="M49" i="9"/>
  <c r="D122" i="9"/>
  <c r="D55" i="9"/>
  <c r="M53" i="9" s="1"/>
  <c r="C85" i="9"/>
  <c r="C78" i="9"/>
  <c r="C73" i="9" s="1"/>
  <c r="C64" i="9"/>
  <c r="C63" i="9" s="1"/>
  <c r="C67" i="9" s="1"/>
  <c r="C68" i="9" s="1"/>
  <c r="D54" i="9" s="1"/>
  <c r="C93" i="9"/>
  <c r="C86" i="9" s="1"/>
  <c r="D52" i="9"/>
  <c r="D53" i="9"/>
  <c r="C72" i="9"/>
  <c r="D6" i="53"/>
  <c r="B22" i="72" s="1"/>
  <c r="B20" i="72"/>
  <c r="C5" i="74"/>
  <c r="D5" i="74"/>
  <c r="L63" i="9" l="1"/>
  <c r="M63" i="9" s="1"/>
  <c r="L65" i="9"/>
  <c r="M65" i="9" s="1"/>
  <c r="L67" i="9"/>
  <c r="M67" i="9" s="1"/>
  <c r="L64" i="9"/>
  <c r="M64" i="9" s="1"/>
  <c r="L66" i="9"/>
  <c r="M66" i="9" s="1"/>
  <c r="L68" i="9"/>
  <c r="M68" i="9" s="1"/>
  <c r="D14" i="53"/>
  <c r="B32" i="72" s="1"/>
  <c r="B30" i="72"/>
  <c r="C79" i="9"/>
  <c r="C95" i="9"/>
  <c r="D123" i="9"/>
  <c r="D9" i="52" s="1"/>
  <c r="G14" i="74"/>
  <c r="B6" i="74" s="1"/>
  <c r="D8" i="52"/>
  <c r="M69" i="9" l="1"/>
  <c r="N69" i="9" s="1"/>
  <c r="D6" i="74"/>
  <c r="C6" i="74"/>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<sst xmlns="http://schemas.openxmlformats.org/spreadsheetml/2006/main" count="7489" uniqueCount="3215">
  <si>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</si>
  <si>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</si>
  <si>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</si>
  <si>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</si>
  <si>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</si>
  <si>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</si>
  <si>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</si>
  <si>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</si>
  <si>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</si>
  <si>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</si>
  <si>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</si>
  <si>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</si>
  <si>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</si>
  <si>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</si>
  <si>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</si>
  <si>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</si>
  <si>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</si>
  <si>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</si>
  <si>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</si>
  <si>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</si>
  <si>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</si>
  <si>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</si>
  <si>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</si>
  <si>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</si>
  <si>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</si>
  <si>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</si>
  <si>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</si>
  <si>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</si>
  <si>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</si>
  <si>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</si>
  <si>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</si>
  <si>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</si>
  <si>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</si>
  <si>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</si>
  <si>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</si>
  <si>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</si>
  <si>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</si>
  <si>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</si>
  <si>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</si>
  <si>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</si>
  <si>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</si>
  <si>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</si>
  <si>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</si>
  <si>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</si>
  <si>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</si>
  <si>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</si>
  <si>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</si>
  <si>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</si>
  <si>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</si>
  <si>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</si>
  <si>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</si>
  <si>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</si>
  <si>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</si>
  <si>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</si>
  <si>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</si>
  <si>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</si>
  <si>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</si>
  <si>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</si>
  <si>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</si>
  <si>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</si>
  <si>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</si>
  <si>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</si>
  <si>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</si>
  <si>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</si>
  <si>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</si>
  <si>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</si>
  <si>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</si>
  <si>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</si>
  <si>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</si>
  <si>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</si>
  <si>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</si>
  <si>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</si>
  <si>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</si>
  <si>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</si>
  <si>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</si>
  <si>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</si>
  <si>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</si>
  <si>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</si>
  <si>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</si>
  <si>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</si>
  <si>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</si>
  <si>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</si>
  <si>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</si>
  <si>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</si>
  <si>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</si>
  <si>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</si>
  <si>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</si>
  <si>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</si>
  <si>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</si>
  <si>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</si>
  <si>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</si>
  <si>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</si>
  <si>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</si>
  <si>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</si>
  <si>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</si>
  <si>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</si>
  <si>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</si>
  <si>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</si>
  <si>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</si>
  <si>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</si>
  <si>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</si>
  <si>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</si>
  <si>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</si>
  <si>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</si>
  <si>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</si>
  <si>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</si>
  <si>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</si>
  <si>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</si>
  <si>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</si>
  <si>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</si>
  <si>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</si>
  <si>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</si>
  <si>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</si>
  <si>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</si>
  <si>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</si>
  <si>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</si>
  <si>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</si>
  <si>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</si>
  <si>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</si>
  <si>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</si>
  <si>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</si>
  <si>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</si>
  <si>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</si>
  <si>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</si>
  <si>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</si>
  <si>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</si>
  <si>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</si>
  <si>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</si>
  <si>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</si>
  <si>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</si>
  <si>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</si>
  <si>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</si>
  <si>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</si>
  <si>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</si>
  <si>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</si>
  <si>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</si>
  <si>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</si>
  <si>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</si>
  <si>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</si>
  <si>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</si>
  <si>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</si>
  <si>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</si>
  <si>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</si>
  <si>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</si>
  <si>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</si>
  <si>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</si>
  <si>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</si>
  <si>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</si>
  <si>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</si>
  <si>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</si>
  <si>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</si>
  <si>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</si>
  <si>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</si>
  <si>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</si>
  <si>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</si>
  <si>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</si>
  <si>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</si>
  <si>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</si>
  <si>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</si>
  <si>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</si>
  <si>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</si>
  <si>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</si>
  <si>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</si>
  <si>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</si>
  <si>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</si>
  <si>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</si>
  <si>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</si>
  <si>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</si>
  <si>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</si>
  <si>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</si>
  <si>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</si>
  <si>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</si>
  <si>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</si>
  <si>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</si>
  <si>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</si>
  <si>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</si>
  <si>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</si>
  <si>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</si>
  <si>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</si>
  <si>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</si>
  <si>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</si>
  <si>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</si>
  <si>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</si>
  <si>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</si>
  <si>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</si>
  <si>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</si>
  <si>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</si>
  <si>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</si>
  <si>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</si>
  <si>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</si>
  <si>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</si>
  <si>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</si>
  <si>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</si>
  <si>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</si>
  <si>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</si>
  <si>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</si>
  <si>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</si>
  <si>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</si>
  <si>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</si>
  <si>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</si>
  <si>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</si>
  <si>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</si>
  <si>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</si>
  <si>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</si>
  <si>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</si>
  <si>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</si>
  <si>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</si>
  <si>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</si>
  <si>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</si>
  <si>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</si>
  <si>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</si>
  <si>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</si>
  <si>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</si>
  <si>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</si>
  <si>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</si>
  <si>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</si>
  <si>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</si>
  <si>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</si>
  <si>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</si>
  <si>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</si>
  <si>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</si>
  <si>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</si>
  <si>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</si>
  <si>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</si>
  <si>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</si>
  <si>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</si>
  <si>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</si>
  <si>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</si>
  <si>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</si>
  <si>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</si>
  <si>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</si>
  <si>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</si>
  <si>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</si>
  <si>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</si>
  <si>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</si>
  <si>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</si>
  <si>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</si>
  <si>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</si>
  <si>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</si>
  <si>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</si>
  <si>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</si>
  <si>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</si>
  <si>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</si>
  <si>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</si>
  <si>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</si>
  <si>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</si>
  <si>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</si>
  <si>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</si>
  <si>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</si>
  <si>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</si>
  <si>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</si>
  <si>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</si>
  <si>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</si>
  <si>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</si>
  <si>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</si>
  <si>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</si>
  <si>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</si>
  <si>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</si>
  <si>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</si>
  <si>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</si>
  <si>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</si>
  <si>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</si>
  <si>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</si>
  <si>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</si>
  <si>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</si>
  <si>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</si>
  <si>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</si>
  <si>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</si>
  <si>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</si>
  <si>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</si>
  <si>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</si>
  <si>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</si>
  <si>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</si>
  <si>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</si>
  <si>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</si>
  <si>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</si>
  <si>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</si>
  <si>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</si>
  <si>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</si>
  <si>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</si>
  <si>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</si>
  <si>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</si>
  <si>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</si>
  <si>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</si>
  <si>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</si>
  <si>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</si>
  <si>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</si>
  <si>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</si>
  <si>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</si>
  <si>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</si>
  <si>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</si>
  <si>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</si>
  <si>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</si>
  <si>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</si>
  <si>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</si>
  <si>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</si>
  <si>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</si>
  <si>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</si>
  <si>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</si>
  <si>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</si>
  <si>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</si>
  <si>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</si>
  <si>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</si>
  <si>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</si>
  <si>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</si>
  <si>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</si>
  <si>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</si>
  <si>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</si>
  <si>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</si>
  <si>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</si>
  <si>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</si>
  <si>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</si>
  <si>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</si>
  <si>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</si>
  <si>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</si>
  <si>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</si>
  <si>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</si>
  <si>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</si>
  <si>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</si>
  <si>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</si>
  <si>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</si>
  <si>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</si>
  <si>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</si>
  <si>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</si>
  <si>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</si>
  <si>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</si>
  <si>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</si>
  <si>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</si>
  <si>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</si>
  <si>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</si>
  <si>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</si>
  <si>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</si>
  <si>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</si>
  <si>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</si>
  <si>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</si>
  <si>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</si>
  <si>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</si>
  <si>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</si>
  <si>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</si>
  <si>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</si>
  <si>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</si>
  <si>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</si>
  <si>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</si>
  <si>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</si>
  <si>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</si>
  <si>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</si>
  <si>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</si>
  <si>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</si>
  <si>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</si>
  <si>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</si>
  <si>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</si>
  <si>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</si>
  <si>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</si>
  <si>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</si>
  <si>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</si>
  <si>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</si>
  <si>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</si>
  <si>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</si>
  <si>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</si>
  <si>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</si>
  <si>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</si>
  <si>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</si>
  <si>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</si>
  <si>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</si>
  <si>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</si>
  <si>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</si>
  <si>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</si>
  <si>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</si>
  <si>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</si>
  <si>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</si>
  <si>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</si>
  <si>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</si>
  <si>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</si>
  <si>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</si>
  <si>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</si>
  <si>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</si>
  <si>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</si>
  <si>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</si>
  <si>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</si>
  <si>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</si>
  <si>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</si>
  <si>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</si>
  <si>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</si>
  <si>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</si>
  <si>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</si>
  <si>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</si>
  <si>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</si>
  <si>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</si>
  <si>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</si>
  <si>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</si>
  <si>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</si>
  <si>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</si>
  <si>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</si>
  <si>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</si>
  <si>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</si>
  <si>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</si>
  <si>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</si>
  <si>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</si>
  <si>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</si>
  <si>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</si>
  <si>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</si>
  <si>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</si>
  <si>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</si>
  <si>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</si>
  <si>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</si>
  <si>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</si>
  <si>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</si>
  <si>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</si>
  <si>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</si>
  <si>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</si>
  <si>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</si>
  <si>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</si>
  <si>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</si>
  <si>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</si>
  <si>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</si>
  <si>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</si>
  <si>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</si>
  <si>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</si>
  <si>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</si>
  <si>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</si>
  <si>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</si>
  <si>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</si>
  <si>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</si>
  <si>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</si>
  <si>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</si>
  <si>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</si>
  <si>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</si>
  <si>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</si>
  <si>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</si>
  <si>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</si>
  <si>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</si>
  <si>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</si>
  <si>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</si>
  <si>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</si>
  <si>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</si>
  <si>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</si>
  <si>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</si>
  <si>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</si>
  <si>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</si>
  <si>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</si>
  <si>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</si>
  <si>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</si>
  <si>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</si>
  <si>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</si>
  <si>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</si>
  <si>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</si>
  <si>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</si>
  <si>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</si>
  <si>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</si>
  <si>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</si>
  <si>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</si>
  <si>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</si>
  <si>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</si>
  <si>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</si>
  <si>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</si>
  <si>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</si>
  <si>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</si>
  <si>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</si>
  <si>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</si>
  <si>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</si>
  <si>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</si>
  <si>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</si>
  <si>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</si>
  <si>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</si>
  <si>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</si>
  <si>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</si>
  <si>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</si>
  <si>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</si>
  <si>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</si>
  <si>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</si>
  <si>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</si>
  <si>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</si>
  <si>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</si>
  <si>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</si>
  <si>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</si>
  <si>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</si>
  <si>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</si>
  <si>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</si>
  <si>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</si>
  <si>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</si>
  <si>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</si>
  <si>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</si>
  <si>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</si>
  <si>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</si>
  <si>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</si>
  <si>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</si>
  <si>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</si>
  <si>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</si>
  <si>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</si>
  <si>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</si>
  <si>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</si>
  <si>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</si>
  <si>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</si>
  <si>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</si>
  <si>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</si>
  <si>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</si>
  <si>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</si>
  <si>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</si>
  <si>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</si>
  <si>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</si>
  <si>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</si>
  <si>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</si>
  <si>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</si>
  <si>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</si>
  <si>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</si>
  <si>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</si>
  <si>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</si>
  <si>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</si>
  <si>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</si>
  <si>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</si>
  <si>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</si>
  <si>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</si>
  <si>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</si>
  <si>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</si>
  <si>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</si>
  <si>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</si>
  <si>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</si>
  <si>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</si>
  <si>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</si>
  <si>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</si>
  <si>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</si>
  <si>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</si>
  <si>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</si>
  <si>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</si>
  <si>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</si>
  <si>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</si>
  <si>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</si>
  <si>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</si>
  <si>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</si>
  <si>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</si>
  <si>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</si>
  <si>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</si>
  <si>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</si>
  <si>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</si>
  <si>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</si>
  <si>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</si>
  <si>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</si>
  <si>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</si>
  <si>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</si>
  <si>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</si>
  <si>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</si>
  <si>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</si>
  <si>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</si>
  <si>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</si>
  <si>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</si>
  <si>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</si>
  <si>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</si>
  <si>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</si>
  <si>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</si>
  <si>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</si>
  <si>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</si>
  <si>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</si>
  <si>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</si>
  <si>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</si>
  <si>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</si>
  <si>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</si>
  <si>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</si>
  <si>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</si>
  <si>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</si>
  <si>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</si>
  <si>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</si>
  <si>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</si>
  <si>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</si>
  <si>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</si>
  <si>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</si>
  <si>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</si>
  <si>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</si>
  <si>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</si>
  <si>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</si>
  <si>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</si>
  <si>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</si>
  <si>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</si>
  <si>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</si>
  <si>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</si>
  <si>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</si>
  <si>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</si>
  <si>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</si>
  <si>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</si>
  <si>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</si>
  <si>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</si>
  <si>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</si>
  <si>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</si>
  <si>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</si>
  <si>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</si>
  <si>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</si>
  <si>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</si>
  <si>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</si>
  <si>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</si>
  <si>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</si>
  <si>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</si>
  <si>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</si>
  <si>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</si>
  <si>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</si>
  <si>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</si>
  <si>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</si>
  <si>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</si>
  <si>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</si>
  <si>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</si>
  <si>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</si>
  <si>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</si>
  <si>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</si>
  <si>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</si>
  <si>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</si>
  <si>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</si>
  <si>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</si>
  <si>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</si>
  <si>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</si>
  <si>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</si>
  <si>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</si>
  <si>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</si>
  <si>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</si>
  <si>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</si>
  <si>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</si>
  <si>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</si>
  <si>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</si>
  <si>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</si>
  <si>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</si>
  <si>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</si>
  <si>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</si>
  <si>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</si>
  <si>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</si>
  <si>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</si>
  <si>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</si>
  <si>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</si>
  <si>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</si>
  <si>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</si>
  <si>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</si>
  <si>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</si>
  <si>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</si>
  <si>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</si>
  <si>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</si>
  <si>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</si>
  <si>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</si>
  <si>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</si>
  <si>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</si>
  <si>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</si>
  <si>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</si>
  <si>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</si>
  <si>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</si>
  <si>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</si>
  <si>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</si>
  <si>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</si>
  <si>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</si>
  <si>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</si>
  <si>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</si>
  <si>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</si>
  <si>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</si>
  <si>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</si>
  <si>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</si>
  <si>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</si>
  <si>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</si>
  <si>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</si>
  <si>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</si>
  <si>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</si>
  <si>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</si>
  <si>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</si>
  <si>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</si>
  <si>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</si>
  <si>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</si>
  <si>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</si>
  <si>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</si>
  <si>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</si>
  <si>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</si>
  <si>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</si>
  <si>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</si>
  <si>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</si>
  <si>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</si>
  <si>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</si>
  <si>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</si>
  <si>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</si>
  <si>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</si>
  <si>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</si>
  <si>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</si>
  <si>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</si>
  <si>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</si>
  <si>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</si>
  <si>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</si>
  <si>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</si>
  <si>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</si>
  <si>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</si>
  <si>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</si>
  <si>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</si>
  <si>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</si>
  <si>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</si>
  <si>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</si>
  <si>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</si>
  <si>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</si>
  <si>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</si>
  <si>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</si>
  <si>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</si>
  <si>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</si>
  <si>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</si>
  <si>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</si>
  <si>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</si>
  <si>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</si>
  <si>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</si>
  <si>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</si>
  <si>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</si>
  <si>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</si>
  <si>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</si>
  <si>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</si>
  <si>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</si>
  <si>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</si>
  <si>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</si>
  <si>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</si>
  <si>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</si>
  <si>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</si>
  <si>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</si>
  <si>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</si>
  <si>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</si>
  <si>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</si>
  <si>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</si>
  <si>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</si>
  <si>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</si>
  <si>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</si>
  <si>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</si>
  <si>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</si>
  <si>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</si>
  <si>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</si>
  <si>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</si>
  <si>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</si>
  <si>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</si>
  <si>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</si>
  <si>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</si>
  <si>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</si>
  <si>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</si>
  <si>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</si>
  <si>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</si>
  <si>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</si>
  <si>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</si>
  <si>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</si>
  <si>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</si>
  <si>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</si>
  <si>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</si>
  <si>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</si>
  <si>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</si>
  <si>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</si>
  <si>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</si>
  <si>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</si>
  <si>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</si>
  <si>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</si>
  <si>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</si>
  <si>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</si>
  <si>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</si>
  <si>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</si>
  <si>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</si>
  <si>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</si>
  <si>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</si>
  <si>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</si>
  <si>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</si>
  <si>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</si>
  <si>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</si>
  <si>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</si>
  <si>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</si>
  <si>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</si>
  <si>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</si>
  <si>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</si>
  <si>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</si>
  <si>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</si>
  <si>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</si>
  <si>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</si>
  <si>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</si>
  <si>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</si>
  <si>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</si>
  <si>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</si>
  <si>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</si>
  <si>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</si>
  <si>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</si>
  <si>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</si>
  <si>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</si>
  <si>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</si>
  <si>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</si>
  <si>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</si>
  <si>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</si>
  <si>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</si>
  <si>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</si>
  <si>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</si>
  <si>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</si>
  <si>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</si>
  <si>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</si>
  <si>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</si>
  <si>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</si>
  <si>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</si>
  <si>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</si>
  <si>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</si>
  <si>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</si>
  <si>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</si>
  <si>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</si>
  <si>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</si>
  <si>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</si>
  <si>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</si>
  <si>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</si>
  <si>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</si>
  <si>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</si>
  <si>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</si>
  <si>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</si>
  <si>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</si>
  <si>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</si>
  <si>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</si>
  <si>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</si>
  <si>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</si>
  <si>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</si>
  <si>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</si>
  <si>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</si>
  <si>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</si>
  <si>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</si>
  <si>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</si>
  <si>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</si>
  <si>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</si>
  <si>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</si>
  <si>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</si>
  <si>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</si>
  <si>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</si>
  <si>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</si>
  <si>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</si>
  <si>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</si>
  <si>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</si>
  <si>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</si>
  <si>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</si>
  <si>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</si>
  <si>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</si>
  <si>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</si>
  <si>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</si>
  <si>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</si>
  <si>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</si>
  <si>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</si>
  <si>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</si>
  <si>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</si>
  <si>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</si>
  <si>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</si>
  <si>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</si>
  <si>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</si>
  <si>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</si>
  <si>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</si>
  <si>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</si>
  <si>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</si>
  <si>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</si>
  <si>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</si>
  <si>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</si>
  <si>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</si>
  <si>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</si>
  <si>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</si>
  <si>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</si>
  <si>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</si>
  <si>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</si>
  <si>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</si>
  <si>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</si>
  <si>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</si>
  <si>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</si>
  <si>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</si>
  <si>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</si>
  <si>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</si>
  <si>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</si>
  <si>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</si>
  <si>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</si>
  <si>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</si>
  <si>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</si>
  <si>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</si>
  <si>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</si>
  <si>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</si>
  <si>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</si>
  <si>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</si>
  <si>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</si>
  <si>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</si>
  <si>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</si>
  <si>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</si>
  <si>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</si>
  <si>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</si>
  <si>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</si>
  <si>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</si>
  <si>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</si>
  <si>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</si>
  <si>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</si>
  <si>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</si>
  <si>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</si>
  <si>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</si>
  <si>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</si>
  <si>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</si>
  <si>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</si>
  <si>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</si>
  <si>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</si>
  <si>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</si>
  <si>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</si>
  <si>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</si>
  <si>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</si>
  <si>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</si>
  <si>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</si>
  <si>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</si>
  <si>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</si>
  <si>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</si>
  <si>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</si>
  <si>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</si>
  <si>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</si>
  <si>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</si>
  <si>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</si>
  <si>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</si>
  <si>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</si>
  <si>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</si>
  <si>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</si>
  <si>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</si>
  <si>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</si>
  <si>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</si>
  <si>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</si>
  <si>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</si>
  <si>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</si>
  <si>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</si>
  <si>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</si>
  <si>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</si>
  <si>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</si>
  <si>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</si>
  <si>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</si>
  <si>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</si>
  <si>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</si>
  <si>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</si>
  <si>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</si>
  <si>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</si>
  <si>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</si>
  <si>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</si>
  <si>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</si>
  <si>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</si>
  <si>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</si>
  <si>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</si>
  <si>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</si>
  <si>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</si>
  <si>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</si>
  <si>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</si>
  <si>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</si>
  <si>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</si>
  <si>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</si>
  <si>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</si>
  <si>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</si>
  <si>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</si>
  <si>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</si>
  <si>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</si>
  <si>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</si>
  <si>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</si>
  <si>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</si>
  <si>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</si>
  <si>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</si>
  <si>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</si>
  <si>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</si>
  <si>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</si>
  <si>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</si>
  <si>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</si>
  <si>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</si>
  <si>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</si>
  <si>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</si>
  <si>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</si>
  <si>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</si>
  <si>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</si>
  <si>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</si>
  <si>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</si>
  <si>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</si>
  <si>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</si>
  <si>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</si>
  <si>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</si>
  <si>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</si>
  <si>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</si>
  <si>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</si>
  <si>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</si>
  <si>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</si>
  <si>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</si>
  <si>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</si>
  <si>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</si>
  <si>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</si>
  <si>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</si>
  <si>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</si>
  <si>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</si>
  <si>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</si>
  <si>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</si>
  <si>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</si>
  <si>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</si>
  <si>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</si>
  <si>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</si>
  <si>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</si>
  <si>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</si>
  <si>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</si>
  <si>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</si>
  <si>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</si>
  <si>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</si>
  <si>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</si>
  <si>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</si>
  <si>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</si>
  <si>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</si>
  <si>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</si>
  <si>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</si>
  <si>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</si>
  <si>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</si>
  <si>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</si>
  <si>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</si>
  <si>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</si>
  <si>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</si>
  <si>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</si>
  <si>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</si>
  <si>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</si>
  <si>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</si>
  <si>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</si>
  <si>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</si>
  <si>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</si>
  <si>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</si>
  <si>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</si>
  <si>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</si>
  <si>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</si>
  <si>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</si>
  <si>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</si>
  <si>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</si>
  <si>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</si>
  <si>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</si>
  <si>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</si>
  <si>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</si>
  <si>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</si>
  <si>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</si>
  <si>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</si>
  <si>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</si>
  <si>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</si>
  <si>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</si>
  <si>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</si>
  <si>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</si>
  <si>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</si>
  <si>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</si>
  <si>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</si>
  <si>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</si>
  <si>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</si>
  <si>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</si>
  <si>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</si>
  <si>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</si>
  <si>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</si>
  <si>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</si>
  <si>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</si>
  <si>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</si>
  <si>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</si>
  <si>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</si>
  <si>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</si>
  <si>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</si>
  <si>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</si>
  <si>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</si>
  <si>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</si>
  <si>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</si>
  <si>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</si>
  <si>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</si>
  <si>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</si>
  <si>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</si>
  <si>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</si>
  <si>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</si>
  <si>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</si>
  <si>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</si>
  <si>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</si>
  <si>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</si>
  <si>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</si>
  <si>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</si>
  <si>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</si>
  <si>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</si>
  <si>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</si>
  <si>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</si>
  <si>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</si>
  <si>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</si>
  <si>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</si>
  <si>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</si>
  <si>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</si>
  <si>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</si>
  <si>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</si>
  <si>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</si>
  <si>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</si>
  <si>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</si>
  <si>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</si>
  <si>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</si>
  <si>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</si>
  <si>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</si>
  <si>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</si>
  <si>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</si>
  <si>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</si>
  <si>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</si>
  <si>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</si>
  <si>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</si>
  <si>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</si>
  <si>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</si>
  <si>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</si>
  <si>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</si>
  <si>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</si>
  <si>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</si>
  <si>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</si>
  <si>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</si>
  <si>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</si>
  <si>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</si>
  <si>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</si>
  <si>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</si>
  <si>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</si>
  <si>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</si>
  <si>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</si>
  <si>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</si>
  <si>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</si>
  <si>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</si>
  <si>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</si>
  <si>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</si>
  <si>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</si>
  <si>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</si>
  <si>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</si>
  <si>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</si>
  <si>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</si>
  <si>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</si>
  <si>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</si>
  <si>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</si>
  <si>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</si>
  <si>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</si>
  <si>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</si>
  <si>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</si>
  <si>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</si>
  <si>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</si>
  <si>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</si>
  <si>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</si>
  <si>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</si>
  <si>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</si>
  <si>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</si>
  <si>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</si>
  <si>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</si>
  <si>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</si>
  <si>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</si>
  <si>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</si>
  <si>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</si>
  <si>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</si>
  <si>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</si>
  <si>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</si>
  <si>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</si>
  <si>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</si>
  <si>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</si>
  <si>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</si>
  <si>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</si>
  <si>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</si>
  <si>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</si>
  <si>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</si>
  <si>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</si>
  <si>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</si>
  <si>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</si>
  <si>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</si>
  <si>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</si>
  <si>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</si>
  <si>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</si>
  <si>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</si>
  <si>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</si>
  <si>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</si>
  <si>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</si>
  <si>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</si>
  <si>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</si>
  <si>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</si>
  <si>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</si>
  <si>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</si>
  <si>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</si>
  <si>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</si>
  <si>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</si>
  <si>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</si>
  <si>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</si>
  <si>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</si>
  <si>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</si>
  <si>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</si>
  <si>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</si>
  <si>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</si>
  <si>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</si>
  <si>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</si>
  <si>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</si>
  <si>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</si>
  <si>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</si>
  <si>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</si>
  <si>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</si>
  <si>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</si>
  <si>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</si>
  <si>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</si>
  <si>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</si>
  <si>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</si>
  <si>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</si>
  <si>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</si>
  <si>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</si>
  <si>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</si>
  <si>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</si>
  <si>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</si>
  <si>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</si>
  <si>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</si>
  <si>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</si>
  <si>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</si>
  <si>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</si>
  <si>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</si>
  <si>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</si>
  <si>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</si>
  <si>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</si>
  <si>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</si>
  <si>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</si>
  <si>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</si>
  <si>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</si>
  <si>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</si>
  <si>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</si>
  <si>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</si>
  <si>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</si>
  <si>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</si>
  <si>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</si>
  <si>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</si>
  <si>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</si>
  <si>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</si>
  <si>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</si>
  <si>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</si>
  <si>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</si>
  <si>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</si>
  <si>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</si>
  <si>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</si>
  <si>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</si>
  <si>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</si>
  <si>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</si>
  <si>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</si>
  <si>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</si>
  <si>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</si>
  <si>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</si>
  <si>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</si>
  <si>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</si>
  <si>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</si>
  <si>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</si>
  <si>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</si>
  <si>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</si>
  <si>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</si>
  <si>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</si>
  <si>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</si>
  <si>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</si>
  <si>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</si>
  <si>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</si>
  <si>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</si>
  <si>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</si>
  <si>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</si>
  <si>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</si>
  <si>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</si>
  <si>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</si>
  <si>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</si>
  <si>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</si>
  <si>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</si>
  <si>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</si>
  <si>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</si>
  <si>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</si>
  <si>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</si>
  <si>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</si>
  <si>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</si>
  <si>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</si>
  <si>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</si>
  <si>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</si>
  <si>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</si>
  <si>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</si>
  <si>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</si>
  <si>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</si>
  <si>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</si>
  <si>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</si>
  <si>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</si>
  <si>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</si>
  <si>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</si>
  <si>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</si>
  <si>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</si>
  <si>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</si>
  <si>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</si>
  <si>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</si>
  <si>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</si>
  <si>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</si>
  <si>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</si>
  <si>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</si>
  <si>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</si>
  <si>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</si>
  <si>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</si>
  <si>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</si>
  <si>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</si>
  <si>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</si>
  <si>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</si>
  <si>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</si>
  <si>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</si>
  <si>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</si>
  <si>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</si>
  <si>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</si>
  <si>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</si>
  <si>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</si>
  <si>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</si>
  <si>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</si>
  <si>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</si>
  <si>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</si>
  <si>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</si>
  <si>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</si>
  <si>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</si>
  <si>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</si>
  <si>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</si>
  <si>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</si>
  <si>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</si>
  <si>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</si>
  <si>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</si>
  <si>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</si>
  <si>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</si>
  <si>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</si>
  <si>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</si>
  <si>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</si>
  <si>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</si>
  <si>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</si>
  <si>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</si>
  <si>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</si>
  <si>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</si>
  <si>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</si>
  <si>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</si>
  <si>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</si>
  <si>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</si>
  <si>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</si>
  <si>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</si>
  <si>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</si>
  <si>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</si>
  <si>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</si>
  <si>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</si>
  <si>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</si>
  <si>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</si>
  <si>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</si>
  <si>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</si>
  <si>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</si>
  <si>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</si>
  <si>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</si>
  <si>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</si>
  <si>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</si>
  <si>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</si>
  <si>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</si>
  <si>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</si>
  <si>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</si>
  <si>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</si>
  <si>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</si>
  <si>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</si>
  <si>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</si>
  <si>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</si>
  <si>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</si>
  <si>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</si>
  <si>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</si>
  <si>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</si>
  <si>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</si>
  <si>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</si>
  <si>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</si>
  <si>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</si>
  <si>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</si>
  <si>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</si>
  <si>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</si>
  <si>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</si>
  <si>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</si>
  <si>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</si>
  <si>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</si>
  <si>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</si>
  <si>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</si>
  <si>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</si>
  <si>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</si>
  <si>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</si>
  <si>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</si>
  <si>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</si>
  <si>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</si>
  <si>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</si>
  <si>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</si>
  <si>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</si>
  <si>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</si>
  <si>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</si>
  <si>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</si>
  <si>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</si>
  <si>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</si>
  <si>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</si>
  <si>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</si>
  <si>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</si>
  <si>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</si>
  <si>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</si>
  <si>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</si>
  <si>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</si>
  <si>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</si>
  <si>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</si>
  <si>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</si>
  <si>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</si>
  <si>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</si>
  <si>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</si>
  <si>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</si>
  <si>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</si>
  <si>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</si>
  <si>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</si>
  <si>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</si>
  <si>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</si>
  <si>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</si>
  <si>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</si>
  <si>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</si>
  <si>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</si>
  <si>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</si>
  <si>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</si>
  <si>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</si>
  <si>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</si>
  <si>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</si>
  <si>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</si>
  <si>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</si>
  <si>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</si>
  <si>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</si>
  <si>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</si>
  <si>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</si>
  <si>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</si>
  <si>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</si>
  <si>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</si>
  <si>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</si>
  <si>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</si>
  <si>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</si>
  <si>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</si>
  <si>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</si>
  <si>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</si>
  <si>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</si>
  <si>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</si>
  <si>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</si>
  <si>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</si>
  <si>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</si>
  <si>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</si>
  <si>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</si>
  <si>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</si>
  <si>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</si>
  <si>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</si>
  <si>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</si>
  <si>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</si>
  <si>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</si>
  <si>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</si>
  <si>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</si>
  <si>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</si>
  <si>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</si>
  <si>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</si>
  <si>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</si>
  <si>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</si>
  <si>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</si>
  <si>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</si>
  <si>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</si>
  <si>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</si>
  <si>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</si>
  <si>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</si>
  <si>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</si>
  <si>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</si>
  <si>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</si>
  <si>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</si>
  <si>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</si>
  <si>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</si>
  <si>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</si>
  <si>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</si>
  <si>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</si>
  <si>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</si>
  <si>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</si>
  <si>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</si>
  <si>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</si>
  <si>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</si>
  <si>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</si>
  <si>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</si>
  <si>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</si>
  <si>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</si>
  <si>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</si>
  <si>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</si>
  <si>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</si>
  <si>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</si>
  <si>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</si>
  <si>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</si>
  <si>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</si>
  <si>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</si>
  <si>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</si>
  <si>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</si>
  <si>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</si>
  <si>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</si>
  <si>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</si>
  <si>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</si>
  <si>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</si>
  <si>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</si>
  <si>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</si>
  <si>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</si>
  <si>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</si>
  <si>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</si>
  <si>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</si>
  <si>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</si>
  <si>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</si>
  <si>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</si>
  <si>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</si>
  <si>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</si>
  <si>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</si>
  <si>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</si>
  <si>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</si>
  <si>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</si>
  <si>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</si>
  <si>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</si>
  <si>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</si>
  <si>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</si>
  <si>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</si>
  <si>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</si>
  <si>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</si>
  <si>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</si>
  <si>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</si>
  <si>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</si>
  <si>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</si>
  <si>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</si>
  <si>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</si>
  <si>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</si>
  <si>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</si>
  <si>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</si>
  <si>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</si>
  <si>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</si>
  <si>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</si>
  <si>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</si>
  <si>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</si>
  <si>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</si>
  <si>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</si>
  <si>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</si>
  <si>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</si>
  <si>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</si>
  <si>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</si>
  <si>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</si>
  <si>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</si>
  <si>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</si>
  <si>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</si>
  <si>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</si>
  <si>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</si>
  <si>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</si>
  <si>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</si>
  <si>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</si>
  <si>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</si>
  <si>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</si>
  <si>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</si>
  <si>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</si>
  <si>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</si>
  <si>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</si>
  <si>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</si>
  <si>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</si>
  <si>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</si>
  <si>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</si>
  <si>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</si>
  <si>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</si>
  <si>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</si>
  <si>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</si>
  <si>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</si>
  <si>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</si>
  <si>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</si>
  <si>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</si>
  <si>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</si>
  <si>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</si>
  <si>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</si>
  <si>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</si>
  <si>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</si>
  <si>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</si>
  <si>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</si>
  <si>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</si>
  <si>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</si>
  <si>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</si>
  <si>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</si>
  <si>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</si>
  <si>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</si>
  <si>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</si>
  <si>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</si>
  <si>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</si>
  <si>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</si>
  <si>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</si>
  <si>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</si>
  <si>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</si>
  <si>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</si>
  <si>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</si>
  <si>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</si>
  <si>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</si>
  <si>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</si>
  <si>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</si>
  <si>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</si>
  <si>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</si>
  <si>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</si>
  <si>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</si>
  <si>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</si>
  <si>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</si>
  <si>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</si>
  <si>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</si>
  <si>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</si>
  <si>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</si>
  <si>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</si>
  <si>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</si>
  <si>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</si>
  <si>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</si>
  <si>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</si>
  <si>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</si>
  <si>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</si>
  <si>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</si>
  <si>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</si>
  <si>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</si>
  <si>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</si>
  <si>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</si>
  <si>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</si>
  <si>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</si>
  <si>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</si>
  <si>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</si>
  <si>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</si>
  <si>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</si>
  <si>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</si>
  <si>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</si>
  <si>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</si>
  <si>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</si>
  <si>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</si>
  <si>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</si>
  <si>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</si>
  <si>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</si>
  <si>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</si>
  <si>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</si>
  <si>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</si>
  <si>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</si>
  <si>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</si>
  <si>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</si>
  <si>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</si>
  <si>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</si>
  <si>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</si>
  <si>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</si>
  <si>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</si>
  <si>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</si>
  <si>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</si>
  <si>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</si>
  <si>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</si>
  <si>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</si>
  <si>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</si>
  <si>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</si>
  <si>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</si>
  <si>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</si>
  <si>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</si>
  <si>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</si>
  <si>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</si>
  <si>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</si>
  <si>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</si>
  <si>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</si>
  <si>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</si>
  <si>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</si>
  <si>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</si>
  <si>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</si>
  <si>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</si>
  <si>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</si>
  <si>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</si>
  <si>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</si>
  <si>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</si>
  <si>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</si>
  <si>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</si>
  <si>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</si>
  <si>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</si>
  <si>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</si>
  <si>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</si>
  <si>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</si>
  <si>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</si>
  <si>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</si>
  <si>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</si>
  <si>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</si>
  <si>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</si>
  <si>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</si>
  <si>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</si>
  <si>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</si>
  <si>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</si>
  <si>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</si>
  <si>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</si>
  <si>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</si>
  <si>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</si>
  <si>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</si>
  <si>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</si>
  <si>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</si>
  <si>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</si>
  <si>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</si>
  <si>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</si>
  <si>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</si>
  <si>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</si>
  <si>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</si>
  <si>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</si>
  <si>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</si>
  <si>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</si>
  <si>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</si>
  <si>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</si>
  <si>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</si>
  <si>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</si>
  <si>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</si>
  <si>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</si>
  <si>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</si>
  <si>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</si>
  <si>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</si>
  <si>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</si>
  <si>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</si>
  <si>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</si>
  <si>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</si>
  <si>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</si>
  <si>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</si>
  <si>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</si>
  <si>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</si>
  <si>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</si>
  <si>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</si>
  <si>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</si>
  <si>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</si>
  <si>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</si>
  <si>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</si>
  <si>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</si>
  <si>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</si>
  <si>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</si>
  <si>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</si>
  <si>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</si>
  <si>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</si>
  <si>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</si>
  <si>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</si>
  <si>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</si>
  <si>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</si>
  <si>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</si>
  <si>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</si>
  <si>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</si>
  <si>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</si>
  <si>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</si>
  <si>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</si>
  <si>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</si>
  <si>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</si>
  <si>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</si>
  <si>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</si>
  <si>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</si>
  <si>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</si>
  <si>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</si>
  <si>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</si>
  <si>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</si>
  <si>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</si>
  <si>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</si>
  <si>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</si>
  <si>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</si>
  <si>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</si>
  <si>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</si>
  <si>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</si>
  <si>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</si>
  <si>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</si>
  <si>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</si>
  <si>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</si>
  <si>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</si>
  <si>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</si>
  <si>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</si>
  <si>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</si>
  <si>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</si>
  <si>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</si>
  <si>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</si>
  <si>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</si>
  <si>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</si>
  <si>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</si>
  <si>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</si>
  <si>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</si>
  <si>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</si>
  <si>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</si>
  <si>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</si>
  <si>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</si>
  <si>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</si>
  <si>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</si>
  <si>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</si>
  <si>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</si>
  <si>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</si>
  <si>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</si>
  <si>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</si>
  <si>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</si>
  <si>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</si>
  <si>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</si>
  <si>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</si>
  <si>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</si>
  <si>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</si>
  <si>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</si>
  <si>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</si>
  <si>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</si>
  <si>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</si>
  <si>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</si>
  <si>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</si>
  <si>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</si>
  <si>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</si>
  <si>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</si>
  <si>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</si>
  <si>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</si>
  <si>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</si>
  <si>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</si>
  <si>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</si>
  <si>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</si>
  <si>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</si>
  <si>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</si>
  <si>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</si>
  <si>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</si>
  <si>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</si>
  <si>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</si>
  <si>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</si>
  <si>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</si>
  <si>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</si>
  <si>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</si>
  <si>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</si>
  <si>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</si>
  <si>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</si>
  <si>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</si>
  <si>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</si>
  <si>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</si>
  <si>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</si>
  <si>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</si>
  <si>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</si>
  <si>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</si>
  <si>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</si>
  <si>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</si>
  <si>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</si>
  <si>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</si>
  <si>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</si>
  <si>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</si>
  <si>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</si>
  <si>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</si>
  <si>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</si>
  <si>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</si>
  <si>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</si>
  <si>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</si>
  <si>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</si>
  <si>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</si>
  <si>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</si>
  <si>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</si>
  <si>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</si>
  <si>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</si>
  <si>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</si>
  <si>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</si>
  <si>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</si>
  <si>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</si>
  <si>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</si>
  <si>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</si>
  <si>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</si>
  <si>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</si>
  <si>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</si>
  <si>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</si>
  <si>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</si>
  <si>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</si>
  <si>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</si>
  <si>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</si>
  <si>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</si>
  <si>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</si>
  <si>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</si>
  <si>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</si>
  <si>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</si>
  <si>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</si>
  <si>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</si>
  <si>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</si>
  <si>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</si>
  <si>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</si>
  <si>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</si>
  <si>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</si>
  <si>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</si>
  <si>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</si>
  <si>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</si>
  <si>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</si>
  <si>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</si>
  <si>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</si>
  <si>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</si>
  <si>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</si>
  <si>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</si>
  <si>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</si>
  <si>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</si>
  <si>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</si>
  <si>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</si>
  <si>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</si>
  <si>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</si>
  <si>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</si>
  <si>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</si>
  <si>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</si>
  <si>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</si>
  <si>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</si>
  <si>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</si>
  <si>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</si>
  <si>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</si>
  <si>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</si>
  <si>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</si>
  <si>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</si>
  <si>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</si>
  <si>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</si>
  <si>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</si>
  <si>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</si>
  <si>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</si>
  <si>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</si>
  <si>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</si>
  <si>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</si>
  <si>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</si>
  <si>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</si>
  <si>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</si>
  <si>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</si>
  <si>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</si>
  <si>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</si>
  <si>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</si>
  <si>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</si>
  <si>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</si>
  <si>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</si>
  <si>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</si>
  <si>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</si>
  <si>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</si>
  <si>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</si>
  <si>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</si>
  <si>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</si>
  <si>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</si>
  <si>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</si>
  <si>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</si>
  <si>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</si>
  <si>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</si>
  <si>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</si>
  <si>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</si>
  <si>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</si>
  <si>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</si>
  <si>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</si>
  <si>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</si>
  <si>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</si>
  <si>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</si>
  <si>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</si>
  <si>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</si>
  <si>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</si>
  <si>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</si>
  <si>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</si>
  <si>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</si>
  <si>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</si>
  <si>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</si>
  <si>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</si>
  <si>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</si>
  <si>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</si>
  <si>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</si>
  <si>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</si>
  <si>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</si>
  <si>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</si>
  <si>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</si>
  <si>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</si>
  <si>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</si>
  <si>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</si>
  <si>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</si>
  <si>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</si>
  <si>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</si>
  <si>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</si>
  <si>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</si>
  <si>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</si>
  <si>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</si>
  <si>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</si>
  <si>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</si>
  <si>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</si>
  <si>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</si>
  <si>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</si>
  <si>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</si>
  <si>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</si>
  <si>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</si>
  <si>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</si>
  <si>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</si>
  <si>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</si>
  <si>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</si>
  <si>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</si>
  <si>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</si>
  <si>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</si>
  <si>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</si>
  <si>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</si>
  <si>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</si>
  <si>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</si>
  <si>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</si>
  <si>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</si>
  <si>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</si>
  <si>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</si>
  <si>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</si>
  <si>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</si>
  <si>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</si>
  <si>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</si>
  <si>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</si>
  <si>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</si>
  <si>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</si>
  <si>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</si>
  <si>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</si>
  <si>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</si>
  <si>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</si>
  <si>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</si>
  <si>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</si>
  <si>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</si>
  <si>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</si>
  <si>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</si>
  <si>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</si>
  <si>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</si>
  <si>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</si>
  <si>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</si>
  <si>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</si>
  <si>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</si>
  <si>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</si>
  <si>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</si>
  <si>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</si>
  <si>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</si>
  <si>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</si>
  <si>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</si>
  <si>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</si>
  <si>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</si>
  <si>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</si>
  <si>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</si>
  <si>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</si>
  <si>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</si>
  <si>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</si>
  <si>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</si>
  <si>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</si>
  <si>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</si>
  <si>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</si>
  <si>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</si>
  <si>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</si>
  <si>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</si>
  <si>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</si>
  <si>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</si>
  <si>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</si>
  <si>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</si>
  <si>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</si>
  <si>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</si>
  <si>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</si>
  <si>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</si>
  <si>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</si>
  <si>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</si>
  <si>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</si>
  <si>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</si>
  <si>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</si>
  <si>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</si>
  <si>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</si>
  <si>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</si>
  <si>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</si>
  <si>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</si>
  <si>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</si>
  <si>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</si>
  <si>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</si>
  <si>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</si>
  <si>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</si>
  <si>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</si>
  <si>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</si>
  <si>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</si>
  <si>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</si>
  <si>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</si>
  <si>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</si>
  <si>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</si>
  <si>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</si>
  <si>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</si>
  <si>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</si>
  <si>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</si>
  <si>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</si>
  <si>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</si>
  <si>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</si>
  <si>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</si>
  <si>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</si>
  <si>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</si>
  <si>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</si>
  <si>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</si>
  <si>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</si>
  <si>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</si>
  <si>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</si>
  <si>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</si>
  <si>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</si>
  <si>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</si>
  <si>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</si>
  <si>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</si>
  <si>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</si>
  <si>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</si>
  <si>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</si>
  <si>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</si>
  <si>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</si>
  <si>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</si>
  <si>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</si>
  <si>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</si>
  <si>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</si>
  <si>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</si>
  <si>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</si>
  <si>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</si>
  <si>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</si>
  <si>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</si>
  <si>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</si>
  <si>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</si>
  <si>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</si>
  <si>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</si>
  <si>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</si>
  <si>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</si>
  <si>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</si>
  <si>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</si>
  <si>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</si>
  <si>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</si>
  <si>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</si>
  <si>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</si>
  <si>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</si>
  <si>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</si>
  <si>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</si>
  <si>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</si>
  <si>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</si>
  <si>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</si>
  <si>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</si>
  <si>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</si>
  <si>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</si>
  <si>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</si>
  <si>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</si>
  <si>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</si>
  <si>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</si>
  <si>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</si>
  <si>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</si>
  <si>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</si>
  <si>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</si>
  <si>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</si>
  <si>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</si>
  <si>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</si>
  <si>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</si>
  <si>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</si>
  <si>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</si>
  <si>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</si>
  <si>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</si>
  <si>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</si>
  <si>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</si>
  <si>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</si>
  <si>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</si>
  <si>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</si>
  <si>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</si>
  <si>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</si>
  <si>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</si>
  <si>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</si>
  <si>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</si>
  <si>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</si>
  <si>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</si>
  <si>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</si>
  <si>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</si>
  <si>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</si>
  <si>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</si>
  <si>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</si>
  <si>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</si>
  <si>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</si>
  <si>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</si>
  <si>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</si>
  <si>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</si>
  <si>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</si>
  <si>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</si>
  <si>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</si>
  <si>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</si>
  <si>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</si>
  <si>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</si>
  <si>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</si>
  <si>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</si>
  <si>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</si>
  <si>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</si>
  <si>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</si>
  <si>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</si>
  <si>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</si>
  <si>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</si>
  <si>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</si>
  <si>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</si>
  <si>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</si>
  <si>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</si>
  <si>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</si>
  <si>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</si>
  <si>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</si>
  <si>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</si>
  <si>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</si>
  <si>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</si>
  <si>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</si>
  <si>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</si>
  <si>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</si>
  <si>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</si>
  <si>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</si>
  <si>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</si>
  <si>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</si>
  <si>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</si>
  <si>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</si>
  <si>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</si>
  <si>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</si>
  <si>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</si>
  <si>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</si>
  <si>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</si>
  <si>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</si>
  <si>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</si>
  <si>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</si>
  <si>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</si>
  <si>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</si>
  <si>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</si>
  <si>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</si>
  <si>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</si>
  <si>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</si>
  <si>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</si>
  <si>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</si>
  <si>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</si>
  <si>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</si>
  <si>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</si>
  <si>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</si>
  <si>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</si>
  <si>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</si>
  <si>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</si>
  <si>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</si>
  <si>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</si>
  <si>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</si>
  <si>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</si>
  <si>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</si>
  <si>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</si>
  <si>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</si>
  <si>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</si>
  <si>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</si>
  <si>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</si>
  <si>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</si>
  <si>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</si>
  <si>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</si>
  <si>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</si>
  <si>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</si>
  <si>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</si>
  <si>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</si>
  <si>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</si>
  <si>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</si>
  <si>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</si>
  <si>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</si>
  <si>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</si>
  <si>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</si>
  <si>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</si>
  <si>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</si>
  <si>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</si>
  <si>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</si>
  <si>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</si>
  <si>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</si>
  <si>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</si>
  <si>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</si>
  <si>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</si>
  <si>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</si>
  <si>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</si>
  <si>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</si>
  <si>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</si>
  <si>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</si>
  <si>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</si>
  <si>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</si>
  <si>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</si>
  <si>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</si>
  <si>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</si>
  <si>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</si>
  <si>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</si>
  <si>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</si>
  <si>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</si>
  <si>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</si>
  <si>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</si>
  <si>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</si>
  <si>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</si>
  <si>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</si>
  <si>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</si>
  <si>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</si>
  <si>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</si>
  <si>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</si>
  <si>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</si>
  <si>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</si>
  <si>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</si>
  <si>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</si>
  <si>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</si>
  <si>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</si>
  <si>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</si>
  <si>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</si>
  <si>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</si>
  <si>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</si>
  <si>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</si>
  <si>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</si>
  <si>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</si>
  <si>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</si>
  <si>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</si>
  <si>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</si>
  <si>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</si>
  <si>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</si>
  <si>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</si>
  <si>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</si>
  <si>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</si>
  <si>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</si>
  <si>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</si>
  <si>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</si>
  <si>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</si>
  <si>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</si>
  <si>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</si>
  <si>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</si>
  <si>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</si>
  <si>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</si>
  <si>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</si>
  <si>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</si>
  <si>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</si>
  <si>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</si>
  <si>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</si>
  <si>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</si>
  <si>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</si>
  <si>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</si>
  <si>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</si>
  <si>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</si>
  <si>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</si>
  <si>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</si>
  <si>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</si>
  <si>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</si>
  <si>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</si>
  <si>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</si>
  <si>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</si>
  <si>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</si>
  <si>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</si>
  <si>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</si>
  <si>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</si>
  <si>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</si>
  <si>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</si>
  <si>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</si>
  <si>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</si>
  <si>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</si>
  <si>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</si>
  <si>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</si>
  <si>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</si>
  <si>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</si>
  <si>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</si>
  <si>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</si>
  <si>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</si>
  <si>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</si>
  <si>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</si>
  <si>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</si>
  <si>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</si>
  <si>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</si>
  <si>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</si>
  <si>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</si>
  <si>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</si>
  <si>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</si>
  <si>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</si>
  <si>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</si>
  <si>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</si>
  <si>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</si>
  <si>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</si>
  <si>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</si>
  <si>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</si>
  <si>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</si>
  <si>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</si>
  <si>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</si>
  <si>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</si>
  <si>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</si>
  <si>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</si>
  <si>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</si>
  <si>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</si>
  <si>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</si>
  <si>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</si>
  <si>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</si>
  <si>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</si>
  <si>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</si>
  <si>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</si>
  <si>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</si>
  <si>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</si>
  <si>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</si>
  <si>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</si>
  <si>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</si>
  <si>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</si>
  <si>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</si>
  <si>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</si>
  <si>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</si>
  <si>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</si>
  <si>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</si>
  <si>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</si>
  <si>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</si>
  <si>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</si>
  <si>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</si>
  <si>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</si>
  <si>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</si>
  <si>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</si>
  <si>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</si>
  <si>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</si>
  <si>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</si>
  <si>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</si>
  <si>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</si>
  <si>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</si>
  <si>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</si>
  <si>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</si>
  <si>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</si>
  <si>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</si>
  <si>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</si>
  <si>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</si>
  <si>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</si>
  <si>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</si>
  <si>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</si>
  <si>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</si>
  <si>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</si>
  <si>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</si>
  <si>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</si>
  <si>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</si>
  <si>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</si>
  <si>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</si>
  <si>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</si>
  <si>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</si>
  <si>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</si>
  <si>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</si>
  <si>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</si>
  <si>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</si>
  <si>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</si>
  <si>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</si>
  <si>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</si>
  <si>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</si>
  <si>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</si>
  <si>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</si>
  <si>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</si>
  <si>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</si>
  <si>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</si>
  <si>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</si>
  <si>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</si>
  <si>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</si>
  <si>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</si>
  <si>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</si>
  <si>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</si>
  <si>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</si>
  <si>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</si>
  <si>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</si>
  <si>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</si>
  <si>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</si>
  <si>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</si>
  <si>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</si>
  <si>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</si>
  <si>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</si>
  <si>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</si>
  <si>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</si>
  <si>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</si>
  <si>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</si>
  <si>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</si>
  <si>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</si>
  <si>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</si>
  <si>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</si>
  <si>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</si>
  <si>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</si>
  <si>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</si>
  <si>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</si>
  <si>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</si>
  <si>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</si>
  <si>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</si>
  <si>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</si>
  <si>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</si>
  <si>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</si>
  <si>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</si>
  <si>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</si>
  <si>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</si>
  <si>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</si>
  <si>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</si>
  <si>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</si>
  <si>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</si>
  <si>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</si>
  <si>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</si>
  <si>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</si>
  <si>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</si>
  <si>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</si>
  <si>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</si>
  <si>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</si>
  <si>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</si>
  <si>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</si>
  <si>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</si>
  <si>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</si>
  <si>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</si>
  <si>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</si>
  <si>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</si>
  <si>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</si>
  <si>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</si>
  <si>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</si>
  <si>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</si>
  <si>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</si>
  <si>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</si>
  <si>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</si>
  <si>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</si>
  <si>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</si>
  <si>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</si>
  <si>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</si>
  <si>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</si>
  <si>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</si>
  <si>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</si>
  <si>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</si>
  <si>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</si>
  <si>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</si>
  <si>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</si>
  <si>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</si>
  <si>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</si>
  <si>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</si>
  <si>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</si>
  <si>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</si>
  <si>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</si>
  <si>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</si>
  <si>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</si>
  <si>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</si>
  <si>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</si>
  <si>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</si>
  <si>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</si>
  <si>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</si>
  <si>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</si>
  <si>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</si>
  <si>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</si>
  <si>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</si>
  <si>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</si>
  <si>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</si>
  <si>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</si>
  <si>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</si>
  <si>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</si>
  <si>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</si>
  <si>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</si>
  <si>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</si>
  <si>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</si>
  <si>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</si>
  <si>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</si>
  <si>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</si>
  <si>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</si>
  <si>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</si>
  <si>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</si>
  <si>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</si>
  <si>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</si>
  <si>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</si>
  <si>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</si>
  <si>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</si>
  <si>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</si>
  <si>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</si>
  <si>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</si>
  <si>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</si>
  <si>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</si>
  <si>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</si>
  <si>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</si>
  <si>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</si>
  <si>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</si>
  <si>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</si>
  <si>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</si>
  <si>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</si>
  <si>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</si>
  <si>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</si>
  <si>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</si>
  <si>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</si>
  <si>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</si>
  <si>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</si>
  <si>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</si>
  <si>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</si>
  <si>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</si>
  <si>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</si>
  <si>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</si>
  <si>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</si>
  <si>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</si>
  <si>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</si>
  <si>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</si>
  <si>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</si>
  <si>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</si>
  <si>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</si>
  <si>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</si>
  <si>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</si>
  <si>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</si>
  <si>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</si>
  <si>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</si>
  <si>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</si>
  <si>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</si>
  <si>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</si>
  <si>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</si>
  <si>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</si>
  <si>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</si>
  <si>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</si>
  <si>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</si>
  <si>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</si>
  <si>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</si>
  <si>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</si>
  <si>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</si>
  <si>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</si>
  <si>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</si>
  <si>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</si>
  <si>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</si>
  <si>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</si>
  <si>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</si>
  <si>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</si>
  <si>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</si>
  <si>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</si>
  <si>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</si>
  <si>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</si>
  <si>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</si>
  <si>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</si>
  <si>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</si>
  <si>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</si>
  <si>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</si>
  <si>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</si>
  <si>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</si>
  <si>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</si>
  <si>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</si>
  <si>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</si>
  <si>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</si>
  <si>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</si>
  <si>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</si>
  <si>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</si>
  <si>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</si>
  <si>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</si>
  <si>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</si>
  <si>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</si>
  <si>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</si>
  <si>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</si>
  <si>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</si>
  <si>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</si>
  <si>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</si>
  <si>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</si>
  <si>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</si>
  <si>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</si>
  <si>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</si>
  <si>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</si>
  <si>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</si>
  <si>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</si>
  <si>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</si>
  <si>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</si>
  <si>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</si>
  <si>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</si>
  <si>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</si>
  <si>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</si>
  <si>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</si>
  <si>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</si>
  <si>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</si>
  <si>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</si>
  <si>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</si>
  <si>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</si>
  <si>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</si>
  <si>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</si>
  <si>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</si>
  <si>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</si>
  <si>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</si>
  <si>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</si>
  <si>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</si>
  <si>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</si>
  <si>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</si>
  <si>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</si>
  <si>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</si>
  <si>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</si>
  <si>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</si>
  <si>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</si>
  <si>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</si>
  <si>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</si>
  <si>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</si>
  <si>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</si>
  <si>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</si>
  <si>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</si>
  <si>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</si>
  <si>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</si>
  <si>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</si>
  <si>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</si>
  <si>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</si>
  <si>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</si>
  <si>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</si>
  <si>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</si>
  <si>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</si>
  <si>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</si>
  <si>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</si>
  <si>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</si>
  <si>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</si>
  <si>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</si>
  <si>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</si>
  <si>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</si>
  <si>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</si>
  <si>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</si>
  <si>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</si>
  <si>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</si>
  <si>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</si>
  <si>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</si>
  <si>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</si>
  <si>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</si>
  <si>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</si>
  <si>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</si>
  <si>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</si>
  <si>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</si>
  <si>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</si>
  <si>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</si>
  <si>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</si>
  <si>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</si>
  <si>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</si>
  <si>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</si>
  <si>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</si>
  <si>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</si>
  <si>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</si>
  <si>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</si>
  <si>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</si>
  <si>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</si>
  <si>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</si>
  <si>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</si>
  <si>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</si>
  <si>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</si>
  <si>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</si>
  <si>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</si>
  <si>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</si>
  <si>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</si>
  <si>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</si>
  <si>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</si>
  <si>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</si>
  <si>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</si>
  <si>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</si>
  <si>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</si>
  <si>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</si>
  <si>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</si>
  <si>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</si>
  <si>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</si>
  <si>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</si>
  <si>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</si>
  <si>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</si>
  <si>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</si>
  <si>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</si>
  <si>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</si>
  <si>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</si>
  <si>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</si>
  <si>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</si>
  <si>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</si>
  <si>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</si>
  <si>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</si>
  <si>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</si>
  <si>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</si>
  <si>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</si>
  <si>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</si>
  <si>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</si>
  <si>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</si>
  <si>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</si>
  <si>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</si>
  <si>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</si>
  <si>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</si>
  <si>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</si>
  <si>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</si>
  <si>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</si>
  <si>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</si>
  <si>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</si>
  <si>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</si>
  <si>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</si>
  <si>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</si>
  <si>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</si>
  <si>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</si>
  <si>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</si>
  <si>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</si>
  <si>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</si>
  <si>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</si>
  <si>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</si>
  <si>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</si>
  <si>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</si>
  <si>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</si>
  <si>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</si>
  <si>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</si>
  <si>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</si>
  <si>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</si>
  <si>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</si>
  <si>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</si>
  <si>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</si>
  <si>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</si>
  <si>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</si>
  <si>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</si>
  <si>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</si>
  <si>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</si>
  <si>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</si>
  <si>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</si>
  <si>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</si>
  <si>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</si>
  <si>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</si>
  <si>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</si>
  <si>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</si>
  <si>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</si>
  <si>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</si>
  <si>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</si>
  <si>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</si>
  <si>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</si>
  <si>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</si>
  <si>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</si>
  <si>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</si>
  <si>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</si>
  <si>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</si>
  <si>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</si>
  <si>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</si>
  <si>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</si>
  <si>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</si>
  <si>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</si>
  <si>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</si>
  <si>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</si>
  <si>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</si>
  <si>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</si>
  <si>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</si>
  <si>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</si>
  <si>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</si>
  <si>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</si>
  <si>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</si>
  <si>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</si>
  <si>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</si>
  <si>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</si>
  <si>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</si>
  <si>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</si>
  <si>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</si>
  <si>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</si>
  <si>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</si>
  <si>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</si>
  <si>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</si>
  <si>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</si>
  <si>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</si>
  <si>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</si>
  <si>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</si>
  <si>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</si>
  <si>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</si>
  <si>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</si>
  <si>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</si>
  <si>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</si>
  <si>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</si>
  <si>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</si>
  <si>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</si>
  <si>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</si>
  <si>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</si>
  <si>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</si>
  <si>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</si>
  <si>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</si>
  <si>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</si>
  <si>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</si>
  <si>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</si>
  <si>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</si>
  <si>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</si>
  <si>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</si>
  <si>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</si>
  <si>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</si>
  <si>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</si>
  <si>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</si>
  <si>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</si>
  <si>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</si>
  <si>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</si>
  <si>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</si>
  <si>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</si>
  <si>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</si>
  <si>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</si>
  <si>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</si>
  <si>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</si>
  <si>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</si>
  <si>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</si>
  <si>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</si>
  <si>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</si>
  <si>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</si>
  <si>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</si>
  <si>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</si>
  <si>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</si>
  <si>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</si>
  <si>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</si>
  <si>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</si>
  <si>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</si>
  <si>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</si>
  <si>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</si>
  <si>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</si>
  <si>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</si>
  <si>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</si>
  <si>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</si>
  <si>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</si>
  <si>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</si>
  <si>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</si>
  <si>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</si>
  <si>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</si>
  <si>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</si>
  <si>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</si>
  <si>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</si>
  <si>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</si>
  <si>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</si>
  <si>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</si>
  <si>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</si>
  <si>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</si>
  <si>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</si>
  <si>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</si>
  <si>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</si>
  <si>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</si>
  <si>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</si>
  <si>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</si>
  <si>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</si>
  <si>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</si>
  <si>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</si>
  <si>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</si>
  <si>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</si>
  <si>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</si>
  <si>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</si>
  <si>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</si>
  <si>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</si>
  <si>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</si>
  <si>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</si>
  <si>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</si>
  <si>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</si>
  <si>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</si>
  <si>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</si>
  <si>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</si>
  <si>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</si>
  <si>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</si>
  <si>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</si>
  <si>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</si>
  <si>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</si>
  <si>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</si>
  <si>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</si>
  <si>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</si>
  <si>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</si>
  <si>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</si>
  <si>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</si>
  <si>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</si>
  <si>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</si>
  <si>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</si>
  <si>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</si>
  <si>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</si>
  <si>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</si>
  <si>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</si>
  <si>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</si>
  <si>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</si>
  <si>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</si>
  <si>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</si>
  <si>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</si>
  <si>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</si>
  <si>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</si>
  <si>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</si>
  <si>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</si>
  <si>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</si>
  <si>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</si>
  <si>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</si>
  <si>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</si>
  <si>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</si>
  <si>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</si>
  <si>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</si>
  <si>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</si>
  <si>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</si>
  <si>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</si>
  <si>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</si>
  <si>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</si>
  <si>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</si>
  <si>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</si>
  <si>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</si>
  <si>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</si>
  <si>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</si>
  <si>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</si>
  <si>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</si>
  <si>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</si>
  <si>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</si>
  <si>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</si>
  <si>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</si>
  <si>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</si>
  <si>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</si>
  <si>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</si>
  <si>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</si>
  <si>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</si>
  <si>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</si>
  <si>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</si>
  <si>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</si>
  <si>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</si>
  <si>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</si>
  <si>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</si>
  <si>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</si>
  <si>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</si>
  <si>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</si>
  <si>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</si>
  <si>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</si>
  <si>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</si>
  <si>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</si>
  <si>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</si>
  <si>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</si>
  <si>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</si>
  <si>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</si>
  <si>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</si>
  <si>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</si>
  <si>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</si>
  <si>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</si>
  <si>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</si>
  <si>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</si>
  <si>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</si>
  <si>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</si>
  <si>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</si>
  <si>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</si>
  <si>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</si>
  <si>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</si>
  <si>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</si>
  <si>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</si>
  <si>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</si>
  <si>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</si>
  <si>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</si>
  <si>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</si>
  <si>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</si>
  <si>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</si>
  <si>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</si>
  <si>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</si>
  <si>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</si>
  <si>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</si>
  <si>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</si>
  <si>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</si>
  <si>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</si>
  <si>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</si>
  <si>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</si>
  <si>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</si>
  <si>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</si>
  <si>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</si>
  <si>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</si>
  <si>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</si>
  <si>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</si>
  <si>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</si>
  <si>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</si>
  <si>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</si>
  <si>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</si>
  <si>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</si>
  <si>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</si>
  <si>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</si>
  <si>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</si>
  <si>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</si>
  <si>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</si>
  <si>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</si>
  <si>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</si>
  <si>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</si>
  <si>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</si>
  <si>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</si>
  <si>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</si>
  <si>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</si>
  <si>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</si>
  <si>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</si>
  <si>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</si>
  <si>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</si>
  <si>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</si>
  <si>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</si>
  <si>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</si>
  <si>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</si>
  <si>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</si>
  <si>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</si>
  <si>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</si>
  <si>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</si>
  <si>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</si>
  <si>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</si>
  <si>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</si>
  <si>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</si>
  <si>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</si>
  <si>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</si>
  <si>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</si>
  <si>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</si>
  <si>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</si>
  <si>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</si>
  <si>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</si>
  <si>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</si>
  <si>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</si>
  <si>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</si>
  <si>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</si>
  <si>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</si>
  <si>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</si>
  <si>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</si>
  <si>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</si>
  <si>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</si>
  <si>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</si>
  <si>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</si>
  <si>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</si>
  <si>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</si>
  <si>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</si>
  <si>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</si>
  <si>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</si>
  <si>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</si>
  <si>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</si>
  <si>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</si>
  <si>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</si>
  <si>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</si>
  <si>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</si>
  <si>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</si>
  <si>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</si>
  <si>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</si>
  <si>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</si>
  <si>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</si>
  <si>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</si>
  <si>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</si>
  <si>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</si>
  <si>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</si>
  <si>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</si>
  <si>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</si>
  <si>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</si>
  <si>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</si>
  <si>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</si>
  <si>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</si>
  <si>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</si>
  <si>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</si>
  <si>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</si>
  <si>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</si>
  <si>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</si>
  <si>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</si>
  <si>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</si>
  <si>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</si>
  <si>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</si>
  <si>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</si>
  <si>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</si>
  <si>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</si>
  <si>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</si>
  <si>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</si>
  <si>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</si>
  <si>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</si>
  <si>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</si>
  <si>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</si>
  <si>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</si>
  <si>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</si>
  <si>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</si>
  <si>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</si>
  <si>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</si>
  <si>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</si>
  <si>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</si>
  <si>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</si>
  <si>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</si>
  <si>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</si>
  <si>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</si>
  <si>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</si>
  <si>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</si>
  <si>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</si>
  <si>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</si>
  <si>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</si>
  <si>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</si>
  <si>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欧红伟</t>
  </si>
  <si>
    <t>崔锴</t>
  </si>
  <si>
    <t>抵押</t>
  </si>
  <si>
    <t>房地产抵押价值</t>
  </si>
  <si>
    <t>北京市</t>
  </si>
  <si>
    <t>企业</t>
  </si>
  <si>
    <t>出让</t>
  </si>
  <si>
    <t>是</t>
  </si>
  <si>
    <t>否</t>
  </si>
  <si>
    <t>地上</t>
  </si>
  <si>
    <t>不动产权证号</t>
    <phoneticPr fontId="144" type="noConversion"/>
  </si>
  <si>
    <r>
      <t>京（2</t>
    </r>
    <r>
      <rPr>
        <sz val="11"/>
        <color theme="1"/>
        <rFont val="宋体"/>
        <family val="3"/>
        <charset val="134"/>
        <scheme val="minor"/>
      </rPr>
      <t>016）海淀区不动产权第0023604号</t>
    </r>
    <phoneticPr fontId="144" type="noConversion"/>
  </si>
  <si>
    <t>建筑面积</t>
    <phoneticPr fontId="144" type="noConversion"/>
  </si>
  <si>
    <t>房号</t>
    <phoneticPr fontId="144" type="noConversion"/>
  </si>
  <si>
    <r>
      <t>京（2016）海淀区不动产权第0023602号</t>
    </r>
    <r>
      <rPr>
        <sz val="11"/>
        <color theme="1"/>
        <rFont val="宋体"/>
        <family val="2"/>
        <charset val="134"/>
        <scheme val="minor"/>
      </rPr>
      <t/>
    </r>
    <phoneticPr fontId="144" type="noConversion"/>
  </si>
  <si>
    <r>
      <t>京（2016）海淀区不动产权第0023711号</t>
    </r>
    <r>
      <rPr>
        <sz val="11"/>
        <color theme="1"/>
        <rFont val="宋体"/>
        <family val="2"/>
        <charset val="134"/>
        <scheme val="minor"/>
      </rPr>
      <t/>
    </r>
    <phoneticPr fontId="144" type="noConversion"/>
  </si>
  <si>
    <r>
      <t>京（2016）海淀区不动产权第0023714号</t>
    </r>
    <r>
      <rPr>
        <sz val="11"/>
        <color theme="1"/>
        <rFont val="宋体"/>
        <family val="2"/>
        <charset val="134"/>
        <scheme val="minor"/>
      </rPr>
      <t/>
    </r>
    <phoneticPr fontId="144" type="noConversion"/>
  </si>
  <si>
    <r>
      <t>京（2016）海淀区不动产权第0023720号</t>
    </r>
    <r>
      <rPr>
        <sz val="11"/>
        <color theme="1"/>
        <rFont val="宋体"/>
        <family val="2"/>
        <charset val="134"/>
        <scheme val="minor"/>
      </rPr>
      <t/>
    </r>
    <phoneticPr fontId="144" type="noConversion"/>
  </si>
  <si>
    <t>京（2016）海淀区不动产权第0023721号</t>
  </si>
  <si>
    <t>京（2016）海淀区不动产权第0023722号</t>
  </si>
  <si>
    <t>京（2016）海淀区不动产权第0023724号</t>
    <phoneticPr fontId="144" type="noConversion"/>
  </si>
  <si>
    <t>京（2016）海淀区不动产权第0024079号</t>
    <phoneticPr fontId="144" type="noConversion"/>
  </si>
  <si>
    <t>京（2016）海淀区不动产权第0023316号</t>
    <phoneticPr fontId="144" type="noConversion"/>
  </si>
  <si>
    <t>京（2016）海淀区不动产权第0023317号</t>
  </si>
  <si>
    <t>京（2016）海淀区不动产权第0023318号</t>
  </si>
  <si>
    <t>京（2016）海淀区不动产权第0024813号</t>
    <phoneticPr fontId="144" type="noConversion"/>
  </si>
  <si>
    <t>京（2015）海淀区不动产权第0029235号</t>
    <phoneticPr fontId="144" type="noConversion"/>
  </si>
  <si>
    <t>京（2015）海淀区不动产权第0029262号</t>
    <phoneticPr fontId="144" type="noConversion"/>
  </si>
  <si>
    <t>京（2015）海淀区不动产权第0029252号</t>
    <phoneticPr fontId="144" type="noConversion"/>
  </si>
  <si>
    <t>京（2015）海淀区不动产权第0029216号</t>
    <phoneticPr fontId="144" type="noConversion"/>
  </si>
  <si>
    <t>京（2015）海淀区不动产权第0029242号</t>
    <phoneticPr fontId="144" type="noConversion"/>
  </si>
  <si>
    <t>京（2015）海淀区不动产权第0029244号</t>
    <phoneticPr fontId="144" type="noConversion"/>
  </si>
  <si>
    <t>京（2016）海淀区不动产权第0024805号</t>
    <phoneticPr fontId="144" type="noConversion"/>
  </si>
  <si>
    <t>京（2016）海淀区不动产权第0024812号</t>
    <phoneticPr fontId="144" type="noConversion"/>
  </si>
  <si>
    <t>京（2015）海淀区不动产权第0029226号</t>
    <phoneticPr fontId="144" type="noConversion"/>
  </si>
  <si>
    <t>京（2015）海淀区不动产权第0029227号</t>
    <phoneticPr fontId="144" type="noConversion"/>
  </si>
  <si>
    <t>京（2015）海淀区不动产权第0029231号</t>
    <phoneticPr fontId="144" type="noConversion"/>
  </si>
  <si>
    <t>京（2015）海淀区不动产权第0029232号</t>
    <phoneticPr fontId="144" type="noConversion"/>
  </si>
  <si>
    <t>京（2016）海淀区不动产权第0024815号</t>
    <phoneticPr fontId="144" type="noConversion"/>
  </si>
  <si>
    <t>京（2016）海淀区不动产权第0024820号</t>
    <phoneticPr fontId="144" type="noConversion"/>
  </si>
  <si>
    <t>京（2015）海淀区不动产权第0029259号</t>
    <phoneticPr fontId="144" type="noConversion"/>
  </si>
  <si>
    <t>京（2016）海淀区不动产权第0024804号</t>
    <phoneticPr fontId="144" type="noConversion"/>
  </si>
  <si>
    <t>京（2016）海淀区不动产权第0023484号</t>
    <phoneticPr fontId="144" type="noConversion"/>
  </si>
  <si>
    <t>京（2016）海淀区不动产权第0023643号</t>
    <phoneticPr fontId="144" type="noConversion"/>
  </si>
  <si>
    <t>京（2016）海淀区不动产权第0023644号</t>
    <phoneticPr fontId="144" type="noConversion"/>
  </si>
  <si>
    <t>京（2016）海淀区不动产权第0023645号</t>
    <phoneticPr fontId="144" type="noConversion"/>
  </si>
  <si>
    <t>京（2016）海淀区不动产权第0023655号</t>
    <phoneticPr fontId="144" type="noConversion"/>
  </si>
  <si>
    <t>京（2015）海淀区不动产权第0028003号</t>
    <phoneticPr fontId="144" type="noConversion"/>
  </si>
  <si>
    <t>京（2015）海淀区不动产权第0028007号</t>
    <phoneticPr fontId="144" type="noConversion"/>
  </si>
  <si>
    <t>京（2015）海淀区不动产权第0028008号</t>
  </si>
  <si>
    <t>京（2015）海淀区不动产权第0028015号</t>
    <phoneticPr fontId="144" type="noConversion"/>
  </si>
  <si>
    <t>京（2015）海淀区不动产权第0028019号</t>
    <phoneticPr fontId="144" type="noConversion"/>
  </si>
  <si>
    <t>京（2015）海淀区不动产权第0028022号</t>
    <phoneticPr fontId="144" type="noConversion"/>
  </si>
  <si>
    <t>京（2015）海淀区不动产权第0028030号</t>
    <phoneticPr fontId="144" type="noConversion"/>
  </si>
  <si>
    <t>京（2016）海淀区不动产权第0019725号</t>
    <phoneticPr fontId="144" type="noConversion"/>
  </si>
  <si>
    <t>京（2016）海淀区不动产权第0019732号</t>
    <phoneticPr fontId="144" type="noConversion"/>
  </si>
  <si>
    <t>京（2016）海淀区不动产权第0019733号</t>
    <phoneticPr fontId="144" type="noConversion"/>
  </si>
  <si>
    <t>京（2016）海淀区不动产权第0019735号</t>
    <phoneticPr fontId="144" type="noConversion"/>
  </si>
  <si>
    <t>京（2016）海淀区不动产权第0019737号</t>
    <phoneticPr fontId="144" type="noConversion"/>
  </si>
  <si>
    <t>京（2016）海淀区不动产权第0019738号</t>
  </si>
  <si>
    <t>京（2016）海淀区不动产权第0019740号</t>
    <phoneticPr fontId="144" type="noConversion"/>
  </si>
  <si>
    <t>京（2016）海淀区不动产权第0019742号</t>
    <phoneticPr fontId="144" type="noConversion"/>
  </si>
  <si>
    <t>京（2016）海淀区不动产权第0019749号</t>
    <phoneticPr fontId="144" type="noConversion"/>
  </si>
  <si>
    <t>京（2016）海淀区不动产权第0019748号</t>
    <phoneticPr fontId="144" type="noConversion"/>
  </si>
  <si>
    <t>京（2016）海淀区不动产权第0023679号</t>
    <phoneticPr fontId="144" type="noConversion"/>
  </si>
  <si>
    <t>京（2016）海淀区不动产权第0023682号</t>
    <phoneticPr fontId="144" type="noConversion"/>
  </si>
  <si>
    <t>京（2016）海淀区不动产权第0023687号</t>
    <phoneticPr fontId="144" type="noConversion"/>
  </si>
  <si>
    <t>京（2016）海淀区不动产权第0023486号</t>
    <phoneticPr fontId="144" type="noConversion"/>
  </si>
  <si>
    <t>京（2016）海淀区不动产权第0023629号</t>
    <phoneticPr fontId="144" type="noConversion"/>
  </si>
  <si>
    <t>京（2016）海淀区不动产权第0023625号</t>
    <phoneticPr fontId="144" type="noConversion"/>
  </si>
  <si>
    <t>京（2016）海淀区不动产权第0023610号</t>
    <phoneticPr fontId="144" type="noConversion"/>
  </si>
  <si>
    <t>京（2016）海淀区不动产权第0023614号</t>
    <phoneticPr fontId="144" type="noConversion"/>
  </si>
  <si>
    <t>京（2016）海淀区不动产权第0023711号</t>
  </si>
  <si>
    <t>京（2016）海淀区不动产权第0023714号</t>
  </si>
  <si>
    <t>京（2016）海淀区不动产权第0023720号</t>
  </si>
  <si>
    <t>京（2016）海淀区不动产权第0023724号</t>
  </si>
  <si>
    <t>京（2016）海淀区不动产权第0024079号</t>
  </si>
  <si>
    <t>京（2016）海淀区不动产权第0023316号</t>
  </si>
  <si>
    <t>京（2016）海淀区不动产权第0024813号</t>
  </si>
  <si>
    <t>京（2015）海淀区不动产权第0029235号</t>
  </si>
  <si>
    <t>京（2015）海淀区不动产权第0029262号</t>
  </si>
  <si>
    <t>京（2015）海淀区不动产权第0029252号</t>
  </si>
  <si>
    <t>京（2015）海淀区不动产权第0029216号</t>
  </si>
  <si>
    <t>京（2015）海淀区不动产权第0029242号</t>
  </si>
  <si>
    <t>京（2015）海淀区不动产权第0029244号</t>
  </si>
  <si>
    <t>京（2016）海淀区不动产权第0024805号</t>
  </si>
  <si>
    <t>京（2016）海淀区不动产权第0024812号</t>
  </si>
  <si>
    <t>京（2015）海淀区不动产权第0029226号</t>
  </si>
  <si>
    <t>京（2015）海淀区不动产权第0029227号</t>
  </si>
  <si>
    <t>京（2015）海淀区不动产权第0029231号</t>
  </si>
  <si>
    <t>京（2015）海淀区不动产权第0029232号</t>
  </si>
  <si>
    <t>京（2016）海淀区不动产权第0024815号</t>
  </si>
  <si>
    <t>京（2016）海淀区不动产权第0024820号</t>
  </si>
  <si>
    <t>京（2015）海淀区不动产权第0029259号</t>
  </si>
  <si>
    <t>京（2016）海淀区不动产权第0024804号</t>
  </si>
  <si>
    <t>京（2016）海淀区不动产权第0023484号</t>
  </si>
  <si>
    <t>京（2016）海淀区不动产权第0023643号</t>
  </si>
  <si>
    <t>京（2016）海淀区不动产权第0023644号</t>
  </si>
  <si>
    <t>京（2016）海淀区不动产权第0023645号</t>
  </si>
  <si>
    <t>京（2016）海淀区不动产权第0023655号</t>
  </si>
  <si>
    <t>京（2015）海淀区不动产权第0028003号</t>
  </si>
  <si>
    <t>京（2015）海淀区不动产权第0028007号</t>
  </si>
  <si>
    <t>京（2015）海淀区不动产权第0028015号</t>
  </si>
  <si>
    <t>京（2015）海淀区不动产权第0028019号</t>
  </si>
  <si>
    <t>京（2015）海淀区不动产权第0028022号</t>
  </si>
  <si>
    <t>京（2015）海淀区不动产权第0028030号</t>
  </si>
  <si>
    <t>京（2016）海淀区不动产权第0019725号</t>
  </si>
  <si>
    <t>京（2016）海淀区不动产权第0019732号</t>
  </si>
  <si>
    <t>京（2016）海淀区不动产权第0019733号</t>
  </si>
  <si>
    <t>京（2016）海淀区不动产权第0019735号</t>
  </si>
  <si>
    <t>京（2016）海淀区不动产权第0019737号</t>
  </si>
  <si>
    <t>京（2016）海淀区不动产权第0019740号</t>
  </si>
  <si>
    <t>京（2016）海淀区不动产权第0019742号</t>
  </si>
  <si>
    <t>京（2016）海淀区不动产权第0019749号</t>
  </si>
  <si>
    <t>京（2016）海淀区不动产权第0019748号</t>
  </si>
  <si>
    <t>京（2016）海淀区不动产权第0023679号</t>
  </si>
  <si>
    <t>京（2016）海淀区不动产权第0023682号</t>
  </si>
  <si>
    <t>京（2016）海淀区不动产权第0023687号</t>
  </si>
  <si>
    <t>京（2016）海淀区不动产权第0023486号</t>
  </si>
  <si>
    <t>京（2016）海淀区不动产权第0023629号</t>
  </si>
  <si>
    <t>京（2016）海淀区不动产权第0023625号</t>
  </si>
  <si>
    <t>京（2016）海淀区不动产权第0023610号</t>
  </si>
  <si>
    <t>京（2016）海淀区不动产权第0023614号</t>
  </si>
  <si>
    <t>京（2016）海淀区不动产权第0023604号</t>
  </si>
  <si>
    <t>京（2016）海淀区不动产权第0023602号</t>
  </si>
  <si>
    <t>全部缴纳</t>
  </si>
  <si>
    <t>已包含在土地取得成本中</t>
  </si>
  <si>
    <t>未包含在土地购买价格中</t>
  </si>
  <si>
    <t>现房</t>
  </si>
  <si>
    <t>钢混</t>
  </si>
  <si>
    <t>非生产用房</t>
  </si>
  <si>
    <t>押一</t>
  </si>
  <si>
    <t>商业</t>
    <phoneticPr fontId="8" type="noConversion"/>
  </si>
  <si>
    <t>成新度</t>
  </si>
  <si>
    <t>收益法</t>
  </si>
  <si>
    <t>按租金收入计税</t>
  </si>
  <si>
    <t>不临58条商业街</t>
  </si>
  <si>
    <t>七通一平</t>
  </si>
  <si>
    <t>一致</t>
  </si>
  <si>
    <t>按公示增长率计算</t>
  </si>
  <si>
    <t>自定义容积率</t>
  </si>
  <si>
    <t>1层</t>
    <phoneticPr fontId="144" type="noConversion"/>
  </si>
  <si>
    <t>2层</t>
  </si>
  <si>
    <t>3层</t>
  </si>
  <si>
    <t>4层</t>
  </si>
  <si>
    <t>成本法</t>
  </si>
  <si>
    <t>商业项目</t>
  </si>
  <si>
    <t>无</t>
  </si>
  <si>
    <t>2018-1-0492-P01DYGJ1</t>
    <phoneticPr fontId="7" type="noConversion"/>
  </si>
  <si>
    <t>北京华光同创科技有限公司、北京康思敏捷商贸有限公司</t>
    <phoneticPr fontId="7" type="noConversion"/>
  </si>
  <si>
    <t>华夏银行股份有限公司北京四道口支行</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</si>
  <si>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0023711</t>
    </r>
    <r>
      <rPr>
        <sz val="12"/>
        <color theme="9" tint="-0.249977111117893"/>
        <rFont val="宋体"/>
        <family val="3"/>
        <charset val="134"/>
      </rPr>
      <t>号等</t>
    </r>
    <r>
      <rPr>
        <sz val="12"/>
        <color theme="9" tint="-0.249977111117893"/>
        <rFont val="Arial"/>
        <family val="2"/>
      </rPr>
      <t>]</t>
    </r>
    <phoneticPr fontId="7" type="noConversion"/>
  </si>
  <si>
    <t>较好</t>
  </si>
  <si>
    <t>好</t>
  </si>
  <si>
    <r>
      <rPr>
        <sz val="12"/>
        <color theme="9" tint="-0.249977111117893"/>
        <rFont val="宋体"/>
        <family val="3"/>
        <charset val="134"/>
      </rPr>
      <t>海淀区西翠路</t>
    </r>
    <r>
      <rPr>
        <sz val="12"/>
        <color theme="9" tint="-0.249977111117893"/>
        <rFont val="Arial"/>
        <family val="2"/>
      </rPr>
      <t>17</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号等</t>
    </r>
    <r>
      <rPr>
        <sz val="12"/>
        <color theme="9" tint="-0.249977111117893"/>
        <rFont val="Arial"/>
        <family val="2"/>
      </rPr>
      <t>49</t>
    </r>
    <r>
      <rPr>
        <sz val="12"/>
        <color theme="9" tint="-0.249977111117893"/>
        <rFont val="宋体"/>
        <family val="3"/>
        <charset val="134"/>
      </rPr>
      <t>套配套用房</t>
    </r>
    <phoneticPr fontId="7" type="noConversion"/>
  </si>
  <si>
    <t>建筑物价值</t>
  </si>
  <si>
    <t>出让国有建设用地使用权价值</t>
  </si>
  <si>
    <t>估价对象位于五棵松卓展商圈，周边商业氛围较成熟，人流量较大，商业繁华度较好</t>
    <phoneticPr fontId="26" type="noConversion"/>
  </si>
  <si>
    <t>——</t>
    <phoneticPr fontId="42" type="noConversion"/>
  </si>
  <si>
    <t>——</t>
    <phoneticPr fontId="26" type="noConversion"/>
  </si>
  <si>
    <t>估价对象周边有634、78、436路等公交线路及地铁1号线经过、公共交通通达情况较好、停车便捷程度较好，综合评价交通便捷度较好</t>
    <phoneticPr fontId="42" type="noConversion"/>
  </si>
  <si>
    <t>估价对象临街宽度和深度较适宜，土地利用情况较好</t>
    <phoneticPr fontId="80" type="noConversion"/>
  </si>
  <si>
    <t>宗地形状较规则，宗地利用程度较高</t>
    <phoneticPr fontId="80" type="noConversion"/>
  </si>
  <si>
    <t>估价对象所在区域有医院、商场、学校等公共配套设施较齐备</t>
    <phoneticPr fontId="42" type="noConversion"/>
  </si>
  <si>
    <t>估价对象所在区域基础设施水平达七通</t>
    <phoneticPr fontId="26" type="noConversion"/>
  </si>
  <si>
    <t>区域自然环境：有五棵松公园、定慧公园等；人文环境：国家开放大学(五棵松校区)等；综合评价环境状况较好</t>
    <phoneticPr fontId="42" type="noConversion"/>
  </si>
  <si>
    <t>基准地价</t>
  </si>
  <si>
    <t>租金</t>
    <phoneticPr fontId="80" type="noConversion"/>
  </si>
  <si>
    <t>批发零售用地</t>
  </si>
  <si>
    <t>一般</t>
  </si>
  <si>
    <t>超出收益期的土地使用年限或建筑物价值折现计算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</si>
</sst>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2"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255" fillId="0" borderId="0" xfId="0" applyFont="1" applyAlignment="1">
      <alignment horizontal="center" vertical="center"/>
    </xf>
    <xf numFmtId="0" fontId="51"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42" fillId="0" borderId="1" xfId="0" applyNumberFormat="1"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protection locked="0"/>
    </xf>
    <xf numFmtId="177" fontId="121" fillId="5" borderId="1" xfId="1" applyNumberFormat="1" applyFont="1" applyFill="1" applyBorder="1" applyAlignment="1" applyProtection="1">
      <alignment horizontal="center" vertical="center"/>
      <protection locked="0"/>
    </xf>
    <xf numFmtId="0" fontId="121" fillId="5" borderId="1" xfId="0" applyNumberFormat="1" applyFont="1" applyFill="1" applyBorder="1" applyAlignment="1" applyProtection="1">
      <alignment vertical="center" wrapText="1"/>
      <protection locked="0"/>
    </xf>
    <xf numFmtId="0" fontId="20" fillId="0" borderId="0" xfId="0" applyFont="1" applyAlignment="1" applyProtection="1">
      <alignment vertical="center" wrapText="1"/>
      <protection locked="0"/>
    </xf>
    <xf numFmtId="0" fontId="148" fillId="7" borderId="63"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31</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5466667"/>
        </a:xfrm>
        <a:prstGeom prst="rect">
          <a:avLst/>
        </a:prstGeom>
      </xdr:spPr>
    </xdr:pic>
    <xdr:clientData/>
  </xdr:twoCellAnchor>
  <xdr:twoCellAnchor editAs="oneCell">
    <xdr:from>
      <xdr:col>11</xdr:col>
      <xdr:colOff>0</xdr:colOff>
      <xdr:row>0</xdr:row>
      <xdr:rowOff>0</xdr:rowOff>
    </xdr:from>
    <xdr:to>
      <xdr:col>21</xdr:col>
      <xdr:colOff>608667</xdr:colOff>
      <xdr:row>26</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66667" cy="4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7" sqref="B27"/>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北京市海淀区西翠路17号院22号楼102号等49套配套用房房地产抵押价值预评估</v>
      </c>
    </row>
    <row r="3" spans="1:2" s="1595" customFormat="1">
      <c r="A3" s="1593" t="s">
        <v>1221</v>
      </c>
      <c r="B3" s="1594" t="str">
        <f>'预评函-封皮'!B40</f>
        <v>北京华光同创科技有限公司、北京康思敏捷商贸有限公司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康正预评字2018-1-0492-P01DYGJ1号</v>
      </c>
    </row>
    <row r="6" spans="1:2" s="1592" customFormat="1" ht="15" thickTop="1">
      <c r="A6" s="1590" t="s">
        <v>1224</v>
      </c>
      <c r="B6" s="1591" t="str">
        <f>'预评函-1'!A4</f>
        <v>受贵公司委托，我公司对北京市海淀区西翠路17号院22号楼102号等49套配套用房房地产抵押价值进行了预评估。</v>
      </c>
    </row>
    <row r="7" spans="1:2" s="1595" customFormat="1">
      <c r="A7" s="1593" t="s">
        <v>1264</v>
      </c>
      <c r="B7" s="1594" t="str">
        <f>'预评函-1'!A7</f>
        <v>估价对象为北京市海淀区西翠路17号院22号楼102号等49套配套用房房地产，为所有。根据《国有土地使用证》[]，估价对象（分摊）出让国有建设用地使用权面积为0平方米，建筑面积为4824.46平方米。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为估价委托人在向华夏银行股份有限公司北京四道口支行办理贷款手续过程中，确定房地产抵押贷款额度提供参考依据而评估房地产抵押价值。</v>
      </c>
    </row>
    <row r="12" spans="1:2" s="1595" customFormat="1">
      <c r="A12" s="1593" t="s">
        <v>1226</v>
      </c>
      <c r="B12" s="1594" t="str">
        <f>'预评函-1'!A15</f>
        <v>2018年7月5日（评估专业人员实地查勘之日）</v>
      </c>
    </row>
    <row r="13" spans="1:2" s="1595" customFormat="1">
      <c r="A13" s="1593" t="s">
        <v>1227</v>
      </c>
      <c r="B13" s="1594" t="str">
        <f>'预评函-1'!A18</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16397</v>
      </c>
    </row>
    <row r="21" spans="1:2" s="1595" customFormat="1">
      <c r="A21" s="1593" t="s">
        <v>1235</v>
      </c>
      <c r="B21" s="1594">
        <f ca="1">'预评函-2'!D7</f>
        <v>33987</v>
      </c>
    </row>
    <row r="22" spans="1:2" s="1595" customFormat="1">
      <c r="A22" s="1593" t="s">
        <v>1236</v>
      </c>
      <c r="B22" s="1594" t="str">
        <f ca="1">'预评函-2'!D6</f>
        <v>壹亿陆仟叁佰玖拾柒万元整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16397</v>
      </c>
    </row>
    <row r="31" spans="1:2" s="1595" customFormat="1">
      <c r="A31" s="1593" t="s">
        <v>1274</v>
      </c>
      <c r="B31" s="1594">
        <f ca="1">'预评函-2'!D15</f>
        <v>33987</v>
      </c>
    </row>
    <row r="32" spans="1:2" s="1595" customFormat="1">
      <c r="A32" s="1593" t="s">
        <v>1241</v>
      </c>
      <c r="B32" s="1594" t="str">
        <f ca="1">'预评函-2'!D14</f>
        <v>壹亿陆仟叁佰玖拾柒万元整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北京市海淀区西翠路17号院22号楼102号等49套配套用房房地产</v>
      </c>
    </row>
    <row r="42" spans="1:2" s="1595" customFormat="1">
      <c r="A42" s="1593" t="s">
        <v>1288</v>
      </c>
      <c r="B42" s="1594" t="str">
        <f>'预评函-3'!B2</f>
        <v>建筑面积</v>
      </c>
    </row>
    <row r="43" spans="1:2" s="1595" customFormat="1">
      <c r="A43" s="1593" t="s">
        <v>1289</v>
      </c>
      <c r="B43" s="1594">
        <f>'预评函-3'!B4</f>
        <v>4824.4600000000037</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为估价委托人在向华夏银行股份有限公司北京四道口支行办理贷款手续过程中，确定房地产抵押贷款额度提供参考依据而评估房地产抵押价值。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翠路17号院22号楼102号等49套配套用房房地产作为抵押担保物，向华夏银行股份有限公司北京四道口支行办理贷款手续。华夏银行股份有限公司北京四道口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4" t="s">
        <v>864</v>
      </c>
      <c r="C54" s="2021" t="s">
        <v>1281</v>
      </c>
    </row>
    <row r="55" spans="1:4">
      <c r="A55" s="3007"/>
      <c r="B55" s="2024" t="s">
        <v>865</v>
      </c>
      <c r="C55" s="2021" t="s">
        <v>1282</v>
      </c>
    </row>
    <row r="56" spans="1:4">
      <c r="A56" s="3007"/>
      <c r="B56" s="2024" t="s">
        <v>866</v>
      </c>
      <c r="C56" s="2021" t="s">
        <v>1286</v>
      </c>
    </row>
    <row r="57" spans="1:4">
      <c r="A57" s="300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6" t="str">
        <f>IF(B10="北京市","北京市",C10)&amp;F10&amp;IF(结果表!G1="在建","出让国有建设用地使用权及在建建筑物",IF(结果表!G1="土地","出让国有建设用地使用权",))&amp;B9&amp;"预评估"</f>
        <v>北京市海淀区西翠路17号院22号楼102号等49套配套用房房地产抵押价值预评估</v>
      </c>
      <c r="C1" s="3017"/>
      <c r="D1" s="3017"/>
      <c r="E1" s="3017"/>
      <c r="F1" s="3017"/>
      <c r="G1" s="3017"/>
      <c r="H1" s="3017"/>
      <c r="I1" s="301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北京市海淀区西翠路17号院22号楼102号等49套配套用房房地产抵押价值</v>
      </c>
    </row>
    <row r="2" spans="1:19" ht="18" customHeight="1">
      <c r="A2" s="2028" t="s">
        <v>1776</v>
      </c>
      <c r="B2" s="1041" t="s">
        <v>3192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北京市海淀区西翠路17号院22号楼102号等49套配套用房房地产</v>
      </c>
    </row>
    <row r="3" spans="1:19" ht="18" customHeight="1">
      <c r="A3" s="2037" t="s">
        <v>1777</v>
      </c>
      <c r="B3" s="2038">
        <v>43286</v>
      </c>
      <c r="C3" s="2039" t="s">
        <v>1778</v>
      </c>
      <c r="D3" s="2038">
        <f>B3</f>
        <v>43286</v>
      </c>
      <c r="E3" s="2028"/>
      <c r="F3" s="2028"/>
      <c r="G3" s="2028"/>
      <c r="H3" s="2028"/>
      <c r="I3" s="2028"/>
      <c r="J3" s="2028"/>
      <c r="K3" s="2029"/>
      <c r="L3" s="2030"/>
      <c r="M3" s="2030"/>
      <c r="N3" s="2031"/>
      <c r="O3" s="2032"/>
      <c r="P3" s="2031"/>
      <c r="Q3" s="2031"/>
      <c r="R3" s="2031"/>
      <c r="S3" s="2033"/>
    </row>
    <row r="4" spans="1:19" ht="18" customHeight="1" thickBot="1">
      <c r="A4" s="2040" t="s">
        <v>1779</v>
      </c>
      <c r="B4" s="2041" t="s">
        <v>3044</v>
      </c>
      <c r="C4" s="1039">
        <f ca="1">SUMIF(注册房地产估价师,B4,估价师及机构信息!B3:B24)</f>
        <v>1120000080</v>
      </c>
      <c r="D4" s="2041" t="s">
        <v>3045</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52" t="s">
        <v>3193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3" t="s">
        <v>3194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3046</v>
      </c>
      <c r="C8" s="2056"/>
      <c r="D8" s="3019" t="s">
        <v>1784</v>
      </c>
      <c r="E8" s="2057" t="s">
        <v>3047</v>
      </c>
      <c r="F8" s="2058"/>
      <c r="G8" s="2028"/>
      <c r="H8" s="2028"/>
      <c r="I8" s="2028"/>
      <c r="J8" s="2044"/>
      <c r="K8" s="2045"/>
      <c r="L8" s="2030"/>
      <c r="M8" s="2030"/>
      <c r="N8" s="2031"/>
      <c r="O8" s="2032"/>
      <c r="P8" s="2031"/>
      <c r="Q8" s="2031"/>
      <c r="R8" s="2031"/>
    </row>
    <row r="9" spans="1:19" ht="18" customHeight="1" thickBot="1">
      <c r="A9" s="2042" t="s">
        <v>1785</v>
      </c>
      <c r="B9" s="2059" t="s">
        <v>3047</v>
      </c>
      <c r="C9" s="2060"/>
      <c r="D9" s="3020"/>
      <c r="E9" s="2059" t="s">
        <v>70</v>
      </c>
      <c r="F9" s="2061"/>
      <c r="G9" s="2062"/>
      <c r="H9" s="2062"/>
      <c r="I9" s="2062"/>
      <c r="J9" s="2044"/>
      <c r="K9" s="2054"/>
      <c r="L9" s="2030"/>
      <c r="M9" s="2030"/>
      <c r="N9" s="2031"/>
      <c r="O9" s="2032"/>
      <c r="P9" s="2031"/>
      <c r="Q9" s="2031"/>
      <c r="R9" s="2031"/>
    </row>
    <row r="10" spans="1:19" ht="18" customHeight="1" thickTop="1">
      <c r="A10" s="2063" t="s">
        <v>1786</v>
      </c>
      <c r="B10" s="2064" t="s">
        <v>3048</v>
      </c>
      <c r="C10" s="2065"/>
      <c r="D10" s="2048"/>
      <c r="E10" s="2066" t="s">
        <v>1787</v>
      </c>
      <c r="F10" s="2067" t="s">
        <v>3198</v>
      </c>
      <c r="G10" s="2068"/>
      <c r="H10" s="2069"/>
      <c r="I10" s="2048"/>
      <c r="J10" s="2044"/>
      <c r="K10" s="2054"/>
      <c r="L10" s="2030"/>
      <c r="M10" s="2030"/>
      <c r="N10" s="2031"/>
      <c r="O10" s="2032"/>
      <c r="P10" s="2031"/>
      <c r="Q10" s="2031"/>
      <c r="R10" s="2031"/>
    </row>
    <row r="11" spans="1:19" ht="18" customHeight="1">
      <c r="A11" s="2070" t="s">
        <v>1788</v>
      </c>
      <c r="B11" s="2071" t="s">
        <v>3049</v>
      </c>
      <c r="C11" s="2072"/>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3050</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v>52608</v>
      </c>
      <c r="F13" s="2080"/>
      <c r="G13" s="2080"/>
      <c r="H13" s="2080"/>
      <c r="I13" s="1049"/>
      <c r="J13" s="2044"/>
      <c r="K13" s="2054"/>
      <c r="L13" s="2030"/>
      <c r="M13" s="2030"/>
      <c r="N13" s="2031"/>
      <c r="O13" s="2032"/>
      <c r="P13" s="2031"/>
      <c r="Q13" s="2031"/>
      <c r="R13" s="2031"/>
    </row>
    <row r="14" spans="1:19" ht="18" customHeight="1">
      <c r="A14" s="2077"/>
      <c r="B14" s="2078"/>
      <c r="C14" s="2079" t="s">
        <v>1798</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f>IF(B12="出让",IF(E13="","",ROUNDDOWN(MIN((E13-$D$3)/365,E14),2)),E14)</f>
        <v>25.53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1800</v>
      </c>
      <c r="B16" s="3026"/>
      <c r="C16" s="3027"/>
      <c r="D16" s="3028"/>
      <c r="E16" s="2086" t="s">
        <v>1801</v>
      </c>
      <c r="F16" s="3029"/>
      <c r="G16" s="3030"/>
      <c r="H16" s="3030"/>
      <c r="I16" s="3031"/>
      <c r="J16" s="2031"/>
      <c r="K16" s="2083"/>
      <c r="L16" s="2084"/>
      <c r="M16" s="2084"/>
      <c r="N16" s="2085"/>
      <c r="O16" s="2084"/>
      <c r="P16" s="2085"/>
      <c r="Q16" s="2031"/>
      <c r="R16" s="2031"/>
    </row>
    <row r="17" spans="1:22" ht="18" customHeight="1">
      <c r="A17" s="2087" t="s">
        <v>1802</v>
      </c>
      <c r="B17" s="2037" t="s">
        <v>1803</v>
      </c>
      <c r="C17" s="1056">
        <f>'数据-汇总表'!E3</f>
        <v>4824.4600000000037</v>
      </c>
      <c r="D17" s="2088" t="s">
        <v>1804</v>
      </c>
      <c r="E17" s="3032" t="s">
        <v>3195</v>
      </c>
      <c r="F17" s="3033"/>
      <c r="G17" s="3033"/>
      <c r="H17" s="3033"/>
      <c r="I17" s="3034"/>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0</v>
      </c>
      <c r="D18" s="2091" t="s">
        <v>1804</v>
      </c>
      <c r="E18" s="3035" t="s">
        <v>1807</v>
      </c>
      <c r="F18" s="3036"/>
      <c r="G18" s="3036"/>
      <c r="H18" s="3036"/>
      <c r="I18" s="3037"/>
      <c r="J18" s="2031"/>
      <c r="K18" s="2089"/>
      <c r="L18" s="2084"/>
      <c r="M18" s="2084"/>
      <c r="N18" s="2085"/>
      <c r="O18" s="2084"/>
      <c r="P18" s="2085"/>
      <c r="Q18" s="2031"/>
      <c r="R18" s="2031"/>
      <c r="S18" s="2031"/>
      <c r="T18" s="2031"/>
      <c r="U18" s="2031"/>
      <c r="V18" s="2031"/>
    </row>
    <row r="19" spans="1:22" ht="37.5" customHeight="1" thickTop="1" thickBot="1">
      <c r="A19" s="373" t="s">
        <v>1808</v>
      </c>
      <c r="B19" s="352" t="s">
        <v>1809</v>
      </c>
      <c r="C19" s="2092" t="s">
        <v>3051</v>
      </c>
      <c r="D19" s="2093" t="s">
        <v>1810</v>
      </c>
      <c r="E19" s="2094" t="s">
        <v>3052</v>
      </c>
      <c r="F19" s="2095" t="str">
        <f>IF(AND(C19="是",E19="否"),"是否提供他项权证或相关说明","")</f>
        <v>是否提供他项权证或相关说明</v>
      </c>
      <c r="G19" s="2096"/>
      <c r="H19" s="2044"/>
      <c r="I19" s="2044"/>
      <c r="J19" s="2044"/>
      <c r="K19" s="2054"/>
      <c r="L19" s="2030"/>
      <c r="M19" s="2030"/>
      <c r="N19" s="2085"/>
      <c r="O19" s="2084"/>
      <c r="P19" s="2085"/>
      <c r="Q19" s="2031"/>
      <c r="R19" s="2031"/>
      <c r="S19" s="2031"/>
      <c r="T19" s="2031"/>
      <c r="U19" s="2031"/>
      <c r="V19" s="2031"/>
    </row>
    <row r="20" spans="1:22" ht="18" customHeight="1">
      <c r="A20" s="2097" t="s">
        <v>1811</v>
      </c>
      <c r="B20" s="3022" t="s">
        <v>1812</v>
      </c>
      <c r="C20" s="3023"/>
      <c r="D20" s="3024" t="s">
        <v>1813</v>
      </c>
      <c r="E20" s="3025"/>
      <c r="F20" s="2098" t="s">
        <v>1814</v>
      </c>
      <c r="G20" s="2044"/>
      <c r="H20" s="2044"/>
      <c r="I20" s="2044"/>
      <c r="J20" s="2044"/>
      <c r="K20" s="3021"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5"/>
      <c r="O20" s="2084"/>
      <c r="P20" s="2085"/>
      <c r="Q20" s="2031"/>
      <c r="R20" s="2031"/>
      <c r="S20" s="2031"/>
      <c r="T20" s="2031"/>
      <c r="U20" s="2031"/>
      <c r="V20" s="2031"/>
    </row>
    <row r="21" spans="1:22" ht="24.75" customHeight="1">
      <c r="A21" s="2097"/>
      <c r="B21" s="2099" t="s">
        <v>1816</v>
      </c>
      <c r="C21" s="2100" t="s">
        <v>1817</v>
      </c>
      <c r="D21" s="2101" t="s">
        <v>1818</v>
      </c>
      <c r="E21" s="2102" t="s">
        <v>1817</v>
      </c>
      <c r="F21" s="2103"/>
      <c r="G21" s="2044"/>
      <c r="H21" s="2044"/>
      <c r="I21" s="2044"/>
      <c r="J21" s="2044"/>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1819</v>
      </c>
      <c r="C22" s="2100" t="s">
        <v>1820</v>
      </c>
      <c r="D22" s="2028"/>
      <c r="E22" s="2028"/>
      <c r="F22" s="2105"/>
      <c r="G22" s="2044"/>
      <c r="H22" s="2044"/>
      <c r="I22" s="2044"/>
      <c r="J22" s="2044"/>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1821</v>
      </c>
      <c r="B23" s="183" t="s">
        <v>1822</v>
      </c>
      <c r="C23" s="2107"/>
      <c r="D23" s="2108" t="s">
        <v>1822</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3" t="s">
        <v>1823</v>
      </c>
      <c r="C24" s="2112"/>
      <c r="D24" s="2106" t="s">
        <v>1823</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3" t="s">
        <v>1824</v>
      </c>
      <c r="C25" s="2112"/>
      <c r="D25" s="2106" t="s">
        <v>1824</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1825</v>
      </c>
      <c r="C26" s="2116"/>
      <c r="D26" s="2117" t="s">
        <v>1826</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09" t="s">
        <v>1827</v>
      </c>
      <c r="B27" s="2063" t="s">
        <v>1828</v>
      </c>
      <c r="C27" s="2120" t="s">
        <v>3190</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09"/>
      <c r="B28" s="2037" t="s">
        <v>1829</v>
      </c>
      <c r="C28" s="2122" t="s">
        <v>3191</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09"/>
      <c r="B29" s="2037" t="s">
        <v>1830</v>
      </c>
      <c r="C29" s="2125" t="s">
        <v>3052</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10"/>
      <c r="B30" s="2037" t="s">
        <v>1831</v>
      </c>
      <c r="C30" s="3011"/>
      <c r="D30" s="3012"/>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13" t="s">
        <v>1832</v>
      </c>
      <c r="B31" s="2127" t="s">
        <v>3172</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14"/>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14"/>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4"/>
      <c r="C34" s="2134"/>
      <c r="D34" s="2134"/>
      <c r="E34" s="2134"/>
      <c r="F34" s="2134"/>
      <c r="G34" s="2134"/>
      <c r="H34" s="2134"/>
      <c r="I34" s="2044"/>
      <c r="J34" s="2044"/>
      <c r="K34" s="1797">
        <f>COUNTIF(B34:H34,"——")</f>
        <v>0</v>
      </c>
      <c r="L34" s="2075" t="s">
        <v>1834</v>
      </c>
      <c r="M34" s="2075" t="s">
        <v>1835</v>
      </c>
      <c r="N34" s="2075" t="s">
        <v>1836</v>
      </c>
      <c r="O34" s="2075" t="s">
        <v>1837</v>
      </c>
      <c r="P34" s="2075" t="s">
        <v>1838</v>
      </c>
      <c r="Q34" s="2075" t="s">
        <v>1839</v>
      </c>
      <c r="R34" s="2075" t="s">
        <v>1840</v>
      </c>
      <c r="S34" s="3008" t="s">
        <v>1841</v>
      </c>
      <c r="T34" s="2135" t="str">
        <f>NUMBERSTRING(7-K34,1)&amp;"通"</f>
        <v>七通</v>
      </c>
      <c r="U34" s="2031"/>
      <c r="V34" s="2031"/>
    </row>
    <row r="35" spans="1:22" ht="18" customHeight="1">
      <c r="A35" s="2136"/>
      <c r="B35" s="3015" t="s">
        <v>1842</v>
      </c>
      <c r="C35" s="3015"/>
      <c r="D35" s="3015"/>
      <c r="E35" s="3015"/>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1"/>
      <c r="V35" s="2031"/>
    </row>
    <row r="36" spans="1:22" ht="18" customHeight="1">
      <c r="A36" s="2138"/>
      <c r="B36" s="2137" t="s">
        <v>1843</v>
      </c>
      <c r="C36" s="2137" t="s">
        <v>1844</v>
      </c>
      <c r="D36" s="2137" t="s">
        <v>1845</v>
      </c>
      <c r="E36" s="2137" t="s">
        <v>1846</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1847</v>
      </c>
      <c r="B37" s="2141" t="s">
        <v>137</v>
      </c>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1848</v>
      </c>
      <c r="B38" s="2143" t="s">
        <v>250</v>
      </c>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1850</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1851</v>
      </c>
      <c r="B42" s="1797" t="s">
        <v>1852</v>
      </c>
      <c r="C42" s="1797" t="s">
        <v>1853</v>
      </c>
      <c r="D42" s="1797" t="s">
        <v>1854</v>
      </c>
      <c r="E42" s="1797" t="s">
        <v>1855</v>
      </c>
      <c r="F42" s="1797" t="s">
        <v>1856</v>
      </c>
      <c r="G42" s="1797" t="s">
        <v>1857</v>
      </c>
      <c r="H42" s="1797" t="s">
        <v>1858</v>
      </c>
      <c r="I42" s="1797" t="s">
        <v>1859</v>
      </c>
      <c r="J42" s="2153" t="s">
        <v>1860</v>
      </c>
      <c r="K42" s="2076" t="s">
        <v>1861</v>
      </c>
      <c r="L42" s="2076" t="s">
        <v>1862</v>
      </c>
      <c r="M42" s="2076" t="s">
        <v>1863</v>
      </c>
      <c r="N42" s="1797" t="s">
        <v>1864</v>
      </c>
      <c r="O42" s="1797" t="s">
        <v>1865</v>
      </c>
      <c r="P42" s="1797" t="s">
        <v>1866</v>
      </c>
      <c r="Q42" s="2075" t="s">
        <v>1867</v>
      </c>
      <c r="R42" s="2075" t="s">
        <v>1868</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1874</v>
      </c>
      <c r="AZ2" s="1272"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4824.4600000000037</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5"/>
      <c r="C5" s="1805"/>
      <c r="D5" s="1808"/>
      <c r="E5" s="16" t="s">
        <v>1</v>
      </c>
      <c r="F5" s="16">
        <f>SUM(F13:F587)</f>
        <v>0</v>
      </c>
      <c r="G5" s="16">
        <f>SUM(G13:G587)</f>
        <v>4824.4600000000037</v>
      </c>
      <c r="H5" s="16">
        <f t="shared" ref="H5:AT5" si="0">SUM(H13:H656)</f>
        <v>4824.4600000000037</v>
      </c>
      <c r="I5" s="16">
        <f t="shared" si="0"/>
        <v>4824.4600000000037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4824.4600000000037</v>
      </c>
      <c r="BA5" s="18">
        <f t="shared" si="1"/>
        <v>4824.4600000000037</v>
      </c>
      <c r="BB5" s="18">
        <f t="shared" si="1"/>
        <v>4824.4600000000037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1887</v>
      </c>
      <c r="AV7" s="23" t="s">
        <v>1888</v>
      </c>
      <c r="AW7" s="2167" t="s">
        <v>1889</v>
      </c>
      <c r="AX7" s="23" t="s">
        <v>1882</v>
      </c>
      <c r="AY7" s="1805"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0"/>
      <c r="K8" s="1820"/>
      <c r="L8" s="1820"/>
      <c r="M8" s="1820"/>
      <c r="N8" s="1820"/>
      <c r="O8" s="1820"/>
      <c r="P8" s="1820"/>
      <c r="Q8" s="1820"/>
      <c r="R8" s="1820"/>
      <c r="S8" s="1820"/>
      <c r="T8" s="1820"/>
      <c r="U8" s="1820"/>
      <c r="V8" s="2187"/>
      <c r="W8" s="1820"/>
      <c r="X8" s="1820"/>
      <c r="Y8" s="1820"/>
      <c r="Z8" s="1820"/>
      <c r="AA8" s="2187"/>
      <c r="AB8" s="2188"/>
      <c r="AC8" s="983" t="s">
        <v>1893</v>
      </c>
      <c r="AD8" s="2189"/>
      <c r="AE8" s="2181"/>
      <c r="AF8" s="1820"/>
      <c r="AG8" s="1820"/>
      <c r="AH8" s="1820"/>
      <c r="AI8" s="1820"/>
      <c r="AJ8" s="1820"/>
      <c r="AK8" s="1820"/>
      <c r="AL8" s="1820"/>
      <c r="AM8" s="1820"/>
      <c r="AN8" s="1820"/>
      <c r="AO8" s="1820"/>
      <c r="AP8" s="1820"/>
      <c r="AQ8" s="1820"/>
      <c r="AR8" s="1820"/>
      <c r="AS8" s="1820"/>
      <c r="AT8" s="1294" t="s">
        <v>1894</v>
      </c>
      <c r="AU8" s="2183" t="s">
        <v>1895</v>
      </c>
      <c r="AV8" s="1294"/>
      <c r="AW8" s="2166"/>
      <c r="AX8" s="1294"/>
      <c r="AY8" s="2167"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1898</v>
      </c>
      <c r="I9" s="2192" t="s">
        <v>3053</v>
      </c>
      <c r="J9" s="983"/>
      <c r="K9" s="2192"/>
      <c r="L9" s="983"/>
      <c r="M9" s="2192"/>
      <c r="N9" s="983"/>
      <c r="O9" s="2192"/>
      <c r="P9" s="983"/>
      <c r="Q9" s="2192"/>
      <c r="R9" s="983"/>
      <c r="S9" s="2192"/>
      <c r="T9" s="983"/>
      <c r="U9" s="2192"/>
      <c r="V9" s="983"/>
      <c r="W9" s="2192"/>
      <c r="X9" s="2193"/>
      <c r="Y9" s="2192"/>
      <c r="Z9" s="983"/>
      <c r="AA9" s="2192"/>
      <c r="AB9" s="983"/>
      <c r="AC9" s="2184"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4"/>
      <c r="AT9" s="2183"/>
      <c r="AU9" s="2183" t="s">
        <v>1901</v>
      </c>
      <c r="AV9" s="1294"/>
      <c r="AW9" s="2166"/>
      <c r="AX9" s="1294"/>
      <c r="AY9" s="28"/>
      <c r="AZ9" s="28" t="s">
        <v>1891</v>
      </c>
      <c r="BA9" s="2195" t="s">
        <v>1902</v>
      </c>
      <c r="BB9" s="2196"/>
      <c r="BC9" s="1340"/>
      <c r="BD9" s="1340"/>
      <c r="BE9" s="1340"/>
      <c r="BF9" s="1340"/>
      <c r="BG9" s="1340"/>
      <c r="BH9" s="1340"/>
      <c r="BI9" s="1340"/>
      <c r="BJ9" s="1340"/>
      <c r="BK9" s="2197"/>
      <c r="BL9" s="15" t="s">
        <v>1903</v>
      </c>
      <c r="BM9" s="1820"/>
      <c r="BN9" s="2186"/>
      <c r="BO9" s="1820"/>
      <c r="BP9" s="1820"/>
      <c r="BQ9" s="1820"/>
      <c r="BR9" s="1820"/>
      <c r="BS9" s="1820"/>
      <c r="BT9" s="26"/>
    </row>
    <row r="10" spans="1:72" s="2190" customFormat="1" ht="12.75">
      <c r="A10" s="2183"/>
      <c r="B10" s="2183"/>
      <c r="C10" s="2183"/>
      <c r="D10" s="2183"/>
      <c r="E10" s="2183"/>
      <c r="F10" s="2183"/>
      <c r="G10" s="1294"/>
      <c r="H10" s="28"/>
      <c r="I10" s="2192"/>
      <c r="J10" s="983"/>
      <c r="K10" s="2198"/>
      <c r="L10" s="983"/>
      <c r="M10" s="2198"/>
      <c r="N10" s="983"/>
      <c r="O10" s="2198"/>
      <c r="P10" s="983"/>
      <c r="Q10" s="2198"/>
      <c r="R10" s="983"/>
      <c r="S10" s="2198"/>
      <c r="T10" s="983"/>
      <c r="U10" s="2198"/>
      <c r="V10" s="983"/>
      <c r="W10" s="2198"/>
      <c r="X10" s="983"/>
      <c r="Y10" s="2198"/>
      <c r="Z10" s="983"/>
      <c r="AA10" s="2198"/>
      <c r="AB10" s="983"/>
      <c r="AC10" s="1294"/>
      <c r="AD10" s="15" t="s">
        <v>1904</v>
      </c>
      <c r="AE10" s="2199"/>
      <c r="AF10" s="15" t="s">
        <v>1904</v>
      </c>
      <c r="AG10" s="2199"/>
      <c r="AH10" s="15" t="s">
        <v>1905</v>
      </c>
      <c r="AI10" s="2199"/>
      <c r="AJ10" s="15" t="s">
        <v>1905</v>
      </c>
      <c r="AK10" s="2199"/>
      <c r="AL10" s="15" t="s">
        <v>1906</v>
      </c>
      <c r="AM10" s="1300"/>
      <c r="AN10" s="15" t="s">
        <v>1906</v>
      </c>
      <c r="AO10" s="1300"/>
      <c r="AP10" s="15" t="s">
        <v>1907</v>
      </c>
      <c r="AQ10" s="1300"/>
      <c r="AR10" s="15" t="s">
        <v>1907</v>
      </c>
      <c r="AS10" s="1300"/>
      <c r="AT10" s="2183"/>
      <c r="AU10" s="2183"/>
      <c r="AV10" s="1294"/>
      <c r="AW10" s="2166"/>
      <c r="AX10" s="1294"/>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1908</v>
      </c>
      <c r="AE11" s="1821"/>
      <c r="AF11" s="2205" t="s">
        <v>1908</v>
      </c>
      <c r="AG11" s="1821"/>
      <c r="AH11" s="2205" t="s">
        <v>1909</v>
      </c>
      <c r="AI11" s="2206"/>
      <c r="AJ11" s="2205" t="s">
        <v>1909</v>
      </c>
      <c r="AK11" s="1821"/>
      <c r="AL11" s="1819"/>
      <c r="AM11" s="1821"/>
      <c r="AN11" s="1819"/>
      <c r="AO11" s="1821"/>
      <c r="AP11" s="1819"/>
      <c r="AQ11" s="1821"/>
      <c r="AR11" s="1819"/>
      <c r="AS11" s="1821"/>
      <c r="AT11" s="2166"/>
      <c r="AU11" s="2183"/>
      <c r="AV11" s="1294"/>
      <c r="AW11" s="2166"/>
      <c r="AX11" s="1294"/>
      <c r="AY11" s="28"/>
      <c r="AZ11" s="28"/>
      <c r="BA11" s="28"/>
      <c r="BB11" s="2188">
        <f>I10</f>
        <v>0</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0"/>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38.1" customHeight="1">
      <c r="A13" s="1274"/>
      <c r="B13" s="1274" t="s">
        <v>3116</v>
      </c>
      <c r="C13" s="1274">
        <v>102</v>
      </c>
      <c r="D13" s="2214" t="s">
        <v>3051</v>
      </c>
      <c r="E13" s="16">
        <f>IF($C$3="是",ROUND($A$3*G13/$B$3,2),ROUND($A$3*(G13-AT13)/$B$3,2))</f>
        <v>0</v>
      </c>
      <c r="F13" s="32"/>
      <c r="G13" s="33">
        <f>H13+AC13+AT13</f>
        <v>52.59</v>
      </c>
      <c r="H13" s="20">
        <f>SUMIF(I$12:AB$12,"总值",I13:AB13)</f>
        <v>52.59</v>
      </c>
      <c r="I13" s="2216">
        <v>52.59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京（2016）海淀区不动产权第0023711号</v>
      </c>
      <c r="AX13" s="11">
        <f t="shared" si="6"/>
        <v>102</v>
      </c>
      <c r="AY13" s="2944">
        <f>ROUND($AY$6*AZ13/$AZ$5,2)</f>
        <v>0</v>
      </c>
      <c r="AZ13" s="16">
        <f>BA13+BL13</f>
        <v>52.59</v>
      </c>
      <c r="BA13" s="16">
        <f>SUM(BB13:BK13)</f>
        <v>52.59</v>
      </c>
      <c r="BB13" s="16">
        <f>IF($D13="是",I13-J13,0)</f>
        <v>52.59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1" customHeight="1">
      <c r="A14" s="1274"/>
      <c r="B14" s="1274" t="s">
        <v>3117</v>
      </c>
      <c r="C14" s="1274">
        <v>105</v>
      </c>
      <c r="D14" s="2214" t="s">
        <v>3051</v>
      </c>
      <c r="E14" s="16">
        <f>IF($C$3="是",ROUND($A$3*G14/$B$3,2),ROUND($A$3*(G14-AT14)/$B$3,2))</f>
        <v>0</v>
      </c>
      <c r="F14" s="32"/>
      <c r="G14" s="33">
        <f>H14+AC14+AT14</f>
        <v>158.93</v>
      </c>
      <c r="H14" s="20">
        <f>SUMIF(I$12:AB$12,"总值",I14:AB14)</f>
        <v>158.93</v>
      </c>
      <c r="I14" s="2216">
        <v>158.93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京（2016）海淀区不动产权第0023714号</v>
      </c>
      <c r="AX14" s="11">
        <f t="shared" si="6"/>
        <v>105</v>
      </c>
      <c r="AY14" s="2944">
        <f>ROUND($AY$6*AZ14/$AZ$5,2)</f>
        <v>0</v>
      </c>
      <c r="AZ14" s="16">
        <f>BA14+BL14</f>
        <v>158.93</v>
      </c>
      <c r="BA14" s="16">
        <f>SUM(BB14:BK14)</f>
        <v>158.93</v>
      </c>
      <c r="BB14" s="16">
        <f>IF($D14="是",I14-J14,0)</f>
        <v>158.93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38.1" customHeight="1">
      <c r="A15" s="1274"/>
      <c r="B15" s="1274" t="s">
        <v>3118</v>
      </c>
      <c r="C15" s="1274">
        <v>106</v>
      </c>
      <c r="D15" s="2214" t="s">
        <v>3051</v>
      </c>
      <c r="E15" s="16">
        <f>IF($C$3="是",ROUND($A$3*G15/$B$3,2),ROUND($A$3*(G15-AT15)/$B$3,2))</f>
        <v>0</v>
      </c>
      <c r="F15" s="32"/>
      <c r="G15" s="33">
        <f>H15+AC15+AT15</f>
        <v>192.88</v>
      </c>
      <c r="H15" s="20">
        <f>SUMIF(I$12:AB$12,"总值",I15:AB15)</f>
        <v>192.88</v>
      </c>
      <c r="I15" s="2216">
        <v>192.88</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京（2016）海淀区不动产权第0023720号</v>
      </c>
      <c r="AX15" s="11">
        <f t="shared" si="6"/>
        <v>106</v>
      </c>
      <c r="AY15" s="2944">
        <f>ROUND($AY$6*AZ15/$AZ$5,2)</f>
        <v>0</v>
      </c>
      <c r="AZ15" s="16">
        <f>BA15+BL15</f>
        <v>192.88</v>
      </c>
      <c r="BA15" s="16">
        <f>SUM(BB15:BK15)</f>
        <v>192.88</v>
      </c>
      <c r="BB15" s="16">
        <f>IF($D15="是",I15-J15,0)</f>
        <v>192.88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38.1" customHeight="1">
      <c r="A16" s="1274"/>
      <c r="B16" s="1274" t="s">
        <v>3062</v>
      </c>
      <c r="C16" s="1274">
        <v>107</v>
      </c>
      <c r="D16" s="2214" t="s">
        <v>3051</v>
      </c>
      <c r="E16" s="16">
        <f>IF($C$3="是",ROUND($A$3*G16/$B$3,2),ROUND($A$3*(G16-AT16)/$B$3,2))</f>
        <v>0</v>
      </c>
      <c r="F16" s="32"/>
      <c r="G16" s="33">
        <f>H16+AC16+AT16</f>
        <v>27.43</v>
      </c>
      <c r="H16" s="20">
        <f>SUMIF(I$12:AB$12,"总值",I16:AB16)</f>
        <v>27.43</v>
      </c>
      <c r="I16" s="2216">
        <v>27.43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京（2016）海淀区不动产权第0023721号</v>
      </c>
      <c r="AX16" s="11">
        <f t="shared" si="6"/>
        <v>107</v>
      </c>
      <c r="AY16" s="2944">
        <f>ROUND($AY$6*AZ16/$AZ$5,2)</f>
        <v>0</v>
      </c>
      <c r="AZ16" s="16">
        <f>BA16+BL16</f>
        <v>27.43</v>
      </c>
      <c r="BA16" s="16">
        <f>SUM(BB16:BK16)</f>
        <v>27.43</v>
      </c>
      <c r="BB16" s="16">
        <f>IF($D16="是",I16-J16,0)</f>
        <v>27.43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1" customHeight="1">
      <c r="A17" s="1274"/>
      <c r="B17" s="1274" t="s">
        <v>3063</v>
      </c>
      <c r="C17" s="1274">
        <v>108</v>
      </c>
      <c r="D17" s="2214" t="s">
        <v>3051</v>
      </c>
      <c r="E17" s="16">
        <f>IF($C$3="是",ROUND($A$3*G17/$B$3,2),ROUND($A$3*(G17-AT17)/$B$3,2))</f>
        <v>0</v>
      </c>
      <c r="F17" s="32"/>
      <c r="G17" s="33">
        <f>H17+AC17+AT17</f>
        <v>66.73</v>
      </c>
      <c r="H17" s="20">
        <f>SUMIF(I$12:AB$12,"总值",I17:AB17)</f>
        <v>66.73</v>
      </c>
      <c r="I17" s="2216">
        <v>66.73</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京（2016）海淀区不动产权第0023722号</v>
      </c>
      <c r="AX17" s="11">
        <f t="shared" si="6"/>
        <v>108</v>
      </c>
      <c r="AY17" s="2944">
        <f>ROUND($AY$6*AZ17/$AZ$5,2)</f>
        <v>0</v>
      </c>
      <c r="AZ17" s="16">
        <f>BA17+BL17</f>
        <v>66.73</v>
      </c>
      <c r="BA17" s="16">
        <f>SUM(BB17:BK17)</f>
        <v>66.73</v>
      </c>
      <c r="BB17" s="16">
        <f>IF($D17="是",I17-J17,0)</f>
        <v>66.73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1" customHeight="1">
      <c r="A18" s="9"/>
      <c r="B18" s="2950" t="s">
        <v>3119</v>
      </c>
      <c r="C18" s="2950">
        <v>110</v>
      </c>
      <c r="D18" s="2214" t="s">
        <v>3051</v>
      </c>
      <c r="E18" s="35">
        <f t="shared" ref="E18:E112" si="7">IF($C$3="是",ROUND($A$3*G18/$B$3,2),ROUND($A$3*(G18-AT18)/$B$3,2))</f>
        <v>0</v>
      </c>
      <c r="F18" s="36"/>
      <c r="G18" s="37">
        <f t="shared" ref="G18:G109" si="8">H18+AC18+AT18</f>
        <v>53.9</v>
      </c>
      <c r="H18" s="38">
        <f t="shared" ref="H18:H109" si="9">SUMIF(I$12:AB$12,"总值",I18:AB18)</f>
        <v>53.9</v>
      </c>
      <c r="I18" s="2216">
        <v>53.9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2943">
        <f t="shared" ref="AV18:AV112" si="11">A18</f>
        <v>0</v>
      </c>
      <c r="AW18" s="2943" t="str">
        <f t="shared" ref="AW18:AW112" si="12">B18</f>
        <v>京（2016）海淀区不动产权第0023724号</v>
      </c>
      <c r="AX18" s="2943">
        <f t="shared" ref="AX18:AX112" si="13">C18</f>
        <v>110</v>
      </c>
      <c r="AY18" s="2946">
        <f t="shared" ref="AY18:AY109" si="14">ROUND($AY$6*AZ18/$AZ$5,2)</f>
        <v>0</v>
      </c>
      <c r="AZ18" s="35">
        <f t="shared" ref="AZ18:AZ109" si="15">BA18+BL18</f>
        <v>53.9</v>
      </c>
      <c r="BA18" s="35">
        <f t="shared" ref="BA18:BA109" si="16">SUM(BB18:BK18)</f>
        <v>53.9</v>
      </c>
      <c r="BB18" s="35">
        <f t="shared" ref="BB18:BB109" si="17">IF($D18="是",I18-J18,0)</f>
        <v>53.9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1" customHeight="1">
      <c r="A19" s="9"/>
      <c r="B19" s="2950" t="s">
        <v>3120</v>
      </c>
      <c r="C19" s="2950">
        <v>137</v>
      </c>
      <c r="D19" s="2214" t="s">
        <v>3051</v>
      </c>
      <c r="E19" s="35">
        <f t="shared" si="7"/>
        <v>0</v>
      </c>
      <c r="F19" s="36"/>
      <c r="G19" s="37">
        <f t="shared" si="8"/>
        <v>310.75</v>
      </c>
      <c r="H19" s="38">
        <f t="shared" si="9"/>
        <v>310.75</v>
      </c>
      <c r="I19" s="2216">
        <v>310.75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2943">
        <f t="shared" si="11"/>
        <v>0</v>
      </c>
      <c r="AW19" s="2943" t="str">
        <f t="shared" si="12"/>
        <v>京（2016）海淀区不动产权第0024079号</v>
      </c>
      <c r="AX19" s="2943">
        <f t="shared" si="13"/>
        <v>137</v>
      </c>
      <c r="AY19" s="2946">
        <f t="shared" si="14"/>
        <v>0</v>
      </c>
      <c r="AZ19" s="35">
        <f t="shared" si="15"/>
        <v>310.75</v>
      </c>
      <c r="BA19" s="35">
        <f t="shared" si="16"/>
        <v>310.75</v>
      </c>
      <c r="BB19" s="35">
        <f t="shared" si="17"/>
        <v>310.75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1" customHeight="1">
      <c r="A20" s="9"/>
      <c r="B20" s="2950" t="s">
        <v>3121</v>
      </c>
      <c r="C20" s="2950">
        <v>138</v>
      </c>
      <c r="D20" s="2214" t="s">
        <v>3051</v>
      </c>
      <c r="E20" s="35">
        <f t="shared" si="7"/>
        <v>0</v>
      </c>
      <c r="F20" s="36"/>
      <c r="G20" s="37">
        <f t="shared" si="8"/>
        <v>310.75</v>
      </c>
      <c r="H20" s="38">
        <f t="shared" si="9"/>
        <v>310.75</v>
      </c>
      <c r="I20" s="2216">
        <v>310.75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2943">
        <f t="shared" si="11"/>
        <v>0</v>
      </c>
      <c r="AW20" s="2943" t="str">
        <f t="shared" si="12"/>
        <v>京（2016）海淀区不动产权第0023316号</v>
      </c>
      <c r="AX20" s="2943">
        <f t="shared" si="13"/>
        <v>138</v>
      </c>
      <c r="AY20" s="2946">
        <f t="shared" si="14"/>
        <v>0</v>
      </c>
      <c r="AZ20" s="35">
        <f t="shared" si="15"/>
        <v>310.75</v>
      </c>
      <c r="BA20" s="35">
        <f t="shared" si="16"/>
        <v>310.75</v>
      </c>
      <c r="BB20" s="35">
        <f t="shared" si="17"/>
        <v>310.75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1" customHeight="1">
      <c r="A21" s="9"/>
      <c r="B21" s="2950" t="s">
        <v>3067</v>
      </c>
      <c r="C21" s="2950">
        <v>139</v>
      </c>
      <c r="D21" s="2214" t="s">
        <v>3051</v>
      </c>
      <c r="E21" s="35">
        <f t="shared" si="7"/>
        <v>0</v>
      </c>
      <c r="F21" s="36"/>
      <c r="G21" s="37">
        <f t="shared" si="8"/>
        <v>310.75</v>
      </c>
      <c r="H21" s="38">
        <f t="shared" si="9"/>
        <v>310.75</v>
      </c>
      <c r="I21" s="2216">
        <v>310.75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2943">
        <f t="shared" si="11"/>
        <v>0</v>
      </c>
      <c r="AW21" s="2943" t="str">
        <f t="shared" si="12"/>
        <v>京（2016）海淀区不动产权第0023317号</v>
      </c>
      <c r="AX21" s="2943">
        <f t="shared" si="13"/>
        <v>139</v>
      </c>
      <c r="AY21" s="2946">
        <f t="shared" si="14"/>
        <v>0</v>
      </c>
      <c r="AZ21" s="35">
        <f t="shared" si="15"/>
        <v>310.75</v>
      </c>
      <c r="BA21" s="35">
        <f t="shared" si="16"/>
        <v>310.75</v>
      </c>
      <c r="BB21" s="35">
        <f t="shared" si="17"/>
        <v>310.75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1" customHeight="1">
      <c r="A22" s="9"/>
      <c r="B22" s="2950" t="s">
        <v>3068</v>
      </c>
      <c r="C22" s="2950">
        <v>140</v>
      </c>
      <c r="D22" s="2214" t="s">
        <v>3051</v>
      </c>
      <c r="E22" s="35">
        <f t="shared" si="7"/>
        <v>0</v>
      </c>
      <c r="F22" s="36"/>
      <c r="G22" s="37">
        <f t="shared" si="8"/>
        <v>216</v>
      </c>
      <c r="H22" s="38">
        <f t="shared" si="9"/>
        <v>216</v>
      </c>
      <c r="I22" s="2216">
        <v>216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2943">
        <f t="shared" si="11"/>
        <v>0</v>
      </c>
      <c r="AW22" s="2943" t="str">
        <f t="shared" si="12"/>
        <v>京（2016）海淀区不动产权第0023318号</v>
      </c>
      <c r="AX22" s="2943">
        <f t="shared" si="13"/>
        <v>140</v>
      </c>
      <c r="AY22" s="2946">
        <f t="shared" si="14"/>
        <v>0</v>
      </c>
      <c r="AZ22" s="35">
        <f t="shared" si="15"/>
        <v>216</v>
      </c>
      <c r="BA22" s="35">
        <f t="shared" si="16"/>
        <v>216</v>
      </c>
      <c r="BB22" s="35">
        <f t="shared" si="17"/>
        <v>216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1" customHeight="1">
      <c r="A23" s="9"/>
      <c r="B23" s="2950" t="s">
        <v>3122</v>
      </c>
      <c r="C23" s="2950">
        <v>209</v>
      </c>
      <c r="D23" s="2214" t="s">
        <v>3051</v>
      </c>
      <c r="E23" s="35">
        <f t="shared" si="7"/>
        <v>0</v>
      </c>
      <c r="F23" s="36"/>
      <c r="G23" s="37">
        <f t="shared" si="8"/>
        <v>139.65</v>
      </c>
      <c r="H23" s="38">
        <f t="shared" si="9"/>
        <v>139.65</v>
      </c>
      <c r="I23" s="2216">
        <v>139.65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2943">
        <f t="shared" si="11"/>
        <v>0</v>
      </c>
      <c r="AW23" s="2943" t="str">
        <f t="shared" si="12"/>
        <v>京（2016）海淀区不动产权第0024813号</v>
      </c>
      <c r="AX23" s="2943">
        <f t="shared" si="13"/>
        <v>209</v>
      </c>
      <c r="AY23" s="2946">
        <f t="shared" si="14"/>
        <v>0</v>
      </c>
      <c r="AZ23" s="35">
        <f t="shared" si="15"/>
        <v>139.65</v>
      </c>
      <c r="BA23" s="35">
        <f t="shared" si="16"/>
        <v>139.65</v>
      </c>
      <c r="BB23" s="35">
        <f t="shared" si="17"/>
        <v>139.65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1" customHeight="1">
      <c r="A24" s="9"/>
      <c r="B24" s="2950" t="s">
        <v>3123</v>
      </c>
      <c r="C24" s="2950">
        <v>217</v>
      </c>
      <c r="D24" s="2214" t="s">
        <v>3051</v>
      </c>
      <c r="E24" s="35">
        <f t="shared" si="7"/>
        <v>0</v>
      </c>
      <c r="F24" s="36"/>
      <c r="G24" s="37">
        <f t="shared" si="8"/>
        <v>52.31</v>
      </c>
      <c r="H24" s="38">
        <f t="shared" si="9"/>
        <v>52.31</v>
      </c>
      <c r="I24" s="2216">
        <v>52.31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2943">
        <f t="shared" si="11"/>
        <v>0</v>
      </c>
      <c r="AW24" s="2943" t="str">
        <f t="shared" si="12"/>
        <v>京（2015）海淀区不动产权第0029235号</v>
      </c>
      <c r="AX24" s="2943">
        <f t="shared" si="13"/>
        <v>217</v>
      </c>
      <c r="AY24" s="2946">
        <f t="shared" si="14"/>
        <v>0</v>
      </c>
      <c r="AZ24" s="35">
        <f t="shared" si="15"/>
        <v>52.31</v>
      </c>
      <c r="BA24" s="35">
        <f t="shared" si="16"/>
        <v>52.31</v>
      </c>
      <c r="BB24" s="35">
        <f t="shared" si="17"/>
        <v>52.31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1" customHeight="1">
      <c r="A25" s="9"/>
      <c r="B25" s="2950" t="s">
        <v>3124</v>
      </c>
      <c r="C25" s="2950">
        <v>218</v>
      </c>
      <c r="D25" s="2214" t="s">
        <v>3051</v>
      </c>
      <c r="E25" s="35">
        <f t="shared" si="7"/>
        <v>0</v>
      </c>
      <c r="F25" s="36"/>
      <c r="G25" s="37">
        <f t="shared" si="8"/>
        <v>59.37</v>
      </c>
      <c r="H25" s="38">
        <f t="shared" si="9"/>
        <v>59.37</v>
      </c>
      <c r="I25" s="2216">
        <v>59.37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2943">
        <f t="shared" si="11"/>
        <v>0</v>
      </c>
      <c r="AW25" s="2943" t="str">
        <f t="shared" si="12"/>
        <v>京（2015）海淀区不动产权第0029262号</v>
      </c>
      <c r="AX25" s="2943">
        <f t="shared" si="13"/>
        <v>218</v>
      </c>
      <c r="AY25" s="2946">
        <f t="shared" si="14"/>
        <v>0</v>
      </c>
      <c r="AZ25" s="35">
        <f t="shared" si="15"/>
        <v>59.37</v>
      </c>
      <c r="BA25" s="35">
        <f t="shared" si="16"/>
        <v>59.37</v>
      </c>
      <c r="BB25" s="35">
        <f t="shared" si="17"/>
        <v>59.37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1" customHeight="1">
      <c r="A26" s="9"/>
      <c r="B26" s="2950" t="s">
        <v>3125</v>
      </c>
      <c r="C26" s="2950">
        <v>223</v>
      </c>
      <c r="D26" s="2214" t="s">
        <v>3051</v>
      </c>
      <c r="E26" s="35">
        <f t="shared" si="7"/>
        <v>0</v>
      </c>
      <c r="F26" s="36"/>
      <c r="G26" s="37">
        <f t="shared" si="8"/>
        <v>30.59</v>
      </c>
      <c r="H26" s="38">
        <f t="shared" si="9"/>
        <v>30.59</v>
      </c>
      <c r="I26" s="2216">
        <v>30.59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2943">
        <f t="shared" si="11"/>
        <v>0</v>
      </c>
      <c r="AW26" s="2943" t="str">
        <f t="shared" si="12"/>
        <v>京（2015）海淀区不动产权第0029252号</v>
      </c>
      <c r="AX26" s="2943">
        <f t="shared" si="13"/>
        <v>223</v>
      </c>
      <c r="AY26" s="2946">
        <f t="shared" si="14"/>
        <v>0</v>
      </c>
      <c r="AZ26" s="35">
        <f t="shared" si="15"/>
        <v>30.59</v>
      </c>
      <c r="BA26" s="35">
        <f t="shared" si="16"/>
        <v>30.59</v>
      </c>
      <c r="BB26" s="35">
        <f t="shared" si="17"/>
        <v>30.59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1" customHeight="1">
      <c r="A27" s="9"/>
      <c r="B27" s="2950" t="s">
        <v>3126</v>
      </c>
      <c r="C27" s="2950">
        <v>226</v>
      </c>
      <c r="D27" s="2214" t="s">
        <v>3051</v>
      </c>
      <c r="E27" s="35">
        <f t="shared" si="7"/>
        <v>0</v>
      </c>
      <c r="F27" s="36"/>
      <c r="G27" s="37">
        <f t="shared" si="8"/>
        <v>52.86</v>
      </c>
      <c r="H27" s="38">
        <f t="shared" si="9"/>
        <v>52.86</v>
      </c>
      <c r="I27" s="2216">
        <v>52.86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2943">
        <f t="shared" si="11"/>
        <v>0</v>
      </c>
      <c r="AW27" s="2943" t="str">
        <f t="shared" si="12"/>
        <v>京（2015）海淀区不动产权第0029216号</v>
      </c>
      <c r="AX27" s="2943">
        <f t="shared" si="13"/>
        <v>226</v>
      </c>
      <c r="AY27" s="2946">
        <f t="shared" si="14"/>
        <v>0</v>
      </c>
      <c r="AZ27" s="35">
        <f t="shared" si="15"/>
        <v>52.86</v>
      </c>
      <c r="BA27" s="35">
        <f t="shared" si="16"/>
        <v>52.86</v>
      </c>
      <c r="BB27" s="35">
        <f t="shared" si="17"/>
        <v>52.86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1" customHeight="1">
      <c r="A28" s="9"/>
      <c r="B28" s="2950" t="s">
        <v>3127</v>
      </c>
      <c r="C28" s="2950">
        <v>233</v>
      </c>
      <c r="D28" s="2214" t="s">
        <v>3051</v>
      </c>
      <c r="E28" s="35">
        <f t="shared" si="7"/>
        <v>0</v>
      </c>
      <c r="F28" s="36"/>
      <c r="G28" s="37">
        <f t="shared" si="8"/>
        <v>64.099999999999994</v>
      </c>
      <c r="H28" s="38">
        <f t="shared" si="9"/>
        <v>64.099999999999994</v>
      </c>
      <c r="I28" s="2216">
        <v>64.099999999999994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2943">
        <f t="shared" si="11"/>
        <v>0</v>
      </c>
      <c r="AW28" s="2943" t="str">
        <f t="shared" si="12"/>
        <v>京（2015）海淀区不动产权第0029242号</v>
      </c>
      <c r="AX28" s="2943">
        <f t="shared" si="13"/>
        <v>233</v>
      </c>
      <c r="AY28" s="2946">
        <f t="shared" si="14"/>
        <v>0</v>
      </c>
      <c r="AZ28" s="35">
        <f t="shared" si="15"/>
        <v>64.099999999999994</v>
      </c>
      <c r="BA28" s="35">
        <f t="shared" si="16"/>
        <v>64.099999999999994</v>
      </c>
      <c r="BB28" s="35">
        <f t="shared" si="17"/>
        <v>64.099999999999994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1" customHeight="1">
      <c r="A29" s="9"/>
      <c r="B29" s="2950" t="s">
        <v>3128</v>
      </c>
      <c r="C29" s="2950">
        <v>234</v>
      </c>
      <c r="D29" s="2214" t="s">
        <v>3051</v>
      </c>
      <c r="E29" s="35">
        <f t="shared" si="7"/>
        <v>0</v>
      </c>
      <c r="F29" s="36"/>
      <c r="G29" s="37">
        <f t="shared" si="8"/>
        <v>64.099999999999994</v>
      </c>
      <c r="H29" s="38">
        <f t="shared" si="9"/>
        <v>64.099999999999994</v>
      </c>
      <c r="I29" s="2216">
        <v>64.099999999999994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2943">
        <f t="shared" si="11"/>
        <v>0</v>
      </c>
      <c r="AW29" s="2943" t="str">
        <f t="shared" si="12"/>
        <v>京（2015）海淀区不动产权第0029244号</v>
      </c>
      <c r="AX29" s="2943">
        <f t="shared" si="13"/>
        <v>234</v>
      </c>
      <c r="AY29" s="2946">
        <f t="shared" si="14"/>
        <v>0</v>
      </c>
      <c r="AZ29" s="35">
        <f t="shared" si="15"/>
        <v>64.099999999999994</v>
      </c>
      <c r="BA29" s="35">
        <f t="shared" si="16"/>
        <v>64.099999999999994</v>
      </c>
      <c r="BB29" s="35">
        <f t="shared" si="17"/>
        <v>64.099999999999994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1" customHeight="1">
      <c r="A30" s="9"/>
      <c r="B30" s="2950" t="s">
        <v>3129</v>
      </c>
      <c r="C30" s="2950">
        <v>201</v>
      </c>
      <c r="D30" s="2214" t="s">
        <v>3051</v>
      </c>
      <c r="E30" s="35">
        <f t="shared" si="7"/>
        <v>0</v>
      </c>
      <c r="F30" s="36"/>
      <c r="G30" s="37">
        <f t="shared" si="8"/>
        <v>104.92</v>
      </c>
      <c r="H30" s="38">
        <f t="shared" si="9"/>
        <v>104.92</v>
      </c>
      <c r="I30" s="2216">
        <v>104.92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2943">
        <f t="shared" si="11"/>
        <v>0</v>
      </c>
      <c r="AW30" s="2943" t="str">
        <f t="shared" si="12"/>
        <v>京（2016）海淀区不动产权第0024805号</v>
      </c>
      <c r="AX30" s="2943">
        <f t="shared" si="13"/>
        <v>201</v>
      </c>
      <c r="AY30" s="2946">
        <f t="shared" si="14"/>
        <v>0</v>
      </c>
      <c r="AZ30" s="35">
        <f t="shared" si="15"/>
        <v>104.92</v>
      </c>
      <c r="BA30" s="35">
        <f t="shared" si="16"/>
        <v>104.92</v>
      </c>
      <c r="BB30" s="35">
        <f t="shared" si="17"/>
        <v>104.92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1" customHeight="1">
      <c r="A31" s="9"/>
      <c r="B31" s="2950" t="s">
        <v>3130</v>
      </c>
      <c r="C31" s="2950">
        <v>208</v>
      </c>
      <c r="D31" s="2214" t="s">
        <v>3051</v>
      </c>
      <c r="E31" s="35">
        <f t="shared" si="7"/>
        <v>0</v>
      </c>
      <c r="F31" s="36"/>
      <c r="G31" s="37">
        <f t="shared" si="8"/>
        <v>90</v>
      </c>
      <c r="H31" s="38">
        <f t="shared" si="9"/>
        <v>90</v>
      </c>
      <c r="I31" s="2216">
        <v>90</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2943">
        <f t="shared" si="11"/>
        <v>0</v>
      </c>
      <c r="AW31" s="2943" t="str">
        <f t="shared" si="12"/>
        <v>京（2016）海淀区不动产权第0024812号</v>
      </c>
      <c r="AX31" s="2943">
        <f t="shared" si="13"/>
        <v>208</v>
      </c>
      <c r="AY31" s="2946">
        <f t="shared" si="14"/>
        <v>0</v>
      </c>
      <c r="AZ31" s="35">
        <f t="shared" si="15"/>
        <v>90</v>
      </c>
      <c r="BA31" s="35">
        <f t="shared" si="16"/>
        <v>90</v>
      </c>
      <c r="BB31" s="35">
        <f t="shared" si="17"/>
        <v>90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1" customHeight="1">
      <c r="A32" s="9"/>
      <c r="B32" s="2950" t="s">
        <v>3131</v>
      </c>
      <c r="C32" s="2950">
        <v>211</v>
      </c>
      <c r="D32" s="2214" t="s">
        <v>3051</v>
      </c>
      <c r="E32" s="35">
        <f t="shared" si="7"/>
        <v>0</v>
      </c>
      <c r="F32" s="36"/>
      <c r="G32" s="37">
        <f t="shared" si="8"/>
        <v>69.13</v>
      </c>
      <c r="H32" s="38">
        <f t="shared" si="9"/>
        <v>69.13</v>
      </c>
      <c r="I32" s="2216">
        <v>69.13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2943">
        <f t="shared" si="11"/>
        <v>0</v>
      </c>
      <c r="AW32" s="2943" t="str">
        <f t="shared" si="12"/>
        <v>京（2015）海淀区不动产权第0029226号</v>
      </c>
      <c r="AX32" s="2943">
        <f t="shared" si="13"/>
        <v>211</v>
      </c>
      <c r="AY32" s="2946">
        <f t="shared" si="14"/>
        <v>0</v>
      </c>
      <c r="AZ32" s="35">
        <f t="shared" si="15"/>
        <v>69.13</v>
      </c>
      <c r="BA32" s="35">
        <f t="shared" si="16"/>
        <v>69.13</v>
      </c>
      <c r="BB32" s="35">
        <f t="shared" si="17"/>
        <v>69.13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1" customHeight="1">
      <c r="A33" s="9"/>
      <c r="B33" s="2950" t="s">
        <v>3132</v>
      </c>
      <c r="C33" s="2950">
        <v>212</v>
      </c>
      <c r="D33" s="2214" t="s">
        <v>3051</v>
      </c>
      <c r="E33" s="35">
        <f t="shared" si="7"/>
        <v>0</v>
      </c>
      <c r="F33" s="36"/>
      <c r="G33" s="37">
        <f t="shared" si="8"/>
        <v>69.13</v>
      </c>
      <c r="H33" s="38">
        <f t="shared" si="9"/>
        <v>69.13</v>
      </c>
      <c r="I33" s="2216">
        <v>69.13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2943">
        <f t="shared" si="11"/>
        <v>0</v>
      </c>
      <c r="AW33" s="2943" t="str">
        <f t="shared" si="12"/>
        <v>京（2015）海淀区不动产权第0029227号</v>
      </c>
      <c r="AX33" s="2943">
        <f t="shared" si="13"/>
        <v>212</v>
      </c>
      <c r="AY33" s="2946">
        <f t="shared" si="14"/>
        <v>0</v>
      </c>
      <c r="AZ33" s="35">
        <f t="shared" si="15"/>
        <v>69.13</v>
      </c>
      <c r="BA33" s="35">
        <f t="shared" si="16"/>
        <v>69.13</v>
      </c>
      <c r="BB33" s="35">
        <f t="shared" si="17"/>
        <v>69.13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1" customHeight="1">
      <c r="A34" s="9"/>
      <c r="B34" s="2950" t="s">
        <v>3133</v>
      </c>
      <c r="C34" s="2950">
        <v>213</v>
      </c>
      <c r="D34" s="2214" t="s">
        <v>3051</v>
      </c>
      <c r="E34" s="35">
        <f t="shared" si="7"/>
        <v>0</v>
      </c>
      <c r="F34" s="36"/>
      <c r="G34" s="37">
        <f t="shared" si="8"/>
        <v>69.13</v>
      </c>
      <c r="H34" s="38">
        <f t="shared" si="9"/>
        <v>69.13</v>
      </c>
      <c r="I34" s="2216">
        <v>69.13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2943">
        <f t="shared" si="11"/>
        <v>0</v>
      </c>
      <c r="AW34" s="2943" t="str">
        <f t="shared" si="12"/>
        <v>京（2015）海淀区不动产权第0029231号</v>
      </c>
      <c r="AX34" s="2943">
        <f t="shared" si="13"/>
        <v>213</v>
      </c>
      <c r="AY34" s="2946">
        <f t="shared" si="14"/>
        <v>0</v>
      </c>
      <c r="AZ34" s="35">
        <f t="shared" si="15"/>
        <v>69.13</v>
      </c>
      <c r="BA34" s="35">
        <f t="shared" si="16"/>
        <v>69.13</v>
      </c>
      <c r="BB34" s="35">
        <f t="shared" si="17"/>
        <v>69.13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1" customHeight="1">
      <c r="A35" s="9"/>
      <c r="B35" s="2950" t="s">
        <v>3134</v>
      </c>
      <c r="C35" s="2950">
        <v>214</v>
      </c>
      <c r="D35" s="2214" t="s">
        <v>3051</v>
      </c>
      <c r="E35" s="35">
        <f t="shared" si="7"/>
        <v>0</v>
      </c>
      <c r="F35" s="36"/>
      <c r="G35" s="37">
        <f t="shared" si="8"/>
        <v>96.62</v>
      </c>
      <c r="H35" s="38">
        <f t="shared" si="9"/>
        <v>96.62</v>
      </c>
      <c r="I35" s="2216">
        <v>96.62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2943">
        <f t="shared" si="11"/>
        <v>0</v>
      </c>
      <c r="AW35" s="2943" t="str">
        <f t="shared" si="12"/>
        <v>京（2015）海淀区不动产权第0029232号</v>
      </c>
      <c r="AX35" s="2943">
        <f t="shared" si="13"/>
        <v>214</v>
      </c>
      <c r="AY35" s="2946">
        <f t="shared" si="14"/>
        <v>0</v>
      </c>
      <c r="AZ35" s="35">
        <f t="shared" si="15"/>
        <v>96.62</v>
      </c>
      <c r="BA35" s="35">
        <f t="shared" si="16"/>
        <v>96.62</v>
      </c>
      <c r="BB35" s="35">
        <f t="shared" si="17"/>
        <v>96.62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1" customHeight="1">
      <c r="A36" s="9"/>
      <c r="B36" s="2950" t="s">
        <v>3135</v>
      </c>
      <c r="C36" s="2950">
        <v>242</v>
      </c>
      <c r="D36" s="2214" t="s">
        <v>3051</v>
      </c>
      <c r="E36" s="35">
        <f t="shared" si="7"/>
        <v>0</v>
      </c>
      <c r="F36" s="36"/>
      <c r="G36" s="37">
        <f t="shared" si="8"/>
        <v>65.319999999999993</v>
      </c>
      <c r="H36" s="38">
        <f t="shared" si="9"/>
        <v>65.319999999999993</v>
      </c>
      <c r="I36" s="2216">
        <v>65.319999999999993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2943">
        <f t="shared" si="11"/>
        <v>0</v>
      </c>
      <c r="AW36" s="2943" t="str">
        <f t="shared" si="12"/>
        <v>京（2016）海淀区不动产权第0024815号</v>
      </c>
      <c r="AX36" s="2943">
        <f t="shared" si="13"/>
        <v>242</v>
      </c>
      <c r="AY36" s="2946">
        <f t="shared" si="14"/>
        <v>0</v>
      </c>
      <c r="AZ36" s="35">
        <f t="shared" si="15"/>
        <v>65.319999999999993</v>
      </c>
      <c r="BA36" s="35">
        <f t="shared" si="16"/>
        <v>65.319999999999993</v>
      </c>
      <c r="BB36" s="35">
        <f t="shared" si="17"/>
        <v>65.319999999999993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1" customHeight="1">
      <c r="A37" s="9"/>
      <c r="B37" s="2950" t="s">
        <v>3136</v>
      </c>
      <c r="C37" s="2950">
        <v>247</v>
      </c>
      <c r="D37" s="2214" t="s">
        <v>3051</v>
      </c>
      <c r="E37" s="35">
        <f t="shared" si="7"/>
        <v>0</v>
      </c>
      <c r="F37" s="36"/>
      <c r="G37" s="37">
        <f t="shared" si="8"/>
        <v>65.319999999999993</v>
      </c>
      <c r="H37" s="38">
        <f t="shared" si="9"/>
        <v>65.319999999999993</v>
      </c>
      <c r="I37" s="2216">
        <v>65.319999999999993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2943">
        <f t="shared" si="11"/>
        <v>0</v>
      </c>
      <c r="AW37" s="2943" t="str">
        <f t="shared" si="12"/>
        <v>京（2016）海淀区不动产权第0024820号</v>
      </c>
      <c r="AX37" s="2943">
        <f t="shared" si="13"/>
        <v>247</v>
      </c>
      <c r="AY37" s="2946">
        <f t="shared" si="14"/>
        <v>0</v>
      </c>
      <c r="AZ37" s="35">
        <f t="shared" si="15"/>
        <v>65.319999999999993</v>
      </c>
      <c r="BA37" s="35">
        <f t="shared" si="16"/>
        <v>65.319999999999993</v>
      </c>
      <c r="BB37" s="35">
        <f t="shared" si="17"/>
        <v>65.319999999999993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1" customHeight="1">
      <c r="A38" s="9"/>
      <c r="B38" s="2950" t="s">
        <v>3137</v>
      </c>
      <c r="C38" s="2950">
        <v>253</v>
      </c>
      <c r="D38" s="2214" t="s">
        <v>3051</v>
      </c>
      <c r="E38" s="35">
        <f t="shared" si="7"/>
        <v>0</v>
      </c>
      <c r="F38" s="36"/>
      <c r="G38" s="37">
        <f t="shared" si="8"/>
        <v>35.770000000000003</v>
      </c>
      <c r="H38" s="38">
        <f t="shared" si="9"/>
        <v>35.770000000000003</v>
      </c>
      <c r="I38" s="2216">
        <v>35.770000000000003</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2943">
        <f t="shared" si="11"/>
        <v>0</v>
      </c>
      <c r="AW38" s="2943" t="str">
        <f t="shared" si="12"/>
        <v>京（2015）海淀区不动产权第0029259号</v>
      </c>
      <c r="AX38" s="2943">
        <f t="shared" si="13"/>
        <v>253</v>
      </c>
      <c r="AY38" s="2946">
        <f t="shared" si="14"/>
        <v>0</v>
      </c>
      <c r="AZ38" s="35">
        <f t="shared" si="15"/>
        <v>35.770000000000003</v>
      </c>
      <c r="BA38" s="35">
        <f t="shared" si="16"/>
        <v>35.770000000000003</v>
      </c>
      <c r="BB38" s="35">
        <f t="shared" si="17"/>
        <v>35.770000000000003</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1" customHeight="1">
      <c r="A39" s="9"/>
      <c r="B39" s="2950" t="s">
        <v>3138</v>
      </c>
      <c r="C39" s="2950">
        <v>255</v>
      </c>
      <c r="D39" s="2214" t="s">
        <v>3051</v>
      </c>
      <c r="E39" s="35">
        <f t="shared" si="7"/>
        <v>0</v>
      </c>
      <c r="F39" s="36"/>
      <c r="G39" s="37">
        <f t="shared" si="8"/>
        <v>35.93</v>
      </c>
      <c r="H39" s="38">
        <f t="shared" si="9"/>
        <v>35.93</v>
      </c>
      <c r="I39" s="2216">
        <v>35.93</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2943">
        <f t="shared" si="11"/>
        <v>0</v>
      </c>
      <c r="AW39" s="2943" t="str">
        <f t="shared" si="12"/>
        <v>京（2016）海淀区不动产权第0024804号</v>
      </c>
      <c r="AX39" s="2943">
        <f t="shared" si="13"/>
        <v>255</v>
      </c>
      <c r="AY39" s="2946">
        <f t="shared" si="14"/>
        <v>0</v>
      </c>
      <c r="AZ39" s="35">
        <f t="shared" si="15"/>
        <v>35.93</v>
      </c>
      <c r="BA39" s="35">
        <f t="shared" si="16"/>
        <v>35.93</v>
      </c>
      <c r="BB39" s="35">
        <f t="shared" si="17"/>
        <v>35.93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1" customHeight="1">
      <c r="A40" s="9"/>
      <c r="B40" s="2950" t="s">
        <v>3139</v>
      </c>
      <c r="C40" s="2950">
        <v>259</v>
      </c>
      <c r="D40" s="2214" t="s">
        <v>3051</v>
      </c>
      <c r="E40" s="35">
        <f t="shared" si="7"/>
        <v>0</v>
      </c>
      <c r="F40" s="36"/>
      <c r="G40" s="37">
        <f t="shared" si="8"/>
        <v>58.77</v>
      </c>
      <c r="H40" s="38">
        <f t="shared" si="9"/>
        <v>58.77</v>
      </c>
      <c r="I40" s="2216">
        <v>58.77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2943">
        <f t="shared" si="11"/>
        <v>0</v>
      </c>
      <c r="AW40" s="2943" t="str">
        <f t="shared" si="12"/>
        <v>京（2016）海淀区不动产权第0023484号</v>
      </c>
      <c r="AX40" s="2943">
        <f t="shared" si="13"/>
        <v>259</v>
      </c>
      <c r="AY40" s="2946">
        <f t="shared" si="14"/>
        <v>0</v>
      </c>
      <c r="AZ40" s="35">
        <f t="shared" si="15"/>
        <v>58.77</v>
      </c>
      <c r="BA40" s="35">
        <f t="shared" si="16"/>
        <v>58.77</v>
      </c>
      <c r="BB40" s="35">
        <f t="shared" si="17"/>
        <v>58.77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1" customHeight="1">
      <c r="A41" s="9"/>
      <c r="B41" s="2950" t="s">
        <v>3140</v>
      </c>
      <c r="C41" s="2950">
        <v>260</v>
      </c>
      <c r="D41" s="2214" t="s">
        <v>3051</v>
      </c>
      <c r="E41" s="35">
        <f t="shared" si="7"/>
        <v>0</v>
      </c>
      <c r="F41" s="36"/>
      <c r="G41" s="37">
        <f t="shared" si="8"/>
        <v>58.77</v>
      </c>
      <c r="H41" s="38">
        <f t="shared" si="9"/>
        <v>58.77</v>
      </c>
      <c r="I41" s="2216">
        <v>58.77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2943">
        <f t="shared" si="11"/>
        <v>0</v>
      </c>
      <c r="AW41" s="2943" t="str">
        <f t="shared" si="12"/>
        <v>京（2016）海淀区不动产权第0023643号</v>
      </c>
      <c r="AX41" s="2943">
        <f t="shared" si="13"/>
        <v>260</v>
      </c>
      <c r="AY41" s="2946">
        <f t="shared" si="14"/>
        <v>0</v>
      </c>
      <c r="AZ41" s="35">
        <f t="shared" si="15"/>
        <v>58.77</v>
      </c>
      <c r="BA41" s="35">
        <f t="shared" si="16"/>
        <v>58.77</v>
      </c>
      <c r="BB41" s="35">
        <f t="shared" si="17"/>
        <v>58.77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1" customHeight="1">
      <c r="A42" s="9"/>
      <c r="B42" s="2950" t="s">
        <v>3141</v>
      </c>
      <c r="C42" s="2950">
        <v>262</v>
      </c>
      <c r="D42" s="2214" t="s">
        <v>3051</v>
      </c>
      <c r="E42" s="35">
        <f t="shared" si="7"/>
        <v>0</v>
      </c>
      <c r="F42" s="36"/>
      <c r="G42" s="37">
        <f t="shared" si="8"/>
        <v>58.77</v>
      </c>
      <c r="H42" s="38">
        <f t="shared" si="9"/>
        <v>58.77</v>
      </c>
      <c r="I42" s="2216">
        <v>58.77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2943">
        <f t="shared" si="11"/>
        <v>0</v>
      </c>
      <c r="AW42" s="2943" t="str">
        <f t="shared" si="12"/>
        <v>京（2016）海淀区不动产权第0023644号</v>
      </c>
      <c r="AX42" s="2943">
        <f t="shared" si="13"/>
        <v>262</v>
      </c>
      <c r="AY42" s="2946">
        <f t="shared" si="14"/>
        <v>0</v>
      </c>
      <c r="AZ42" s="35">
        <f t="shared" si="15"/>
        <v>58.77</v>
      </c>
      <c r="BA42" s="35">
        <f t="shared" si="16"/>
        <v>58.77</v>
      </c>
      <c r="BB42" s="35">
        <f t="shared" si="17"/>
        <v>58.77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1" customHeight="1">
      <c r="A43" s="9"/>
      <c r="B43" s="2950" t="s">
        <v>3142</v>
      </c>
      <c r="C43" s="2950">
        <v>263</v>
      </c>
      <c r="D43" s="2214" t="s">
        <v>3051</v>
      </c>
      <c r="E43" s="35">
        <f t="shared" si="7"/>
        <v>0</v>
      </c>
      <c r="F43" s="36"/>
      <c r="G43" s="37">
        <f t="shared" si="8"/>
        <v>58.77</v>
      </c>
      <c r="H43" s="38">
        <f t="shared" si="9"/>
        <v>58.77</v>
      </c>
      <c r="I43" s="2216">
        <v>58.77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2943">
        <f t="shared" si="11"/>
        <v>0</v>
      </c>
      <c r="AW43" s="2943" t="str">
        <f t="shared" si="12"/>
        <v>京（2016）海淀区不动产权第0023645号</v>
      </c>
      <c r="AX43" s="2943">
        <f t="shared" si="13"/>
        <v>263</v>
      </c>
      <c r="AY43" s="2946">
        <f t="shared" si="14"/>
        <v>0</v>
      </c>
      <c r="AZ43" s="35">
        <f t="shared" si="15"/>
        <v>58.77</v>
      </c>
      <c r="BA43" s="35">
        <f t="shared" si="16"/>
        <v>58.77</v>
      </c>
      <c r="BB43" s="35">
        <f t="shared" si="17"/>
        <v>58.77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1" customHeight="1">
      <c r="A44" s="9"/>
      <c r="B44" s="2950" t="s">
        <v>3143</v>
      </c>
      <c r="C44" s="2950">
        <v>308</v>
      </c>
      <c r="D44" s="2214" t="s">
        <v>3051</v>
      </c>
      <c r="E44" s="35">
        <f t="shared" si="7"/>
        <v>0</v>
      </c>
      <c r="F44" s="36"/>
      <c r="G44" s="37">
        <f t="shared" si="8"/>
        <v>90</v>
      </c>
      <c r="H44" s="38">
        <f t="shared" si="9"/>
        <v>90</v>
      </c>
      <c r="I44" s="2216">
        <v>90</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2943">
        <f t="shared" si="11"/>
        <v>0</v>
      </c>
      <c r="AW44" s="2943" t="str">
        <f t="shared" si="12"/>
        <v>京（2016）海淀区不动产权第0023655号</v>
      </c>
      <c r="AX44" s="2943">
        <f t="shared" si="13"/>
        <v>308</v>
      </c>
      <c r="AY44" s="2946">
        <f t="shared" si="14"/>
        <v>0</v>
      </c>
      <c r="AZ44" s="35">
        <f t="shared" si="15"/>
        <v>90</v>
      </c>
      <c r="BA44" s="35">
        <f t="shared" si="16"/>
        <v>90</v>
      </c>
      <c r="BB44" s="35">
        <f t="shared" si="17"/>
        <v>90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1" customHeight="1">
      <c r="A45" s="9"/>
      <c r="B45" s="2950" t="s">
        <v>3144</v>
      </c>
      <c r="C45" s="2950">
        <v>310</v>
      </c>
      <c r="D45" s="2214" t="s">
        <v>3051</v>
      </c>
      <c r="E45" s="35">
        <f t="shared" si="7"/>
        <v>0</v>
      </c>
      <c r="F45" s="36"/>
      <c r="G45" s="37">
        <f t="shared" si="8"/>
        <v>65.930000000000007</v>
      </c>
      <c r="H45" s="38">
        <f t="shared" si="9"/>
        <v>65.930000000000007</v>
      </c>
      <c r="I45" s="2216">
        <v>65.930000000000007</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2943">
        <f t="shared" si="11"/>
        <v>0</v>
      </c>
      <c r="AW45" s="2943" t="str">
        <f t="shared" si="12"/>
        <v>京（2015）海淀区不动产权第0028003号</v>
      </c>
      <c r="AX45" s="2943">
        <f t="shared" si="13"/>
        <v>310</v>
      </c>
      <c r="AY45" s="2946">
        <f t="shared" si="14"/>
        <v>0</v>
      </c>
      <c r="AZ45" s="35">
        <f t="shared" si="15"/>
        <v>65.930000000000007</v>
      </c>
      <c r="BA45" s="35">
        <f t="shared" si="16"/>
        <v>65.930000000000007</v>
      </c>
      <c r="BB45" s="35">
        <f t="shared" si="17"/>
        <v>65.930000000000007</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1" customHeight="1">
      <c r="A46" s="9"/>
      <c r="B46" s="2950" t="s">
        <v>3145</v>
      </c>
      <c r="C46" s="2950">
        <v>315</v>
      </c>
      <c r="D46" s="2214" t="s">
        <v>3051</v>
      </c>
      <c r="E46" s="35">
        <f t="shared" si="7"/>
        <v>0</v>
      </c>
      <c r="F46" s="36"/>
      <c r="G46" s="37">
        <f t="shared" si="8"/>
        <v>70</v>
      </c>
      <c r="H46" s="38">
        <f t="shared" si="9"/>
        <v>70</v>
      </c>
      <c r="I46" s="2216">
        <v>70</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2943">
        <f t="shared" si="11"/>
        <v>0</v>
      </c>
      <c r="AW46" s="2943" t="str">
        <f t="shared" si="12"/>
        <v>京（2015）海淀区不动产权第0028007号</v>
      </c>
      <c r="AX46" s="2943">
        <f t="shared" si="13"/>
        <v>315</v>
      </c>
      <c r="AY46" s="2946">
        <f t="shared" si="14"/>
        <v>0</v>
      </c>
      <c r="AZ46" s="35">
        <f t="shared" si="15"/>
        <v>70</v>
      </c>
      <c r="BA46" s="35">
        <f t="shared" si="16"/>
        <v>70</v>
      </c>
      <c r="BB46" s="35">
        <f t="shared" si="17"/>
        <v>70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1" customHeight="1">
      <c r="A47" s="9"/>
      <c r="B47" s="2950" t="s">
        <v>3093</v>
      </c>
      <c r="C47" s="2950">
        <v>316</v>
      </c>
      <c r="D47" s="2214" t="s">
        <v>3051</v>
      </c>
      <c r="E47" s="35">
        <f t="shared" si="7"/>
        <v>0</v>
      </c>
      <c r="F47" s="36"/>
      <c r="G47" s="37">
        <f t="shared" si="8"/>
        <v>69.58</v>
      </c>
      <c r="H47" s="38">
        <f t="shared" si="9"/>
        <v>69.58</v>
      </c>
      <c r="I47" s="2216">
        <v>69.58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2943">
        <f t="shared" si="11"/>
        <v>0</v>
      </c>
      <c r="AW47" s="2943" t="str">
        <f t="shared" si="12"/>
        <v>京（2015）海淀区不动产权第0028008号</v>
      </c>
      <c r="AX47" s="2943">
        <f t="shared" si="13"/>
        <v>316</v>
      </c>
      <c r="AY47" s="2946">
        <f t="shared" si="14"/>
        <v>0</v>
      </c>
      <c r="AZ47" s="35">
        <f t="shared" si="15"/>
        <v>69.58</v>
      </c>
      <c r="BA47" s="35">
        <f t="shared" si="16"/>
        <v>69.58</v>
      </c>
      <c r="BB47" s="35">
        <f t="shared" si="17"/>
        <v>69.58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1" customHeight="1">
      <c r="A48" s="9"/>
      <c r="B48" s="2950" t="s">
        <v>3146</v>
      </c>
      <c r="C48" s="2950">
        <v>323</v>
      </c>
      <c r="D48" s="2214" t="s">
        <v>3051</v>
      </c>
      <c r="E48" s="35">
        <f t="shared" si="7"/>
        <v>0</v>
      </c>
      <c r="F48" s="36"/>
      <c r="G48" s="37">
        <f t="shared" si="8"/>
        <v>36.74</v>
      </c>
      <c r="H48" s="38">
        <f t="shared" si="9"/>
        <v>36.74</v>
      </c>
      <c r="I48" s="2216">
        <v>36.74</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2943">
        <f t="shared" si="11"/>
        <v>0</v>
      </c>
      <c r="AW48" s="2943" t="str">
        <f t="shared" si="12"/>
        <v>京（2015）海淀区不动产权第0028015号</v>
      </c>
      <c r="AX48" s="2943">
        <f t="shared" si="13"/>
        <v>323</v>
      </c>
      <c r="AY48" s="2946">
        <f t="shared" si="14"/>
        <v>0</v>
      </c>
      <c r="AZ48" s="35">
        <f t="shared" si="15"/>
        <v>36.74</v>
      </c>
      <c r="BA48" s="35">
        <f t="shared" si="16"/>
        <v>36.74</v>
      </c>
      <c r="BB48" s="35">
        <f t="shared" si="17"/>
        <v>36.74</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1" customHeight="1">
      <c r="A49" s="9"/>
      <c r="B49" s="2950" t="s">
        <v>3147</v>
      </c>
      <c r="C49" s="2950">
        <v>327</v>
      </c>
      <c r="D49" s="2214" t="s">
        <v>3051</v>
      </c>
      <c r="E49" s="35">
        <f t="shared" si="7"/>
        <v>0</v>
      </c>
      <c r="F49" s="36"/>
      <c r="G49" s="37">
        <f t="shared" si="8"/>
        <v>53.69</v>
      </c>
      <c r="H49" s="38">
        <f t="shared" si="9"/>
        <v>53.69</v>
      </c>
      <c r="I49" s="2216">
        <v>53.69</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2943">
        <f t="shared" si="11"/>
        <v>0</v>
      </c>
      <c r="AW49" s="2943" t="str">
        <f t="shared" si="12"/>
        <v>京（2015）海淀区不动产权第0028019号</v>
      </c>
      <c r="AX49" s="2943">
        <f t="shared" si="13"/>
        <v>327</v>
      </c>
      <c r="AY49" s="2946">
        <f t="shared" si="14"/>
        <v>0</v>
      </c>
      <c r="AZ49" s="35">
        <f t="shared" si="15"/>
        <v>53.69</v>
      </c>
      <c r="BA49" s="35">
        <f t="shared" si="16"/>
        <v>53.69</v>
      </c>
      <c r="BB49" s="35">
        <f t="shared" si="17"/>
        <v>53.69</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1" customHeight="1">
      <c r="A50" s="9"/>
      <c r="B50" s="2950" t="s">
        <v>3148</v>
      </c>
      <c r="C50" s="2950">
        <v>330</v>
      </c>
      <c r="D50" s="2214" t="s">
        <v>3051</v>
      </c>
      <c r="E50" s="35">
        <f t="shared" si="7"/>
        <v>0</v>
      </c>
      <c r="F50" s="36"/>
      <c r="G50" s="37">
        <f t="shared" si="8"/>
        <v>64.72</v>
      </c>
      <c r="H50" s="38">
        <f t="shared" si="9"/>
        <v>64.72</v>
      </c>
      <c r="I50" s="2216">
        <v>64.72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2943">
        <f t="shared" si="11"/>
        <v>0</v>
      </c>
      <c r="AW50" s="2943" t="str">
        <f t="shared" si="12"/>
        <v>京（2015）海淀区不动产权第0028022号</v>
      </c>
      <c r="AX50" s="2943">
        <f t="shared" si="13"/>
        <v>330</v>
      </c>
      <c r="AY50" s="2946">
        <f t="shared" si="14"/>
        <v>0</v>
      </c>
      <c r="AZ50" s="35">
        <f t="shared" si="15"/>
        <v>64.72</v>
      </c>
      <c r="BA50" s="35">
        <f t="shared" si="16"/>
        <v>64.72</v>
      </c>
      <c r="BB50" s="35">
        <f t="shared" si="17"/>
        <v>64.72</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1" customHeight="1">
      <c r="A51" s="9"/>
      <c r="B51" s="2950" t="s">
        <v>3149</v>
      </c>
      <c r="C51" s="2950">
        <v>338</v>
      </c>
      <c r="D51" s="2214" t="s">
        <v>3051</v>
      </c>
      <c r="E51" s="35">
        <f t="shared" si="7"/>
        <v>0</v>
      </c>
      <c r="F51" s="36"/>
      <c r="G51" s="37">
        <f t="shared" si="8"/>
        <v>111.25</v>
      </c>
      <c r="H51" s="38">
        <f t="shared" si="9"/>
        <v>111.25</v>
      </c>
      <c r="I51" s="2216">
        <v>111.25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2943">
        <f t="shared" si="11"/>
        <v>0</v>
      </c>
      <c r="AW51" s="2943" t="str">
        <f t="shared" si="12"/>
        <v>京（2015）海淀区不动产权第0028030号</v>
      </c>
      <c r="AX51" s="2943">
        <f t="shared" si="13"/>
        <v>338</v>
      </c>
      <c r="AY51" s="2946">
        <f t="shared" si="14"/>
        <v>0</v>
      </c>
      <c r="AZ51" s="35">
        <f t="shared" si="15"/>
        <v>111.25</v>
      </c>
      <c r="BA51" s="35">
        <f t="shared" si="16"/>
        <v>111.25</v>
      </c>
      <c r="BB51" s="35">
        <f t="shared" si="17"/>
        <v>111.25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1" customHeight="1">
      <c r="A52" s="9"/>
      <c r="B52" s="2950" t="s">
        <v>3150</v>
      </c>
      <c r="C52" s="2950">
        <v>340</v>
      </c>
      <c r="D52" s="2214" t="s">
        <v>3051</v>
      </c>
      <c r="E52" s="35">
        <f t="shared" si="7"/>
        <v>0</v>
      </c>
      <c r="F52" s="36"/>
      <c r="G52" s="37">
        <f t="shared" si="8"/>
        <v>46.3</v>
      </c>
      <c r="H52" s="38">
        <f t="shared" si="9"/>
        <v>46.3</v>
      </c>
      <c r="I52" s="2216">
        <v>46.3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2943">
        <f t="shared" si="11"/>
        <v>0</v>
      </c>
      <c r="AW52" s="2943" t="str">
        <f t="shared" si="12"/>
        <v>京（2016）海淀区不动产权第0019725号</v>
      </c>
      <c r="AX52" s="2943">
        <f t="shared" si="13"/>
        <v>340</v>
      </c>
      <c r="AY52" s="2946">
        <f t="shared" si="14"/>
        <v>0</v>
      </c>
      <c r="AZ52" s="35">
        <f t="shared" si="15"/>
        <v>46.3</v>
      </c>
      <c r="BA52" s="35">
        <f t="shared" si="16"/>
        <v>46.3</v>
      </c>
      <c r="BB52" s="35">
        <f t="shared" si="17"/>
        <v>46.3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1" customHeight="1">
      <c r="A53" s="9"/>
      <c r="B53" s="2950" t="s">
        <v>3151</v>
      </c>
      <c r="C53" s="2950">
        <v>341</v>
      </c>
      <c r="D53" s="2214" t="s">
        <v>3051</v>
      </c>
      <c r="E53" s="35">
        <f t="shared" si="7"/>
        <v>0</v>
      </c>
      <c r="F53" s="36"/>
      <c r="G53" s="37">
        <f t="shared" si="8"/>
        <v>65.319999999999993</v>
      </c>
      <c r="H53" s="38">
        <f t="shared" si="9"/>
        <v>65.319999999999993</v>
      </c>
      <c r="I53" s="2216">
        <v>65.319999999999993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2943">
        <f t="shared" si="11"/>
        <v>0</v>
      </c>
      <c r="AW53" s="2943" t="str">
        <f t="shared" si="12"/>
        <v>京（2016）海淀区不动产权第0019732号</v>
      </c>
      <c r="AX53" s="2943">
        <f t="shared" si="13"/>
        <v>341</v>
      </c>
      <c r="AY53" s="2946">
        <f t="shared" si="14"/>
        <v>0</v>
      </c>
      <c r="AZ53" s="35">
        <f t="shared" si="15"/>
        <v>65.319999999999993</v>
      </c>
      <c r="BA53" s="35">
        <f t="shared" si="16"/>
        <v>65.319999999999993</v>
      </c>
      <c r="BB53" s="35">
        <f t="shared" si="17"/>
        <v>65.319999999999993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1" customHeight="1">
      <c r="A54" s="9"/>
      <c r="B54" s="2950" t="s">
        <v>3152</v>
      </c>
      <c r="C54" s="2950">
        <v>342</v>
      </c>
      <c r="D54" s="2214" t="s">
        <v>3051</v>
      </c>
      <c r="E54" s="35">
        <f t="shared" si="7"/>
        <v>0</v>
      </c>
      <c r="F54" s="36"/>
      <c r="G54" s="37">
        <f t="shared" si="8"/>
        <v>65.319999999999993</v>
      </c>
      <c r="H54" s="38">
        <f t="shared" si="9"/>
        <v>65.319999999999993</v>
      </c>
      <c r="I54" s="2216">
        <v>65.319999999999993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2943">
        <f t="shared" si="11"/>
        <v>0</v>
      </c>
      <c r="AW54" s="2943" t="str">
        <f t="shared" si="12"/>
        <v>京（2016）海淀区不动产权第0019733号</v>
      </c>
      <c r="AX54" s="2943">
        <f t="shared" si="13"/>
        <v>342</v>
      </c>
      <c r="AY54" s="2946">
        <f t="shared" si="14"/>
        <v>0</v>
      </c>
      <c r="AZ54" s="35">
        <f t="shared" si="15"/>
        <v>65.319999999999993</v>
      </c>
      <c r="BA54" s="35">
        <f t="shared" si="16"/>
        <v>65.319999999999993</v>
      </c>
      <c r="BB54" s="35">
        <f t="shared" si="17"/>
        <v>65.319999999999993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1" customHeight="1">
      <c r="A55" s="9"/>
      <c r="B55" s="2950" t="s">
        <v>3153</v>
      </c>
      <c r="C55" s="2950">
        <v>344</v>
      </c>
      <c r="D55" s="2214" t="s">
        <v>3051</v>
      </c>
      <c r="E55" s="35">
        <f t="shared" si="7"/>
        <v>0</v>
      </c>
      <c r="F55" s="36"/>
      <c r="G55" s="37">
        <f t="shared" si="8"/>
        <v>65.319999999999993</v>
      </c>
      <c r="H55" s="38">
        <f t="shared" si="9"/>
        <v>65.319999999999993</v>
      </c>
      <c r="I55" s="2216">
        <v>65.319999999999993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2943">
        <f t="shared" si="11"/>
        <v>0</v>
      </c>
      <c r="AW55" s="2943" t="str">
        <f t="shared" si="12"/>
        <v>京（2016）海淀区不动产权第0019735号</v>
      </c>
      <c r="AX55" s="2943">
        <f t="shared" si="13"/>
        <v>344</v>
      </c>
      <c r="AY55" s="2946">
        <f t="shared" si="14"/>
        <v>0</v>
      </c>
      <c r="AZ55" s="35">
        <f t="shared" si="15"/>
        <v>65.319999999999993</v>
      </c>
      <c r="BA55" s="35">
        <f t="shared" si="16"/>
        <v>65.319999999999993</v>
      </c>
      <c r="BB55" s="35">
        <f t="shared" si="17"/>
        <v>65.319999999999993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1" customHeight="1">
      <c r="A56" s="9"/>
      <c r="B56" s="2950" t="s">
        <v>3154</v>
      </c>
      <c r="C56" s="2950">
        <v>346</v>
      </c>
      <c r="D56" s="2214" t="s">
        <v>3051</v>
      </c>
      <c r="E56" s="35">
        <f t="shared" si="7"/>
        <v>0</v>
      </c>
      <c r="F56" s="36"/>
      <c r="G56" s="37">
        <f t="shared" si="8"/>
        <v>65.319999999999993</v>
      </c>
      <c r="H56" s="38">
        <f t="shared" si="9"/>
        <v>65.319999999999993</v>
      </c>
      <c r="I56" s="2216">
        <v>65.319999999999993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2943">
        <f t="shared" si="11"/>
        <v>0</v>
      </c>
      <c r="AW56" s="2943" t="str">
        <f t="shared" si="12"/>
        <v>京（2016）海淀区不动产权第0019737号</v>
      </c>
      <c r="AX56" s="2943">
        <f t="shared" si="13"/>
        <v>346</v>
      </c>
      <c r="AY56" s="2946">
        <f t="shared" si="14"/>
        <v>0</v>
      </c>
      <c r="AZ56" s="35">
        <f t="shared" si="15"/>
        <v>65.319999999999993</v>
      </c>
      <c r="BA56" s="35">
        <f t="shared" si="16"/>
        <v>65.319999999999993</v>
      </c>
      <c r="BB56" s="35">
        <f t="shared" si="17"/>
        <v>65.319999999999993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1" customHeight="1">
      <c r="A57" s="9"/>
      <c r="B57" s="2950" t="s">
        <v>3103</v>
      </c>
      <c r="C57" s="2950">
        <v>347</v>
      </c>
      <c r="D57" s="2214" t="s">
        <v>3051</v>
      </c>
      <c r="E57" s="35">
        <f t="shared" si="7"/>
        <v>0</v>
      </c>
      <c r="F57" s="36"/>
      <c r="G57" s="37">
        <f t="shared" si="8"/>
        <v>65.319999999999993</v>
      </c>
      <c r="H57" s="38">
        <f t="shared" si="9"/>
        <v>65.319999999999993</v>
      </c>
      <c r="I57" s="2216">
        <v>65.319999999999993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2943">
        <f t="shared" si="11"/>
        <v>0</v>
      </c>
      <c r="AW57" s="2943" t="str">
        <f t="shared" si="12"/>
        <v>京（2016）海淀区不动产权第0019738号</v>
      </c>
      <c r="AX57" s="2943">
        <f t="shared" si="13"/>
        <v>347</v>
      </c>
      <c r="AY57" s="2946">
        <f t="shared" si="14"/>
        <v>0</v>
      </c>
      <c r="AZ57" s="35">
        <f t="shared" si="15"/>
        <v>65.319999999999993</v>
      </c>
      <c r="BA57" s="35">
        <f t="shared" si="16"/>
        <v>65.319999999999993</v>
      </c>
      <c r="BB57" s="35">
        <f t="shared" si="17"/>
        <v>65.319999999999993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1" customHeight="1">
      <c r="A58" s="9"/>
      <c r="B58" s="2950" t="s">
        <v>3155</v>
      </c>
      <c r="C58" s="2950">
        <v>353</v>
      </c>
      <c r="D58" s="2214" t="s">
        <v>3051</v>
      </c>
      <c r="E58" s="35">
        <f t="shared" si="7"/>
        <v>0</v>
      </c>
      <c r="F58" s="36"/>
      <c r="G58" s="37">
        <f t="shared" si="8"/>
        <v>35.770000000000003</v>
      </c>
      <c r="H58" s="38">
        <f t="shared" si="9"/>
        <v>35.770000000000003</v>
      </c>
      <c r="I58" s="2216">
        <v>35.770000000000003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2943">
        <f t="shared" si="11"/>
        <v>0</v>
      </c>
      <c r="AW58" s="2943" t="str">
        <f t="shared" si="12"/>
        <v>京（2016）海淀区不动产权第0019740号</v>
      </c>
      <c r="AX58" s="2943">
        <f t="shared" si="13"/>
        <v>353</v>
      </c>
      <c r="AY58" s="2946">
        <f t="shared" si="14"/>
        <v>0</v>
      </c>
      <c r="AZ58" s="35">
        <f t="shared" si="15"/>
        <v>35.770000000000003</v>
      </c>
      <c r="BA58" s="35">
        <f t="shared" si="16"/>
        <v>35.770000000000003</v>
      </c>
      <c r="BB58" s="35">
        <f t="shared" si="17"/>
        <v>35.770000000000003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1" customHeight="1">
      <c r="A59" s="9"/>
      <c r="B59" s="2950" t="s">
        <v>3156</v>
      </c>
      <c r="C59" s="2950">
        <v>355</v>
      </c>
      <c r="D59" s="2214" t="s">
        <v>3051</v>
      </c>
      <c r="E59" s="35">
        <f t="shared" si="7"/>
        <v>0</v>
      </c>
      <c r="F59" s="36"/>
      <c r="G59" s="37">
        <f t="shared" si="8"/>
        <v>35.93</v>
      </c>
      <c r="H59" s="38">
        <f t="shared" si="9"/>
        <v>35.93</v>
      </c>
      <c r="I59" s="2216">
        <v>35.93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2943">
        <f t="shared" si="11"/>
        <v>0</v>
      </c>
      <c r="AW59" s="2943" t="str">
        <f t="shared" si="12"/>
        <v>京（2016）海淀区不动产权第0019742号</v>
      </c>
      <c r="AX59" s="2943">
        <f t="shared" si="13"/>
        <v>355</v>
      </c>
      <c r="AY59" s="2946">
        <f t="shared" si="14"/>
        <v>0</v>
      </c>
      <c r="AZ59" s="35">
        <f t="shared" si="15"/>
        <v>35.93</v>
      </c>
      <c r="BA59" s="35">
        <f t="shared" si="16"/>
        <v>35.93</v>
      </c>
      <c r="BB59" s="35">
        <f t="shared" si="17"/>
        <v>35.93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1" customHeight="1">
      <c r="A60" s="9"/>
      <c r="B60" s="2950" t="s">
        <v>3157</v>
      </c>
      <c r="C60" s="2950">
        <v>362</v>
      </c>
      <c r="D60" s="2214" t="s">
        <v>3051</v>
      </c>
      <c r="E60" s="35">
        <f t="shared" si="7"/>
        <v>0</v>
      </c>
      <c r="F60" s="36"/>
      <c r="G60" s="37">
        <f t="shared" si="8"/>
        <v>58.77</v>
      </c>
      <c r="H60" s="38">
        <f t="shared" si="9"/>
        <v>58.77</v>
      </c>
      <c r="I60" s="2216">
        <v>58.77</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2943">
        <f t="shared" si="11"/>
        <v>0</v>
      </c>
      <c r="AW60" s="2943" t="str">
        <f t="shared" si="12"/>
        <v>京（2016）海淀区不动产权第0019749号</v>
      </c>
      <c r="AX60" s="2943">
        <f t="shared" si="13"/>
        <v>362</v>
      </c>
      <c r="AY60" s="2946">
        <f t="shared" si="14"/>
        <v>0</v>
      </c>
      <c r="AZ60" s="35">
        <f t="shared" si="15"/>
        <v>58.77</v>
      </c>
      <c r="BA60" s="35">
        <f t="shared" si="16"/>
        <v>58.77</v>
      </c>
      <c r="BB60" s="35">
        <f t="shared" si="17"/>
        <v>58.77</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1" customHeight="1">
      <c r="A61" s="9"/>
      <c r="B61" s="2950" t="s">
        <v>3158</v>
      </c>
      <c r="C61" s="2950">
        <v>363</v>
      </c>
      <c r="D61" s="2214" t="s">
        <v>3051</v>
      </c>
      <c r="E61" s="35">
        <f t="shared" si="7"/>
        <v>0</v>
      </c>
      <c r="F61" s="36"/>
      <c r="G61" s="37">
        <f t="shared" si="8"/>
        <v>58.77</v>
      </c>
      <c r="H61" s="38">
        <f t="shared" si="9"/>
        <v>58.77</v>
      </c>
      <c r="I61" s="2216">
        <v>58.77</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2943">
        <f t="shared" si="11"/>
        <v>0</v>
      </c>
      <c r="AW61" s="2943" t="str">
        <f t="shared" si="12"/>
        <v>京（2016）海淀区不动产权第0019748号</v>
      </c>
      <c r="AX61" s="2943">
        <f t="shared" si="13"/>
        <v>363</v>
      </c>
      <c r="AY61" s="2946">
        <f t="shared" si="14"/>
        <v>0</v>
      </c>
      <c r="AZ61" s="35">
        <f t="shared" si="15"/>
        <v>58.77</v>
      </c>
      <c r="BA61" s="35">
        <f t="shared" si="16"/>
        <v>58.77</v>
      </c>
      <c r="BB61" s="35">
        <f t="shared" si="17"/>
        <v>58.77</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1" customHeight="1">
      <c r="A62" s="9"/>
      <c r="B62" s="2950" t="s">
        <v>3159</v>
      </c>
      <c r="C62" s="2950">
        <v>419</v>
      </c>
      <c r="D62" s="2214" t="s">
        <v>3051</v>
      </c>
      <c r="E62" s="35">
        <f t="shared" si="7"/>
        <v>0</v>
      </c>
      <c r="F62" s="36"/>
      <c r="G62" s="37">
        <f t="shared" si="8"/>
        <v>74.06</v>
      </c>
      <c r="H62" s="38">
        <f t="shared" si="9"/>
        <v>74.06</v>
      </c>
      <c r="I62" s="2216">
        <v>74.06</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2943">
        <f t="shared" si="11"/>
        <v>0</v>
      </c>
      <c r="AW62" s="2943" t="str">
        <f t="shared" si="12"/>
        <v>京（2016）海淀区不动产权第0023679号</v>
      </c>
      <c r="AX62" s="2943">
        <f t="shared" si="13"/>
        <v>419</v>
      </c>
      <c r="AY62" s="2946">
        <f t="shared" si="14"/>
        <v>0</v>
      </c>
      <c r="AZ62" s="35">
        <f t="shared" si="15"/>
        <v>74.06</v>
      </c>
      <c r="BA62" s="35">
        <f t="shared" si="16"/>
        <v>74.06</v>
      </c>
      <c r="BB62" s="35">
        <f t="shared" si="17"/>
        <v>74.06</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1" customHeight="1">
      <c r="A63" s="9"/>
      <c r="B63" s="2950" t="s">
        <v>3160</v>
      </c>
      <c r="C63" s="2950">
        <v>422</v>
      </c>
      <c r="D63" s="2214" t="s">
        <v>3051</v>
      </c>
      <c r="E63" s="35">
        <f t="shared" si="7"/>
        <v>0</v>
      </c>
      <c r="F63" s="36"/>
      <c r="G63" s="37">
        <f t="shared" si="8"/>
        <v>35.85</v>
      </c>
      <c r="H63" s="38">
        <f t="shared" si="9"/>
        <v>35.85</v>
      </c>
      <c r="I63" s="2216">
        <v>35.85</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2943">
        <f t="shared" si="11"/>
        <v>0</v>
      </c>
      <c r="AW63" s="2943" t="str">
        <f t="shared" si="12"/>
        <v>京（2016）海淀区不动产权第0023682号</v>
      </c>
      <c r="AX63" s="2943">
        <f t="shared" si="13"/>
        <v>422</v>
      </c>
      <c r="AY63" s="2946">
        <f t="shared" si="14"/>
        <v>0</v>
      </c>
      <c r="AZ63" s="35">
        <f t="shared" si="15"/>
        <v>35.85</v>
      </c>
      <c r="BA63" s="35">
        <f t="shared" si="16"/>
        <v>35.85</v>
      </c>
      <c r="BB63" s="35">
        <f t="shared" si="17"/>
        <v>35.85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1" customHeight="1">
      <c r="A64" s="9"/>
      <c r="B64" s="2950" t="s">
        <v>3161</v>
      </c>
      <c r="C64" s="2950">
        <v>427</v>
      </c>
      <c r="D64" s="2214" t="s">
        <v>3051</v>
      </c>
      <c r="E64" s="35">
        <f t="shared" si="7"/>
        <v>0</v>
      </c>
      <c r="F64" s="36"/>
      <c r="G64" s="37">
        <f t="shared" si="8"/>
        <v>55.72</v>
      </c>
      <c r="H64" s="38">
        <f t="shared" si="9"/>
        <v>55.72</v>
      </c>
      <c r="I64" s="2216">
        <v>55.72</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2943">
        <f t="shared" si="11"/>
        <v>0</v>
      </c>
      <c r="AW64" s="2943" t="str">
        <f t="shared" si="12"/>
        <v>京（2016）海淀区不动产权第0023687号</v>
      </c>
      <c r="AX64" s="2943">
        <f t="shared" si="13"/>
        <v>427</v>
      </c>
      <c r="AY64" s="2946">
        <f t="shared" si="14"/>
        <v>0</v>
      </c>
      <c r="AZ64" s="35">
        <f t="shared" si="15"/>
        <v>55.72</v>
      </c>
      <c r="BA64" s="35">
        <f t="shared" si="16"/>
        <v>55.72</v>
      </c>
      <c r="BB64" s="35">
        <f t="shared" si="17"/>
        <v>55.72</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1" customHeight="1">
      <c r="A65" s="9"/>
      <c r="B65" s="2950" t="s">
        <v>3162</v>
      </c>
      <c r="C65" s="2950">
        <v>432</v>
      </c>
      <c r="D65" s="2214" t="s">
        <v>3051</v>
      </c>
      <c r="E65" s="35">
        <f t="shared" si="7"/>
        <v>0</v>
      </c>
      <c r="F65" s="36"/>
      <c r="G65" s="37">
        <f t="shared" si="8"/>
        <v>67.17</v>
      </c>
      <c r="H65" s="38">
        <f t="shared" si="9"/>
        <v>67.17</v>
      </c>
      <c r="I65" s="2216">
        <v>67.17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2943">
        <f t="shared" si="11"/>
        <v>0</v>
      </c>
      <c r="AW65" s="2943" t="str">
        <f t="shared" si="12"/>
        <v>京（2016）海淀区不动产权第0023486号</v>
      </c>
      <c r="AX65" s="2943">
        <f t="shared" si="13"/>
        <v>432</v>
      </c>
      <c r="AY65" s="2946">
        <f t="shared" si="14"/>
        <v>0</v>
      </c>
      <c r="AZ65" s="35">
        <f t="shared" si="15"/>
        <v>67.17</v>
      </c>
      <c r="BA65" s="35">
        <f t="shared" si="16"/>
        <v>67.17</v>
      </c>
      <c r="BB65" s="35">
        <f t="shared" si="17"/>
        <v>67.17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1" customHeight="1">
      <c r="A66" s="9"/>
      <c r="B66" s="2950" t="s">
        <v>3163</v>
      </c>
      <c r="C66" s="2950">
        <v>436</v>
      </c>
      <c r="D66" s="2214" t="s">
        <v>3051</v>
      </c>
      <c r="E66" s="35">
        <f t="shared" si="7"/>
        <v>0</v>
      </c>
      <c r="F66" s="36"/>
      <c r="G66" s="37">
        <f t="shared" si="8"/>
        <v>67.17</v>
      </c>
      <c r="H66" s="38">
        <f t="shared" si="9"/>
        <v>67.17</v>
      </c>
      <c r="I66" s="2216">
        <v>67.17</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2943">
        <f t="shared" si="11"/>
        <v>0</v>
      </c>
      <c r="AW66" s="2943" t="str">
        <f t="shared" si="12"/>
        <v>京（2016）海淀区不动产权第0023629号</v>
      </c>
      <c r="AX66" s="2943">
        <f t="shared" si="13"/>
        <v>436</v>
      </c>
      <c r="AY66" s="2946">
        <f t="shared" si="14"/>
        <v>0</v>
      </c>
      <c r="AZ66" s="35">
        <f t="shared" si="15"/>
        <v>67.17</v>
      </c>
      <c r="BA66" s="35">
        <f t="shared" si="16"/>
        <v>67.17</v>
      </c>
      <c r="BB66" s="35">
        <f t="shared" si="17"/>
        <v>67.17</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1" customHeight="1">
      <c r="A67" s="9"/>
      <c r="B67" s="2950" t="s">
        <v>3164</v>
      </c>
      <c r="C67" s="2950">
        <v>442</v>
      </c>
      <c r="D67" s="2214" t="s">
        <v>3051</v>
      </c>
      <c r="E67" s="35">
        <f t="shared" si="7"/>
        <v>0</v>
      </c>
      <c r="F67" s="36"/>
      <c r="G67" s="37">
        <f t="shared" si="8"/>
        <v>65.319999999999993</v>
      </c>
      <c r="H67" s="38">
        <f t="shared" si="9"/>
        <v>65.319999999999993</v>
      </c>
      <c r="I67" s="2216">
        <v>65.319999999999993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2943">
        <f t="shared" si="11"/>
        <v>0</v>
      </c>
      <c r="AW67" s="2943" t="str">
        <f t="shared" si="12"/>
        <v>京（2016）海淀区不动产权第0023625号</v>
      </c>
      <c r="AX67" s="2943">
        <f t="shared" si="13"/>
        <v>442</v>
      </c>
      <c r="AY67" s="2946">
        <f t="shared" si="14"/>
        <v>0</v>
      </c>
      <c r="AZ67" s="35">
        <f t="shared" si="15"/>
        <v>65.319999999999993</v>
      </c>
      <c r="BA67" s="35">
        <f t="shared" si="16"/>
        <v>65.319999999999993</v>
      </c>
      <c r="BB67" s="35">
        <f t="shared" si="17"/>
        <v>65.319999999999993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1" customHeight="1">
      <c r="A68" s="9"/>
      <c r="B68" s="2950" t="s">
        <v>3165</v>
      </c>
      <c r="C68" s="2950">
        <v>457</v>
      </c>
      <c r="D68" s="2214" t="s">
        <v>3051</v>
      </c>
      <c r="E68" s="35">
        <f t="shared" si="7"/>
        <v>0</v>
      </c>
      <c r="F68" s="36"/>
      <c r="G68" s="37">
        <f t="shared" si="8"/>
        <v>58.77</v>
      </c>
      <c r="H68" s="38">
        <f t="shared" si="9"/>
        <v>58.77</v>
      </c>
      <c r="I68" s="2216">
        <v>58.77</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2943">
        <f t="shared" si="11"/>
        <v>0</v>
      </c>
      <c r="AW68" s="2943" t="str">
        <f t="shared" si="12"/>
        <v>京（2016）海淀区不动产权第0023610号</v>
      </c>
      <c r="AX68" s="2943">
        <f t="shared" si="13"/>
        <v>457</v>
      </c>
      <c r="AY68" s="2946">
        <f t="shared" si="14"/>
        <v>0</v>
      </c>
      <c r="AZ68" s="35">
        <f t="shared" si="15"/>
        <v>58.77</v>
      </c>
      <c r="BA68" s="35">
        <f t="shared" si="16"/>
        <v>58.77</v>
      </c>
      <c r="BB68" s="35">
        <f t="shared" si="17"/>
        <v>58.77</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1" customHeight="1">
      <c r="A69" s="9"/>
      <c r="B69" s="2950" t="s">
        <v>3166</v>
      </c>
      <c r="C69" s="2950">
        <v>461</v>
      </c>
      <c r="D69" s="2214" t="s">
        <v>3051</v>
      </c>
      <c r="E69" s="35">
        <f t="shared" si="7"/>
        <v>0</v>
      </c>
      <c r="F69" s="36"/>
      <c r="G69" s="37">
        <f t="shared" si="8"/>
        <v>58.77</v>
      </c>
      <c r="H69" s="38">
        <f t="shared" si="9"/>
        <v>58.77</v>
      </c>
      <c r="I69" s="2216">
        <v>58.77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2943">
        <f t="shared" si="11"/>
        <v>0</v>
      </c>
      <c r="AW69" s="2943" t="str">
        <f t="shared" si="12"/>
        <v>京（2016）海淀区不动产权第0023614号</v>
      </c>
      <c r="AX69" s="2943">
        <f t="shared" si="13"/>
        <v>461</v>
      </c>
      <c r="AY69" s="2946">
        <f t="shared" si="14"/>
        <v>0</v>
      </c>
      <c r="AZ69" s="35">
        <f t="shared" si="15"/>
        <v>58.77</v>
      </c>
      <c r="BA69" s="35">
        <f t="shared" si="16"/>
        <v>58.77</v>
      </c>
      <c r="BB69" s="35">
        <f t="shared" si="17"/>
        <v>58.77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1" customHeight="1">
      <c r="A70" s="9"/>
      <c r="B70" s="2950" t="s">
        <v>3167</v>
      </c>
      <c r="C70" s="2950">
        <v>464</v>
      </c>
      <c r="D70" s="2214" t="s">
        <v>3051</v>
      </c>
      <c r="E70" s="35">
        <f t="shared" si="7"/>
        <v>0</v>
      </c>
      <c r="F70" s="36"/>
      <c r="G70" s="37">
        <f t="shared" si="8"/>
        <v>58.77</v>
      </c>
      <c r="H70" s="38">
        <f t="shared" si="9"/>
        <v>58.77</v>
      </c>
      <c r="I70" s="2216">
        <v>58.77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2943">
        <f t="shared" si="11"/>
        <v>0</v>
      </c>
      <c r="AW70" s="2943" t="str">
        <f t="shared" si="12"/>
        <v>京（2016）海淀区不动产权第0023604号</v>
      </c>
      <c r="AX70" s="2943">
        <f t="shared" si="13"/>
        <v>464</v>
      </c>
      <c r="AY70" s="2946">
        <f t="shared" si="14"/>
        <v>0</v>
      </c>
      <c r="AZ70" s="35">
        <f t="shared" si="15"/>
        <v>58.77</v>
      </c>
      <c r="BA70" s="35">
        <f t="shared" si="16"/>
        <v>58.77</v>
      </c>
      <c r="BB70" s="35">
        <f t="shared" si="17"/>
        <v>58.77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1" customHeight="1">
      <c r="A71" s="9"/>
      <c r="B71" s="2950" t="s">
        <v>3168</v>
      </c>
      <c r="C71" s="2950">
        <v>462</v>
      </c>
      <c r="D71" s="2214" t="s">
        <v>3051</v>
      </c>
      <c r="E71" s="35">
        <f t="shared" si="7"/>
        <v>0</v>
      </c>
      <c r="F71" s="36"/>
      <c r="G71" s="37">
        <f t="shared" si="8"/>
        <v>58.77</v>
      </c>
      <c r="H71" s="38">
        <f t="shared" si="9"/>
        <v>58.77</v>
      </c>
      <c r="I71" s="2216">
        <v>58.77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2943">
        <f t="shared" si="11"/>
        <v>0</v>
      </c>
      <c r="AW71" s="2943" t="str">
        <f t="shared" si="12"/>
        <v>京（2016）海淀区不动产权第0023602号</v>
      </c>
      <c r="AX71" s="2943">
        <f t="shared" si="13"/>
        <v>462</v>
      </c>
      <c r="AY71" s="2946">
        <f t="shared" si="14"/>
        <v>0</v>
      </c>
      <c r="AZ71" s="35">
        <f t="shared" si="15"/>
        <v>58.77</v>
      </c>
      <c r="BA71" s="35">
        <f t="shared" si="16"/>
        <v>58.77</v>
      </c>
      <c r="BB71" s="35">
        <f t="shared" si="17"/>
        <v>58.77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5.1" customHeight="1">
      <c r="A72" s="9"/>
      <c r="B72" s="34"/>
      <c r="C72" s="34"/>
      <c r="D72" s="29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2943">
        <f t="shared" si="11"/>
        <v>0</v>
      </c>
      <c r="AW72" s="2943">
        <f t="shared" si="12"/>
        <v>0</v>
      </c>
      <c r="AX72" s="2943">
        <f t="shared" si="13"/>
        <v>0</v>
      </c>
      <c r="AY72" s="2946">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5.1" customHeight="1">
      <c r="A73" s="9"/>
      <c r="B73" s="34"/>
      <c r="C73" s="34"/>
      <c r="D73" s="29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2943">
        <f t="shared" si="11"/>
        <v>0</v>
      </c>
      <c r="AW73" s="2943">
        <f t="shared" si="12"/>
        <v>0</v>
      </c>
      <c r="AX73" s="2943">
        <f t="shared" si="13"/>
        <v>0</v>
      </c>
      <c r="AY73" s="2946">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5.1" customHeight="1">
      <c r="A74" s="9"/>
      <c r="B74" s="34"/>
      <c r="C74" s="34"/>
      <c r="D74" s="29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2943">
        <f t="shared" si="11"/>
        <v>0</v>
      </c>
      <c r="AW74" s="2943">
        <f t="shared" si="12"/>
        <v>0</v>
      </c>
      <c r="AX74" s="2943">
        <f t="shared" si="13"/>
        <v>0</v>
      </c>
      <c r="AY74" s="2946">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5.1" customHeight="1">
      <c r="A75" s="9"/>
      <c r="B75" s="34"/>
      <c r="C75" s="34"/>
      <c r="D75" s="29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2943">
        <f t="shared" si="11"/>
        <v>0</v>
      </c>
      <c r="AW75" s="2943">
        <f t="shared" si="12"/>
        <v>0</v>
      </c>
      <c r="AX75" s="2943">
        <f t="shared" si="13"/>
        <v>0</v>
      </c>
      <c r="AY75" s="2946">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5.1" customHeight="1">
      <c r="A76" s="9"/>
      <c r="B76" s="34"/>
      <c r="C76" s="34"/>
      <c r="D76" s="29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2943">
        <f t="shared" si="11"/>
        <v>0</v>
      </c>
      <c r="AW76" s="2943">
        <f t="shared" si="12"/>
        <v>0</v>
      </c>
      <c r="AX76" s="2943">
        <f t="shared" si="13"/>
        <v>0</v>
      </c>
      <c r="AY76" s="2946">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5.1" customHeight="1">
      <c r="A77" s="9"/>
      <c r="B77" s="34"/>
      <c r="C77" s="34"/>
      <c r="D77" s="29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2943">
        <f t="shared" si="11"/>
        <v>0</v>
      </c>
      <c r="AW77" s="2943">
        <f t="shared" si="12"/>
        <v>0</v>
      </c>
      <c r="AX77" s="2943">
        <f t="shared" si="13"/>
        <v>0</v>
      </c>
      <c r="AY77" s="2946">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5.1" customHeight="1">
      <c r="A78" s="9"/>
      <c r="B78" s="34"/>
      <c r="C78" s="34"/>
      <c r="D78" s="29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2943">
        <f t="shared" si="11"/>
        <v>0</v>
      </c>
      <c r="AW78" s="2943">
        <f t="shared" si="12"/>
        <v>0</v>
      </c>
      <c r="AX78" s="2943">
        <f t="shared" si="13"/>
        <v>0</v>
      </c>
      <c r="AY78" s="2946">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5.1" customHeight="1">
      <c r="A79" s="9"/>
      <c r="B79" s="34"/>
      <c r="C79" s="34"/>
      <c r="D79" s="29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2943">
        <f t="shared" si="11"/>
        <v>0</v>
      </c>
      <c r="AW79" s="2943">
        <f t="shared" si="12"/>
        <v>0</v>
      </c>
      <c r="AX79" s="2943">
        <f t="shared" si="13"/>
        <v>0</v>
      </c>
      <c r="AY79" s="2946">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5.1" customHeight="1">
      <c r="A80" s="9"/>
      <c r="B80" s="34"/>
      <c r="C80" s="34"/>
      <c r="D80" s="29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2943">
        <f t="shared" si="11"/>
        <v>0</v>
      </c>
      <c r="AW80" s="2943">
        <f t="shared" si="12"/>
        <v>0</v>
      </c>
      <c r="AX80" s="2943">
        <f t="shared" si="13"/>
        <v>0</v>
      </c>
      <c r="AY80" s="2946">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35.1" customHeight="1">
      <c r="A81" s="9"/>
      <c r="B81" s="34"/>
      <c r="C81" s="34"/>
      <c r="D81" s="29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2943">
        <f t="shared" si="11"/>
        <v>0</v>
      </c>
      <c r="AW81" s="2943">
        <f t="shared" si="12"/>
        <v>0</v>
      </c>
      <c r="AX81" s="2943">
        <f t="shared" si="13"/>
        <v>0</v>
      </c>
      <c r="AY81" s="2946">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35.1" customHeight="1">
      <c r="A82" s="9"/>
      <c r="B82" s="34"/>
      <c r="C82" s="34"/>
      <c r="D82" s="29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2943">
        <f t="shared" si="11"/>
        <v>0</v>
      </c>
      <c r="AW82" s="2943">
        <f t="shared" si="12"/>
        <v>0</v>
      </c>
      <c r="AX82" s="2943">
        <f t="shared" si="13"/>
        <v>0</v>
      </c>
      <c r="AY82" s="2946">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35.1" customHeight="1">
      <c r="A83" s="9"/>
      <c r="B83" s="34"/>
      <c r="C83" s="34"/>
      <c r="D83" s="29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2943">
        <f t="shared" si="11"/>
        <v>0</v>
      </c>
      <c r="AW83" s="2943">
        <f t="shared" si="12"/>
        <v>0</v>
      </c>
      <c r="AX83" s="2943">
        <f t="shared" si="13"/>
        <v>0</v>
      </c>
      <c r="AY83" s="2946">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35.1" customHeight="1">
      <c r="A84" s="9"/>
      <c r="B84" s="34"/>
      <c r="C84" s="34"/>
      <c r="D84" s="29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2943">
        <f t="shared" si="11"/>
        <v>0</v>
      </c>
      <c r="AW84" s="2943">
        <f t="shared" si="12"/>
        <v>0</v>
      </c>
      <c r="AX84" s="2943">
        <f t="shared" si="13"/>
        <v>0</v>
      </c>
      <c r="AY84" s="2946">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35.1" customHeight="1">
      <c r="A85" s="9"/>
      <c r="B85" s="34"/>
      <c r="C85" s="34"/>
      <c r="D85" s="29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2943">
        <f t="shared" si="11"/>
        <v>0</v>
      </c>
      <c r="AW85" s="2943">
        <f t="shared" si="12"/>
        <v>0</v>
      </c>
      <c r="AX85" s="2943">
        <f t="shared" si="13"/>
        <v>0</v>
      </c>
      <c r="AY85" s="2946">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35.1" customHeight="1">
      <c r="A86" s="9"/>
      <c r="B86" s="34"/>
      <c r="C86" s="34"/>
      <c r="D86" s="29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2943">
        <f t="shared" si="11"/>
        <v>0</v>
      </c>
      <c r="AW86" s="2943">
        <f t="shared" si="12"/>
        <v>0</v>
      </c>
      <c r="AX86" s="2943">
        <f t="shared" si="13"/>
        <v>0</v>
      </c>
      <c r="AY86" s="2946">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35.1" customHeight="1">
      <c r="A87" s="9"/>
      <c r="B87" s="34"/>
      <c r="C87" s="34"/>
      <c r="D87" s="29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2943">
        <f t="shared" si="11"/>
        <v>0</v>
      </c>
      <c r="AW87" s="2943">
        <f t="shared" si="12"/>
        <v>0</v>
      </c>
      <c r="AX87" s="2943">
        <f t="shared" si="13"/>
        <v>0</v>
      </c>
      <c r="AY87" s="2946">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35.1" customHeight="1">
      <c r="A88" s="9"/>
      <c r="B88" s="34"/>
      <c r="C88" s="34"/>
      <c r="D88" s="29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2943">
        <f t="shared" si="11"/>
        <v>0</v>
      </c>
      <c r="AW88" s="2943">
        <f t="shared" si="12"/>
        <v>0</v>
      </c>
      <c r="AX88" s="2943">
        <f t="shared" si="13"/>
        <v>0</v>
      </c>
      <c r="AY88" s="2946">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35.1" customHeight="1">
      <c r="A89" s="9"/>
      <c r="B89" s="34"/>
      <c r="C89" s="34"/>
      <c r="D89" s="29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2943">
        <f t="shared" si="11"/>
        <v>0</v>
      </c>
      <c r="AW89" s="2943">
        <f t="shared" si="12"/>
        <v>0</v>
      </c>
      <c r="AX89" s="2943">
        <f t="shared" si="13"/>
        <v>0</v>
      </c>
      <c r="AY89" s="2946">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35.1" customHeight="1">
      <c r="A90" s="9"/>
      <c r="B90" s="34"/>
      <c r="C90" s="34"/>
      <c r="D90" s="29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2943">
        <f t="shared" si="11"/>
        <v>0</v>
      </c>
      <c r="AW90" s="2943">
        <f t="shared" si="12"/>
        <v>0</v>
      </c>
      <c r="AX90" s="2943">
        <f t="shared" si="13"/>
        <v>0</v>
      </c>
      <c r="AY90" s="2946">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35.1" customHeight="1">
      <c r="A91" s="9"/>
      <c r="B91" s="34"/>
      <c r="C91" s="34"/>
      <c r="D91" s="29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2943">
        <f t="shared" si="11"/>
        <v>0</v>
      </c>
      <c r="AW91" s="2943">
        <f t="shared" si="12"/>
        <v>0</v>
      </c>
      <c r="AX91" s="2943">
        <f t="shared" si="13"/>
        <v>0</v>
      </c>
      <c r="AY91" s="2946">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35.1" customHeight="1">
      <c r="A92" s="9"/>
      <c r="B92" s="34"/>
      <c r="C92" s="34"/>
      <c r="D92" s="29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2943">
        <f t="shared" si="11"/>
        <v>0</v>
      </c>
      <c r="AW92" s="2943">
        <f t="shared" si="12"/>
        <v>0</v>
      </c>
      <c r="AX92" s="2943">
        <f t="shared" si="13"/>
        <v>0</v>
      </c>
      <c r="AY92" s="2946">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35.1" customHeight="1">
      <c r="A93" s="9"/>
      <c r="B93" s="34"/>
      <c r="C93" s="34"/>
      <c r="D93" s="29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2943">
        <f t="shared" si="11"/>
        <v>0</v>
      </c>
      <c r="AW93" s="2943">
        <f t="shared" si="12"/>
        <v>0</v>
      </c>
      <c r="AX93" s="2943">
        <f t="shared" si="13"/>
        <v>0</v>
      </c>
      <c r="AY93" s="2946">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35.1" customHeight="1">
      <c r="A94" s="9"/>
      <c r="B94" s="34"/>
      <c r="C94" s="34"/>
      <c r="D94" s="29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2943">
        <f t="shared" si="11"/>
        <v>0</v>
      </c>
      <c r="AW94" s="2943">
        <f t="shared" si="12"/>
        <v>0</v>
      </c>
      <c r="AX94" s="2943">
        <f t="shared" si="13"/>
        <v>0</v>
      </c>
      <c r="AY94" s="2946">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35.1" customHeight="1">
      <c r="A95" s="9"/>
      <c r="B95" s="34"/>
      <c r="C95" s="34"/>
      <c r="D95" s="29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2943">
        <f t="shared" si="11"/>
        <v>0</v>
      </c>
      <c r="AW95" s="2943">
        <f t="shared" si="12"/>
        <v>0</v>
      </c>
      <c r="AX95" s="2943">
        <f t="shared" si="13"/>
        <v>0</v>
      </c>
      <c r="AY95" s="2946">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35.1" customHeight="1">
      <c r="A96" s="9"/>
      <c r="B96" s="34"/>
      <c r="C96" s="34"/>
      <c r="D96" s="29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2943">
        <f t="shared" si="11"/>
        <v>0</v>
      </c>
      <c r="AW96" s="2943">
        <f t="shared" si="12"/>
        <v>0</v>
      </c>
      <c r="AX96" s="2943">
        <f t="shared" si="13"/>
        <v>0</v>
      </c>
      <c r="AY96" s="2946">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9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2943">
        <f t="shared" si="11"/>
        <v>0</v>
      </c>
      <c r="AW97" s="2943">
        <f t="shared" si="12"/>
        <v>0</v>
      </c>
      <c r="AX97" s="2943">
        <f t="shared" si="13"/>
        <v>0</v>
      </c>
      <c r="AY97" s="2946">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9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2943">
        <f t="shared" si="11"/>
        <v>0</v>
      </c>
      <c r="AW98" s="2943">
        <f t="shared" si="12"/>
        <v>0</v>
      </c>
      <c r="AX98" s="2943">
        <f t="shared" si="13"/>
        <v>0</v>
      </c>
      <c r="AY98" s="2946">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9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2943">
        <f t="shared" si="11"/>
        <v>0</v>
      </c>
      <c r="AW99" s="2943">
        <f t="shared" si="12"/>
        <v>0</v>
      </c>
      <c r="AX99" s="2943">
        <f t="shared" si="13"/>
        <v>0</v>
      </c>
      <c r="AY99" s="2946">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9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2943">
        <f t="shared" si="11"/>
        <v>0</v>
      </c>
      <c r="AW100" s="2943">
        <f t="shared" si="12"/>
        <v>0</v>
      </c>
      <c r="AX100" s="2943">
        <f t="shared" si="13"/>
        <v>0</v>
      </c>
      <c r="AY100" s="2946">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9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2943">
        <f t="shared" si="11"/>
        <v>0</v>
      </c>
      <c r="AW101" s="2943">
        <f t="shared" si="12"/>
        <v>0</v>
      </c>
      <c r="AX101" s="2943">
        <f t="shared" si="13"/>
        <v>0</v>
      </c>
      <c r="AY101" s="2946">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9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2943">
        <f t="shared" si="11"/>
        <v>0</v>
      </c>
      <c r="AW102" s="2943">
        <f t="shared" si="12"/>
        <v>0</v>
      </c>
      <c r="AX102" s="2943">
        <f t="shared" si="13"/>
        <v>0</v>
      </c>
      <c r="AY102" s="2946">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4"/>
      <c r="C1" s="1394"/>
      <c r="D1" s="1394"/>
      <c r="E1" s="1394"/>
      <c r="F1" s="1394"/>
      <c r="G1" s="1394"/>
      <c r="H1" s="1394"/>
      <c r="I1" s="1394"/>
      <c r="J1" s="1394"/>
      <c r="K1" s="1394"/>
      <c r="L1" s="1394"/>
      <c r="M1" s="1394"/>
      <c r="N1" s="1394"/>
      <c r="O1" s="1394"/>
      <c r="P1" s="1394"/>
    </row>
    <row r="2" spans="1:16" ht="15">
      <c r="A2" s="3049" t="s">
        <v>1938</v>
      </c>
      <c r="B2" s="3049"/>
      <c r="C2" s="3049"/>
      <c r="D2" s="969" t="s">
        <v>1914</v>
      </c>
      <c r="E2" s="2228" t="s">
        <v>1915</v>
      </c>
      <c r="F2" s="1394"/>
      <c r="G2" s="2229"/>
      <c r="H2" s="2230"/>
      <c r="I2" s="2231" t="s">
        <v>1939</v>
      </c>
      <c r="J2" s="1394"/>
      <c r="K2" s="1394"/>
      <c r="L2" s="1394"/>
      <c r="M2" s="1394"/>
      <c r="N2" s="1429"/>
      <c r="O2" s="1394"/>
      <c r="P2" s="1394"/>
    </row>
    <row r="3" spans="1:16" ht="15.75" thickBot="1">
      <c r="A3" s="3050" t="s">
        <v>1912</v>
      </c>
      <c r="B3" s="3050"/>
      <c r="C3" s="3050"/>
      <c r="D3" s="46">
        <f>'数据-基础表'!AY6</f>
        <v>0</v>
      </c>
      <c r="E3" s="46">
        <f>'数据-基础表'!AZ5</f>
        <v>4824.4600000000037</v>
      </c>
      <c r="F3" s="1394"/>
      <c r="G3" s="1401"/>
      <c r="H3" s="1249" t="s">
        <v>1913</v>
      </c>
      <c r="I3" s="55" t="e">
        <f>ROUND('数据-基础表'!B3/'数据-基础表'!A3,2)</f>
        <v>#DIV/0!</v>
      </c>
      <c r="J3" s="1394"/>
      <c r="K3" s="1394"/>
      <c r="L3" s="1394"/>
      <c r="M3" s="1394"/>
      <c r="N3" s="1429"/>
      <c r="O3" s="1394"/>
      <c r="P3" s="1394"/>
    </row>
    <row r="4" spans="1:16" ht="15">
      <c r="A4" s="3051"/>
      <c r="B4" s="3052"/>
      <c r="C4" s="3053"/>
      <c r="D4" s="2232" t="s">
        <v>1914</v>
      </c>
      <c r="E4" s="2233" t="s">
        <v>1915</v>
      </c>
      <c r="F4" s="1394"/>
      <c r="G4" s="2234" t="s">
        <v>1940</v>
      </c>
      <c r="H4" s="1249" t="s">
        <v>1920</v>
      </c>
      <c r="I4" s="55" t="e">
        <f>ROUND(SUMIF('数据-基础表'!I9:AS9,"地上",'数据-基础表'!I5:AS5)/'数据-基础表'!A3,2)</f>
        <v>#DIV/0!</v>
      </c>
      <c r="J4" s="1394"/>
      <c r="K4" s="1394"/>
      <c r="L4" s="1394"/>
      <c r="M4" s="1394"/>
      <c r="N4" s="1429"/>
      <c r="O4" s="1394"/>
      <c r="P4" s="1394"/>
    </row>
    <row r="5" spans="1:16">
      <c r="A5" s="47" t="s">
        <v>1916</v>
      </c>
      <c r="B5" s="3054" t="s">
        <v>1917</v>
      </c>
      <c r="C5" s="3054"/>
      <c r="D5" s="48">
        <f>ROUND($D$3*E5/$E$3,2)</f>
        <v>0</v>
      </c>
      <c r="E5" s="49">
        <f>SUMIF('数据-基础表'!$11:$11,"住宅",'数据-基础表'!$5:$5)</f>
        <v>0</v>
      </c>
      <c r="F5" s="1394"/>
      <c r="G5" s="1401"/>
      <c r="H5" s="1249" t="s">
        <v>1913</v>
      </c>
      <c r="I5" s="55" t="e">
        <f>ROUND(E31/D31,2)</f>
        <v>#DIV/0!</v>
      </c>
      <c r="J5" s="1394"/>
      <c r="K5" s="1394"/>
      <c r="L5" s="1394"/>
      <c r="M5" s="1394"/>
      <c r="N5" s="1394"/>
      <c r="O5" s="1394"/>
      <c r="P5" s="1394"/>
    </row>
    <row r="6" spans="1:16" ht="15" thickBot="1">
      <c r="A6" s="2235"/>
      <c r="B6" s="3054" t="s">
        <v>1918</v>
      </c>
      <c r="C6" s="3054"/>
      <c r="D6" s="48">
        <f>ROUND($D$3*E6/$E$3,2)</f>
        <v>0</v>
      </c>
      <c r="E6" s="49">
        <f>E3-E5</f>
        <v>4824.4600000000037</v>
      </c>
      <c r="F6" s="1394"/>
      <c r="G6" s="2236" t="s">
        <v>1919</v>
      </c>
      <c r="H6" s="1401" t="s">
        <v>1920</v>
      </c>
      <c r="I6" s="941" t="e">
        <f>ROUND(F31/D31,2)</f>
        <v>#DIV/0!</v>
      </c>
      <c r="J6" s="1394"/>
      <c r="K6" s="1394"/>
      <c r="L6" s="1394"/>
      <c r="M6" s="1394"/>
      <c r="N6" s="1394"/>
      <c r="O6" s="1394"/>
      <c r="P6" s="1394"/>
    </row>
    <row r="7" spans="1:16" ht="15">
      <c r="A7" s="3046"/>
      <c r="B7" s="3047"/>
      <c r="C7" s="3048"/>
      <c r="D7" s="2232" t="s">
        <v>1914</v>
      </c>
      <c r="E7" s="2237" t="s">
        <v>1921</v>
      </c>
      <c r="F7" s="1394"/>
      <c r="G7" s="2229" t="s">
        <v>1922</v>
      </c>
      <c r="H7" s="64"/>
      <c r="I7" s="2959">
        <v>2</v>
      </c>
      <c r="J7" s="1394"/>
      <c r="K7" s="1394"/>
      <c r="L7" s="1394"/>
      <c r="M7" s="1394"/>
      <c r="N7" s="1394"/>
      <c r="O7" s="1394"/>
      <c r="P7" s="1394"/>
    </row>
    <row r="8" spans="1:16">
      <c r="A8" s="47" t="s">
        <v>1923</v>
      </c>
      <c r="B8" s="50" t="s">
        <v>1924</v>
      </c>
      <c r="C8" s="48" t="s">
        <v>1925</v>
      </c>
      <c r="D8" s="48">
        <f t="shared" ref="D8:D15" si="0">ROUND($D$3*E8/$E$3,2)</f>
        <v>0</v>
      </c>
      <c r="E8" s="51">
        <f>SUMIF('数据-基础表'!BB10:BK10,"地上",'数据-基础表'!BB5:BK5)</f>
        <v>4824.4600000000037</v>
      </c>
      <c r="F8" s="1394"/>
      <c r="G8" s="2238"/>
      <c r="H8" s="2238"/>
      <c r="I8" s="1394"/>
      <c r="J8" s="1394"/>
      <c r="K8" s="1394"/>
      <c r="L8" s="1394"/>
      <c r="M8" s="1394"/>
      <c r="N8" s="1394"/>
      <c r="O8" s="1394"/>
      <c r="P8" s="1394"/>
    </row>
    <row r="9" spans="1:16">
      <c r="A9" s="2239"/>
      <c r="B9" s="2240"/>
      <c r="C9" s="48" t="s">
        <v>1926</v>
      </c>
      <c r="D9" s="48">
        <f t="shared" si="0"/>
        <v>0</v>
      </c>
      <c r="E9" s="52">
        <v>0</v>
      </c>
      <c r="F9" s="1394"/>
      <c r="G9" s="2238"/>
      <c r="H9" s="2238"/>
      <c r="I9" s="1394"/>
      <c r="J9" s="1394"/>
      <c r="K9" s="1394"/>
      <c r="L9" s="1394"/>
      <c r="M9" s="1394"/>
      <c r="N9" s="1394"/>
      <c r="O9" s="1394"/>
      <c r="P9" s="1394"/>
    </row>
    <row r="10" spans="1:16">
      <c r="A10" s="2239"/>
      <c r="B10" s="2240"/>
      <c r="C10" s="48" t="s">
        <v>1935</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1930</v>
      </c>
      <c r="D16" s="50">
        <f>SUM(D8:D15)</f>
        <v>0</v>
      </c>
      <c r="E16" s="53">
        <f>SUM(E8:E15)</f>
        <v>4824.4600000000037</v>
      </c>
      <c r="F16" s="1394"/>
      <c r="G16" s="2238"/>
      <c r="H16" s="2241" t="s">
        <v>1942</v>
      </c>
      <c r="I16" s="2242"/>
      <c r="J16" s="1394"/>
      <c r="K16" s="3043" t="s">
        <v>1942</v>
      </c>
      <c r="L16" s="3044"/>
      <c r="M16" s="3044"/>
      <c r="N16" s="3044"/>
      <c r="O16" s="3044"/>
      <c r="P16" s="3045"/>
    </row>
    <row r="17" spans="1:19" ht="15">
      <c r="A17" s="2243" t="s">
        <v>1943</v>
      </c>
      <c r="B17" s="2244" t="s">
        <v>1944</v>
      </c>
      <c r="C17" s="2245" t="s">
        <v>1945</v>
      </c>
      <c r="D17" s="2246" t="s">
        <v>1933</v>
      </c>
      <c r="E17" s="2247" t="s">
        <v>1934</v>
      </c>
      <c r="F17" s="2248"/>
      <c r="G17" s="2249"/>
      <c r="H17" s="2250" t="s">
        <v>1946</v>
      </c>
      <c r="I17" s="2251" t="s">
        <v>1931</v>
      </c>
      <c r="J17" s="1394"/>
      <c r="K17" s="3040" t="s">
        <v>1947</v>
      </c>
      <c r="L17" s="3041"/>
      <c r="M17" s="3042"/>
      <c r="N17" s="3040" t="s">
        <v>1948</v>
      </c>
      <c r="O17" s="3041"/>
      <c r="P17" s="3042"/>
      <c r="R17" s="2229" t="s">
        <v>1949</v>
      </c>
      <c r="S17" s="64"/>
    </row>
    <row r="18" spans="1:19" ht="15">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c r="A19" s="2260"/>
      <c r="B19" s="50" t="s">
        <v>1932</v>
      </c>
      <c r="C19" s="2951" t="s">
        <v>3176</v>
      </c>
      <c r="D19" s="48">
        <f>ROUND($D$3*E19/$E$3,2)</f>
        <v>0</v>
      </c>
      <c r="E19" s="56">
        <f t="shared" ref="E19:E26" si="1">SUM(F19:G19)</f>
        <v>4824.4600000000037</v>
      </c>
      <c r="F19" s="57">
        <f>'数据-基础表'!I5</f>
        <v>4824.4600000000037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4824.4600000000037</v>
      </c>
    </row>
    <row r="20" spans="1:19">
      <c r="A20" s="2264"/>
      <c r="B20" s="50" t="s">
        <v>1960</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1960</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1961</v>
      </c>
      <c r="D27" s="1395">
        <f>SUM(D19:D26)</f>
        <v>0</v>
      </c>
      <c r="E27" s="1396">
        <f>IF(SUM(E19:E26)='数据-基础表'!BA5,SUM(E19:E26),IF(F27="地上面积有误","面积有误","地下面积有误"))</f>
        <v>4824.4600000000037</v>
      </c>
      <c r="F27" s="1395">
        <f>IF(SUM(F19:F26)=E8,SUM(F19:F26),"地上面积有误")</f>
        <v>4824.4600000000037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4824.4600000000037</v>
      </c>
    </row>
    <row r="28" spans="1:19">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1965</v>
      </c>
      <c r="D31" s="728">
        <f>D27+D30</f>
        <v>0</v>
      </c>
      <c r="E31" s="728">
        <f>E27+E30</f>
        <v>4824.4600000000037</v>
      </c>
      <c r="F31" s="729">
        <f>F27+F30</f>
        <v>4824.4600000000037</v>
      </c>
      <c r="G31" s="730">
        <f>G27+G30</f>
        <v>0</v>
      </c>
      <c r="H31" s="1394"/>
      <c r="I31" s="1394"/>
      <c r="J31" s="1394"/>
      <c r="K31" s="1394"/>
      <c r="L31" s="1394"/>
      <c r="M31" s="1394"/>
      <c r="N31" s="1394"/>
      <c r="O31" s="1394"/>
      <c r="P31" s="1394"/>
    </row>
    <row r="32" spans="1:19">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1"/>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1968</v>
      </c>
      <c r="B2" s="1268">
        <f>项目基本情况!D3</f>
        <v>43286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3177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5" t="s">
        <v>2008</v>
      </c>
      <c r="AP5" s="1251"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商业</v>
      </c>
      <c r="B6" s="2308" t="str">
        <f>IF(A6=0,"","经营性")</f>
        <v>经营性</v>
      </c>
      <c r="C6" s="2309" t="s">
        <v>1377</v>
      </c>
      <c r="D6" s="1053">
        <f>SUMIF(项目基本情况!D$12:I$12,C6,项目基本情况!D$14:I$14)</f>
        <v>40</v>
      </c>
      <c r="E6" s="1050">
        <f>IF(B6="","",SUMIF(项目基本情况!D$12:I$12,C6,项目基本情况!D$13:I$13))</f>
        <v>52608</v>
      </c>
      <c r="F6" s="72">
        <f>SUMIF(项目基本情况!D$12:I$12,C6,项目基本情况!D$15:I$15)</f>
        <v>25.53</v>
      </c>
      <c r="G6" s="73">
        <f>IF(ISERROR(ROUND(POWER(1+H6,D6-F6)*(POWER(1+H6,F6)-1)/(POWER(1+H6,D6)-1),3)),0,ROUND(POWER(1+H6,D6-F6)*(POWER(1+H6,F6)-1)/(POWER(1+H6,D6)-1),3))</f>
        <v>0.83</v>
      </c>
      <c r="H6" s="801">
        <v>0.05</v>
      </c>
      <c r="I6" s="801">
        <v>5.5E-2</v>
      </c>
      <c r="J6" s="74">
        <v>0.08</v>
      </c>
      <c r="K6" s="1253">
        <f>SUMIF('数据-汇总表'!C$19:C$33,A6,'数据-汇总表'!E$19:E$33)</f>
        <v>4824.4600000000037</v>
      </c>
      <c r="L6" s="2960">
        <v>3000</v>
      </c>
      <c r="M6" s="75">
        <f t="shared" ref="M6:M14" si="0">ROUND(K6*L6/10000,0)</f>
        <v>1447</v>
      </c>
      <c r="N6" s="800">
        <f>ROUND(1-(2018-2014)/60,2)</f>
        <v>0.93</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v>4</v>
      </c>
      <c r="V6" s="79">
        <v>0.03</v>
      </c>
      <c r="W6" s="79">
        <v>0.1</v>
      </c>
      <c r="X6" s="1263"/>
      <c r="Y6" s="80">
        <f>N6</f>
        <v>0.93</v>
      </c>
      <c r="Z6" s="81"/>
      <c r="AA6" s="74"/>
      <c r="AB6" s="74"/>
      <c r="AC6" s="1263"/>
      <c r="AD6" s="82"/>
      <c r="AE6" s="1264">
        <f ca="1">IF(AN6="",0,SUMIF(INDIRECT("'"&amp;AN6&amp;"'"&amp;"!E:E"),$AE$5,INDIRECT("'"&amp;AN6&amp;"'"&amp;"!F:F")))</f>
        <v>25.53</v>
      </c>
      <c r="AF6" s="1806"/>
      <c r="AG6" s="147">
        <f>IF(AF6="",0,AE6-AF6)</f>
        <v>0</v>
      </c>
      <c r="AH6" s="83"/>
      <c r="AI6" s="85">
        <v>365</v>
      </c>
      <c r="AJ6" s="86"/>
      <c r="AK6" s="87">
        <v>1.4999999999999999E-2</v>
      </c>
      <c r="AL6" s="88">
        <v>1.5E-3</v>
      </c>
      <c r="AM6" s="89">
        <v>1.4999999999999999E-2</v>
      </c>
      <c r="AN6" s="2310" t="s">
        <v>3178</v>
      </c>
      <c r="AO6" s="55">
        <f ca="1">SUMIF(INDIRECT("'"&amp;AN6&amp;"'"&amp;"!A:A"),"总价",INDIRECT("'"&amp;AN6&amp;"'"&amp;"!B:B"))</f>
        <v>8773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2016</v>
      </c>
      <c r="B16" s="97"/>
      <c r="C16" s="1007"/>
      <c r="D16" s="2315"/>
      <c r="E16" s="97"/>
      <c r="F16" s="97"/>
      <c r="G16" s="98">
        <f>ROUND(SUMPRODUCT(G6:G13,K6:K13)/SUMPRODUCT((G6:G13&gt;0)*(K6:K13)),3)</f>
        <v>0.83</v>
      </c>
      <c r="H16" s="99">
        <f>ROUND(SUMPRODUCT(H6:H13,K6:K13)/SUMPRODUCT((H6:H13&gt;0)*(K6:K13)),3)</f>
        <v>0.05</v>
      </c>
      <c r="I16" s="100"/>
      <c r="J16" s="100"/>
      <c r="K16" s="101">
        <f>SUM(K6:K15)</f>
        <v>4824.4600000000037</v>
      </c>
      <c r="L16" s="102">
        <f>ROUND(M16*10000/SUM(K6:K14),0)</f>
        <v>2999</v>
      </c>
      <c r="M16" s="102">
        <f>SUM(M6:M14)</f>
        <v>1447</v>
      </c>
      <c r="N16" s="103">
        <f>ROUND(SUMPRODUCT(M6:M14,N6:N14)/M16,3)</f>
        <v>0.93</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2018</v>
      </c>
      <c r="B19" s="112">
        <v>0</v>
      </c>
      <c r="C19" s="2278" t="s">
        <v>2019</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2020</v>
      </c>
      <c r="B20" s="113">
        <v>2</v>
      </c>
      <c r="C20" s="2278" t="s">
        <v>2021</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2022</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2023</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2024</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2025</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2026</v>
      </c>
      <c r="B26" s="2321" t="s">
        <v>2027</v>
      </c>
      <c r="C26" s="2322" t="s">
        <v>2028</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2029</v>
      </c>
      <c r="B27" s="116">
        <v>160</v>
      </c>
      <c r="C27" s="1766" t="s">
        <v>2030</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121">
        <f>ROUND(B28*K16/10000,0)</f>
        <v>96</v>
      </c>
      <c r="C29" s="1766" t="s">
        <v>2033</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3">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4">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5">
        <v>0.03</v>
      </c>
      <c r="C33" s="1765" t="s">
        <v>2038</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2">
        <v>0</v>
      </c>
      <c r="C34" s="1765" t="s">
        <v>2040</v>
      </c>
      <c r="D34" s="2279" t="s">
        <v>2041</v>
      </c>
      <c r="E34" s="731"/>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5" t="s">
        <v>2043</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5" t="s">
        <v>2045</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2046</v>
      </c>
      <c r="B37" s="124">
        <v>0.02</v>
      </c>
      <c r="C37" s="1765" t="s">
        <v>2047</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2048</v>
      </c>
      <c r="B38" s="122">
        <v>0.02</v>
      </c>
      <c r="C38" s="1765" t="s">
        <v>2047</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2049</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2050</v>
      </c>
      <c r="B40" s="1302">
        <f ca="1">存贷款利率!G1</f>
        <v>4.7500000000000001E-2</v>
      </c>
      <c r="C40" s="1765" t="s">
        <v>2051</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2052</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2053</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2054</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2055</v>
      </c>
      <c r="B44" s="128">
        <v>7.0000000000000007E-2</v>
      </c>
      <c r="C44" s="1765" t="s">
        <v>2056</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2057</v>
      </c>
      <c r="B45" s="126">
        <v>0.03</v>
      </c>
      <c r="C45" s="1766" t="s">
        <v>2058</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2059</v>
      </c>
      <c r="B46" s="126">
        <v>0.02</v>
      </c>
      <c r="C46" s="1766" t="s">
        <v>2060</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2061</v>
      </c>
      <c r="B47" s="129">
        <v>0</v>
      </c>
      <c r="C47" s="1766" t="s">
        <v>2062</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2063</v>
      </c>
      <c r="B48" s="130">
        <v>0.03</v>
      </c>
      <c r="C48" s="1773" t="s">
        <v>2064</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2065</v>
      </c>
      <c r="B49" s="126">
        <v>5.0000000000000001E-4</v>
      </c>
      <c r="C49" s="1773" t="s">
        <v>2066</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2067</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2068</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2069</v>
      </c>
      <c r="B52" s="133">
        <f>SUMIF(A54:A63,B53,B54:B63)</f>
        <v>12</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2070</v>
      </c>
      <c r="B53" s="2337" t="s">
        <v>137</v>
      </c>
      <c r="C53" s="1429" t="s">
        <v>2071</v>
      </c>
      <c r="D53" s="2338" t="s">
        <v>2072</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2073</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2074</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2075</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2076</v>
      </c>
      <c r="B57" s="84">
        <v>12</v>
      </c>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2077</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2078</v>
      </c>
      <c r="B59" s="84"/>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2079</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2080</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2081</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2082</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5" t="s">
        <v>2083</v>
      </c>
      <c r="B1" s="3056"/>
      <c r="C1" s="3056"/>
      <c r="D1" s="3056"/>
      <c r="E1" s="3056"/>
      <c r="F1" s="3056"/>
      <c r="G1" s="305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42.75">
      <c r="A3" s="415" t="s">
        <v>2086</v>
      </c>
      <c r="B3" s="1270" t="s">
        <v>2087</v>
      </c>
      <c r="C3" s="2954" t="s">
        <v>3202</v>
      </c>
      <c r="D3" s="2371"/>
      <c r="E3" s="430" t="s">
        <v>2086</v>
      </c>
      <c r="F3" s="2372" t="s">
        <v>2088</v>
      </c>
      <c r="G3" s="2373" t="s">
        <v>2089</v>
      </c>
      <c r="H3" s="2369"/>
      <c r="I3" s="2369"/>
      <c r="J3" s="2369"/>
      <c r="K3" s="2369"/>
      <c r="L3" s="2369"/>
      <c r="M3" s="2369"/>
      <c r="N3" s="2369"/>
      <c r="O3" s="2369"/>
      <c r="P3" s="2369"/>
      <c r="Q3" s="2369"/>
      <c r="R3" s="2369"/>
    </row>
    <row r="4" spans="1:29" ht="54">
      <c r="A4" s="430"/>
      <c r="B4" s="1797" t="s">
        <v>2090</v>
      </c>
      <c r="C4" s="2955" t="s">
        <v>3201</v>
      </c>
      <c r="D4" s="2371"/>
      <c r="E4" s="2374"/>
      <c r="F4" s="42" t="s">
        <v>2091</v>
      </c>
      <c r="G4" s="2375" t="s">
        <v>2092</v>
      </c>
      <c r="H4" s="2369"/>
      <c r="I4" s="2369"/>
      <c r="J4" s="2369"/>
      <c r="K4" s="2369"/>
      <c r="L4" s="2369"/>
      <c r="M4" s="2369"/>
      <c r="N4" s="2369"/>
      <c r="O4" s="2369"/>
      <c r="P4" s="2369"/>
      <c r="Q4" s="2369"/>
      <c r="R4" s="2369"/>
    </row>
    <row r="5" spans="1:29" ht="27">
      <c r="A5" s="430"/>
      <c r="B5" s="1797" t="s">
        <v>2093</v>
      </c>
      <c r="C5" s="2955" t="s">
        <v>3203</v>
      </c>
      <c r="D5" s="2371"/>
      <c r="E5" s="2374"/>
      <c r="F5" s="1797" t="s">
        <v>2094</v>
      </c>
      <c r="G5" s="2375" t="s">
        <v>2095</v>
      </c>
      <c r="H5" s="2369"/>
      <c r="I5" s="2369"/>
      <c r="J5" s="2369"/>
      <c r="K5" s="2369"/>
      <c r="L5" s="2369"/>
      <c r="M5" s="2369"/>
      <c r="N5" s="2369"/>
      <c r="O5" s="2369"/>
      <c r="P5" s="2369"/>
      <c r="Q5" s="2369"/>
      <c r="R5" s="2369"/>
    </row>
    <row r="6" spans="1:29" ht="67.5">
      <c r="A6" s="430"/>
      <c r="B6" s="1797" t="s">
        <v>2096</v>
      </c>
      <c r="C6" s="2956" t="s">
        <v>3204</v>
      </c>
      <c r="D6" s="2371"/>
      <c r="E6" s="2374"/>
      <c r="F6" s="1797" t="s">
        <v>2097</v>
      </c>
      <c r="G6" s="2375" t="s">
        <v>2098</v>
      </c>
      <c r="H6" s="2369"/>
      <c r="I6" s="2369"/>
      <c r="J6" s="2369"/>
      <c r="K6" s="2369"/>
      <c r="L6" s="2369"/>
      <c r="M6" s="2369"/>
      <c r="N6" s="2369"/>
      <c r="O6" s="2369"/>
      <c r="P6" s="2369"/>
      <c r="Q6" s="2369"/>
      <c r="R6" s="2369"/>
    </row>
    <row r="7" spans="1:29" ht="41.25" thickBot="1">
      <c r="A7" s="430"/>
      <c r="B7" s="1797" t="s">
        <v>2094</v>
      </c>
      <c r="C7" s="2956" t="s">
        <v>3207</v>
      </c>
      <c r="D7" s="2376"/>
      <c r="E7" s="2377"/>
      <c r="F7" s="2378" t="s">
        <v>2099</v>
      </c>
      <c r="G7" s="2379" t="s">
        <v>2100</v>
      </c>
      <c r="H7" s="2369"/>
      <c r="I7" s="2369"/>
      <c r="J7" s="2369"/>
      <c r="K7" s="2369"/>
      <c r="L7" s="2369"/>
      <c r="M7" s="2369"/>
      <c r="N7" s="2369"/>
      <c r="O7" s="2369"/>
      <c r="P7" s="2369"/>
      <c r="Q7" s="2369"/>
      <c r="R7" s="2369"/>
    </row>
    <row r="8" spans="1:29" ht="27">
      <c r="A8" s="430"/>
      <c r="B8" s="1797" t="s">
        <v>2097</v>
      </c>
      <c r="C8" s="2956" t="s">
        <v>3208</v>
      </c>
      <c r="D8" s="2376"/>
      <c r="E8" s="2376"/>
      <c r="F8" s="1135"/>
      <c r="G8" s="1135"/>
      <c r="H8" s="2369"/>
      <c r="I8" s="2369"/>
      <c r="J8" s="2369"/>
      <c r="K8" s="2369"/>
      <c r="L8" s="2369"/>
      <c r="M8" s="2369"/>
      <c r="N8" s="2369"/>
      <c r="O8" s="2369"/>
      <c r="P8" s="2369"/>
      <c r="Q8" s="2369"/>
      <c r="R8" s="2369"/>
    </row>
    <row r="9" spans="1:29" ht="67.5">
      <c r="A9" s="430"/>
      <c r="B9" s="1797" t="s">
        <v>2101</v>
      </c>
      <c r="C9" s="2955" t="s">
        <v>3209</v>
      </c>
      <c r="D9" s="2371"/>
      <c r="E9" s="2376"/>
      <c r="F9" s="1135"/>
      <c r="G9" s="1135"/>
      <c r="H9" s="2369"/>
      <c r="I9" s="2369"/>
      <c r="J9" s="2369"/>
      <c r="K9" s="2369"/>
      <c r="L9" s="2369"/>
      <c r="M9" s="2369"/>
      <c r="N9" s="2369"/>
      <c r="O9" s="2369"/>
      <c r="P9" s="2369"/>
      <c r="Q9" s="2369"/>
      <c r="R9" s="2369"/>
    </row>
    <row r="10" spans="1:29" s="117" customFormat="1" ht="15.75" thickBot="1">
      <c r="A10" s="2380"/>
      <c r="B10" s="2381" t="s">
        <v>2102</v>
      </c>
      <c r="C10" s="2382"/>
      <c r="D10" s="2371"/>
      <c r="E10" s="2371"/>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6"/>
      <c r="C12" s="2371"/>
      <c r="D12" s="2387"/>
      <c r="E12" s="2371"/>
      <c r="F12" s="2376"/>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2103</v>
      </c>
      <c r="B13" s="2387"/>
      <c r="C13" s="2387"/>
      <c r="D13" s="2394"/>
      <c r="E13" s="2387"/>
      <c r="F13" s="2387"/>
      <c r="G13" s="2387"/>
    </row>
    <row r="14" spans="1:29" ht="15.75" thickBot="1">
      <c r="A14" s="2398"/>
      <c r="B14" s="2399"/>
      <c r="C14" s="2400" t="s">
        <v>2104</v>
      </c>
      <c r="D14" s="2371"/>
      <c r="E14" s="2401"/>
      <c r="F14" s="2401"/>
      <c r="G14" s="2366" t="s">
        <v>2105</v>
      </c>
    </row>
    <row r="15" spans="1:29" ht="42.75">
      <c r="A15" s="68" t="s">
        <v>2106</v>
      </c>
      <c r="B15" s="1269" t="s">
        <v>2087</v>
      </c>
      <c r="C15" s="2402" t="str">
        <f>C3</f>
        <v>——</v>
      </c>
      <c r="D15" s="2371"/>
      <c r="E15" s="2403" t="s">
        <v>2107</v>
      </c>
      <c r="F15" s="1269" t="s">
        <v>2108</v>
      </c>
      <c r="G15" s="135" t="str">
        <f>G3</f>
        <v>估价对象位于XX开发区，园区建设成熟度XX，产业集聚程度XX</v>
      </c>
    </row>
    <row r="16" spans="1:29" ht="57">
      <c r="A16" s="644"/>
      <c r="B16" s="2404" t="s">
        <v>2090</v>
      </c>
      <c r="C16" s="2405" t="str">
        <f>C4</f>
        <v>估价对象位于五棵松卓展商圈，周边商业氛围较成熟，人流量较大，商业繁华度较好</v>
      </c>
      <c r="D16" s="2371"/>
      <c r="E16" s="2406"/>
      <c r="F16" s="2407" t="s">
        <v>2091</v>
      </c>
      <c r="G16" s="136" t="str">
        <f>G4</f>
        <v>估价对象周边道路状况、公共交通通达情况、停车便捷程度，综合评价交通便捷度较好</v>
      </c>
    </row>
    <row r="17" spans="1:18" ht="15">
      <c r="A17" s="644"/>
      <c r="B17" s="2404" t="s">
        <v>2093</v>
      </c>
      <c r="C17" s="2405" t="str">
        <f>C5</f>
        <v>——</v>
      </c>
      <c r="D17" s="2376"/>
      <c r="E17" s="2406"/>
      <c r="F17" s="2407" t="s">
        <v>2109</v>
      </c>
      <c r="G17" s="1571"/>
    </row>
    <row r="18" spans="1:18" ht="71.25">
      <c r="A18" s="644"/>
      <c r="B18" s="2407" t="s">
        <v>2096</v>
      </c>
      <c r="C18" s="136" t="str">
        <f>C6</f>
        <v>估价对象周边有634、78、436路等公交线路及地铁1号线经过、公共交通通达情况较好、停车便捷程度较好，综合评价交通便捷度较好</v>
      </c>
      <c r="D18" s="2376"/>
      <c r="E18" s="2406"/>
      <c r="F18" s="2407" t="s">
        <v>2099</v>
      </c>
      <c r="G18" s="136" t="str">
        <f>G7</f>
        <v>该园区内是否有污染型企业，绿化情况，卫生条件，整体环境状况判断</v>
      </c>
    </row>
    <row r="19" spans="1:18" ht="28.5">
      <c r="A19" s="644"/>
      <c r="B19" s="2407" t="s">
        <v>2110</v>
      </c>
      <c r="C19" s="1571"/>
      <c r="D19" s="2371"/>
      <c r="E19" s="2406"/>
      <c r="F19" s="1797" t="s">
        <v>2094</v>
      </c>
      <c r="G19" s="136" t="str">
        <f>G5</f>
        <v>估价对象所在区域公共配套设施齐备情况</v>
      </c>
    </row>
    <row r="20" spans="1:18" ht="71.25">
      <c r="A20" s="644"/>
      <c r="B20" s="2407" t="s">
        <v>2111</v>
      </c>
      <c r="C20" s="2405" t="str">
        <f>C9</f>
        <v>区域自然环境：有五棵松公园、定慧公园等；人文环境：国家开放大学(五棵松校区)等；综合评价环境状况较好</v>
      </c>
      <c r="D20" s="2376"/>
      <c r="E20" s="2406"/>
      <c r="F20" s="1797" t="s">
        <v>2112</v>
      </c>
      <c r="G20" s="136" t="str">
        <f>G6</f>
        <v>估价对象所在区域基础设施水平</v>
      </c>
    </row>
    <row r="21" spans="1:18" ht="42.75">
      <c r="A21" s="644"/>
      <c r="B21" s="1797" t="s">
        <v>2094</v>
      </c>
      <c r="C21" s="136" t="str">
        <f>C7</f>
        <v>估价对象所在区域有医院、商场、学校等公共配套设施较齐备</v>
      </c>
      <c r="D21" s="2371"/>
      <c r="E21" s="2406"/>
      <c r="F21" s="2407" t="s">
        <v>2113</v>
      </c>
      <c r="G21" s="2408"/>
    </row>
    <row r="22" spans="1:18" ht="13.5" customHeight="1">
      <c r="A22" s="644"/>
      <c r="B22" s="1797" t="s">
        <v>2097</v>
      </c>
      <c r="C22" s="136" t="str">
        <f>C8</f>
        <v>估价对象所在区域基础设施水平达七通</v>
      </c>
      <c r="D22" s="2371"/>
      <c r="E22" s="2406"/>
      <c r="F22" s="2407" t="s">
        <v>2102</v>
      </c>
      <c r="G22" s="1571"/>
    </row>
    <row r="23" spans="1:18" s="2369" customFormat="1" ht="15.75" thickBot="1">
      <c r="A23" s="644"/>
      <c r="B23" s="2407" t="s">
        <v>2113</v>
      </c>
      <c r="C23" s="2408"/>
      <c r="D23" s="2395"/>
      <c r="E23" s="2409"/>
      <c r="F23" s="2410" t="s">
        <v>2114</v>
      </c>
      <c r="G23" s="2411"/>
      <c r="H23" s="2395"/>
      <c r="I23" s="2396"/>
      <c r="J23" s="2395"/>
      <c r="K23" s="2395"/>
      <c r="L23" s="2396"/>
      <c r="M23" s="2395"/>
      <c r="N23" s="2395"/>
      <c r="O23" s="2396"/>
      <c r="P23" s="2395"/>
      <c r="Q23" s="2395"/>
      <c r="R23" s="2397"/>
    </row>
    <row r="24" spans="1:18" s="2369"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1365</v>
      </c>
      <c r="B1" s="1745">
        <f>SUM(B14:B23)</f>
        <v>4824.4600000000037</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43286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16397</v>
      </c>
      <c r="C5" s="1745">
        <f ca="1">ROUND(B5*10000/$B$1,0)</f>
        <v>33987</v>
      </c>
      <c r="D5" s="1745" t="e">
        <f ca="1">ROUND(B5*10000/$B$2,0)</f>
        <v>#DIV/0!</v>
      </c>
      <c r="E5" s="1744"/>
      <c r="F5" s="1742"/>
      <c r="G5" s="1742"/>
    </row>
    <row r="6" spans="1:10" ht="16.5">
      <c r="A6" s="1745" t="s">
        <v>1356</v>
      </c>
      <c r="B6" s="1745">
        <f ca="1">SUM(G14:G23)</f>
        <v>16397</v>
      </c>
      <c r="C6" s="1745">
        <f ca="1">ROUND(B6*10000/$B$1,0)</f>
        <v>33987</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4824.4600000000037</v>
      </c>
      <c r="C14" s="1743">
        <f>结果表!C118</f>
        <v>0</v>
      </c>
      <c r="D14" s="1743">
        <f ca="1">结果表!H118</f>
        <v>16397</v>
      </c>
      <c r="E14" s="1743">
        <f ca="1">ROUND(D14*10000/B14,0)</f>
        <v>33987</v>
      </c>
      <c r="F14" s="1743" t="e">
        <f ca="1">ROUND(D14*10000/C14,0)</f>
        <v>#DIV/0!</v>
      </c>
      <c r="G14" s="1743">
        <f ca="1">结果表!D122</f>
        <v>16397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09"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6" t="s">
        <v>2116</v>
      </c>
      <c r="B1" s="2418"/>
      <c r="C1" s="2419"/>
      <c r="D1" s="2418"/>
      <c r="E1" s="2418"/>
      <c r="F1" s="2420" t="s">
        <v>2117</v>
      </c>
      <c r="G1" s="2071" t="s">
        <v>3172</v>
      </c>
      <c r="H1" s="2421" t="str">
        <f>IF(G1="现房","——","估价对象范围")</f>
        <v>——</v>
      </c>
      <c r="I1" s="2422"/>
    </row>
    <row r="2" spans="1:12" ht="21.75" customHeight="1" thickBot="1">
      <c r="A2" s="3090" t="str">
        <f>项目基本情况!S2</f>
        <v>北京市海淀区西翠路17号院22号楼102号等49套配套用房房地产</v>
      </c>
      <c r="B2" s="3091"/>
      <c r="C2" s="3091"/>
      <c r="D2" s="3091"/>
      <c r="E2" s="3091"/>
      <c r="F2" s="3091"/>
      <c r="G2" s="3091"/>
      <c r="H2" s="3091"/>
      <c r="I2" s="3092"/>
    </row>
    <row r="3" spans="1:12" ht="12.75">
      <c r="A3" s="3094" t="s">
        <v>2118</v>
      </c>
      <c r="B3" s="3095"/>
      <c r="C3" s="3095"/>
      <c r="D3" s="3095"/>
      <c r="E3" s="3095"/>
      <c r="F3" s="3095"/>
      <c r="G3" s="3095"/>
      <c r="H3" s="3095"/>
      <c r="I3" s="3095"/>
    </row>
    <row r="4" spans="1:12" ht="14.25">
      <c r="A4" s="2425" t="s">
        <v>2119</v>
      </c>
      <c r="B4" s="2426" t="s">
        <v>2120</v>
      </c>
      <c r="C4" s="2427" t="s">
        <v>3189</v>
      </c>
      <c r="D4" s="2427" t="s">
        <v>3178</v>
      </c>
      <c r="E4" s="3087" t="s">
        <v>2121</v>
      </c>
      <c r="F4" s="3088"/>
      <c r="G4" s="3088"/>
      <c r="H4" s="3088"/>
      <c r="I4" s="309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2122</v>
      </c>
      <c r="B5" s="3008">
        <v>25</v>
      </c>
      <c r="C5" s="3073"/>
      <c r="D5" s="3093"/>
      <c r="E5" s="140" t="s">
        <v>2123</v>
      </c>
      <c r="F5" s="2429"/>
      <c r="G5" s="2429"/>
      <c r="H5" s="2429"/>
      <c r="I5" s="1833"/>
    </row>
    <row r="6" spans="1:12" ht="12.75">
      <c r="A6" s="3070"/>
      <c r="B6" s="3008"/>
      <c r="C6" s="3074"/>
      <c r="D6" s="3093"/>
      <c r="E6" s="140" t="s">
        <v>2124</v>
      </c>
      <c r="F6" s="2429"/>
      <c r="G6" s="2429"/>
      <c r="H6" s="2429"/>
      <c r="I6" s="1833"/>
    </row>
    <row r="7" spans="1:12" ht="12.75">
      <c r="A7" s="3070"/>
      <c r="B7" s="3008"/>
      <c r="C7" s="3075"/>
      <c r="D7" s="3093"/>
      <c r="E7" s="140" t="s">
        <v>2125</v>
      </c>
      <c r="F7" s="2429"/>
      <c r="G7" s="2429"/>
      <c r="H7" s="2429"/>
      <c r="I7" s="1833"/>
    </row>
    <row r="8" spans="1:12" ht="12.75">
      <c r="A8" s="3070" t="s">
        <v>2126</v>
      </c>
      <c r="B8" s="3008">
        <v>15</v>
      </c>
      <c r="C8" s="3073"/>
      <c r="D8" s="3093"/>
      <c r="E8" s="140" t="s">
        <v>2127</v>
      </c>
      <c r="F8" s="2429"/>
      <c r="G8" s="2429"/>
      <c r="H8" s="2429"/>
      <c r="I8" s="1833"/>
    </row>
    <row r="9" spans="1:12" ht="12.75">
      <c r="A9" s="3070"/>
      <c r="B9" s="3008"/>
      <c r="C9" s="3075"/>
      <c r="D9" s="3093"/>
      <c r="E9" s="140" t="s">
        <v>2128</v>
      </c>
      <c r="F9" s="2429"/>
      <c r="G9" s="2429"/>
      <c r="H9" s="2429"/>
      <c r="I9" s="1833"/>
    </row>
    <row r="10" spans="1:12" ht="12.75">
      <c r="A10" s="3070" t="s">
        <v>2129</v>
      </c>
      <c r="B10" s="3008">
        <v>15</v>
      </c>
      <c r="C10" s="3073"/>
      <c r="D10" s="3093"/>
      <c r="E10" s="140" t="s">
        <v>2130</v>
      </c>
      <c r="F10" s="2429"/>
      <c r="G10" s="2429"/>
      <c r="H10" s="2429"/>
      <c r="I10" s="1833"/>
    </row>
    <row r="11" spans="1:12" ht="12.75">
      <c r="A11" s="3070"/>
      <c r="B11" s="3008"/>
      <c r="C11" s="3075"/>
      <c r="D11" s="3093"/>
      <c r="E11" s="140" t="s">
        <v>2131</v>
      </c>
      <c r="F11" s="2429"/>
      <c r="G11" s="2429"/>
      <c r="H11" s="2429"/>
      <c r="I11" s="1833"/>
    </row>
    <row r="12" spans="1:12" ht="12.75">
      <c r="A12" s="3070" t="s">
        <v>2132</v>
      </c>
      <c r="B12" s="3008">
        <v>15</v>
      </c>
      <c r="C12" s="3073"/>
      <c r="D12" s="3093"/>
      <c r="E12" s="140" t="s">
        <v>2133</v>
      </c>
      <c r="F12" s="2429"/>
      <c r="G12" s="2429"/>
      <c r="H12" s="2429"/>
      <c r="I12" s="1833"/>
    </row>
    <row r="13" spans="1:12" ht="12.75">
      <c r="A13" s="3070"/>
      <c r="B13" s="3008"/>
      <c r="C13" s="3075"/>
      <c r="D13" s="3093"/>
      <c r="E13" s="140" t="s">
        <v>2134</v>
      </c>
      <c r="F13" s="2429"/>
      <c r="G13" s="2429"/>
      <c r="H13" s="2429"/>
      <c r="I13" s="1833"/>
    </row>
    <row r="14" spans="1:12" ht="12.75">
      <c r="A14" s="3070" t="s">
        <v>2135</v>
      </c>
      <c r="B14" s="3008">
        <v>30</v>
      </c>
      <c r="C14" s="3073">
        <v>6</v>
      </c>
      <c r="D14" s="3093">
        <v>4</v>
      </c>
      <c r="E14" s="140" t="s">
        <v>2136</v>
      </c>
      <c r="F14" s="2429"/>
      <c r="G14" s="2429"/>
      <c r="H14" s="2429"/>
      <c r="I14" s="1833"/>
    </row>
    <row r="15" spans="1:12" ht="12.75">
      <c r="A15" s="3070"/>
      <c r="B15" s="3008"/>
      <c r="C15" s="3074"/>
      <c r="D15" s="3093"/>
      <c r="E15" s="140" t="s">
        <v>2137</v>
      </c>
      <c r="F15" s="2429"/>
      <c r="G15" s="2429"/>
      <c r="H15" s="2429"/>
      <c r="I15" s="1833"/>
    </row>
    <row r="16" spans="1:12" ht="12.75">
      <c r="A16" s="3070"/>
      <c r="B16" s="3008"/>
      <c r="C16" s="3075"/>
      <c r="D16" s="3093"/>
      <c r="E16" s="140" t="s">
        <v>2138</v>
      </c>
      <c r="F16" s="2429"/>
      <c r="G16" s="2429"/>
      <c r="H16" s="2429"/>
      <c r="I16" s="1833"/>
    </row>
    <row r="17" spans="1:35" ht="15">
      <c r="A17" s="2430" t="s">
        <v>2139</v>
      </c>
      <c r="B17" s="64"/>
      <c r="C17" s="141">
        <f>SUM(C5:C16)</f>
        <v>6</v>
      </c>
      <c r="D17" s="141">
        <f>SUM(D5:D16)</f>
        <v>4</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4824.4600000000037</v>
      </c>
      <c r="M18" s="2428">
        <f>IF(C1="",'数据-汇总表'!E3,SUMIF(项目类型,C1,'数据-汇总表'!E17:E26))</f>
        <v>4824.4600000000037</v>
      </c>
    </row>
    <row r="19" spans="1:35" ht="15">
      <c r="A19" s="2434" t="s">
        <v>2144</v>
      </c>
      <c r="B19" s="2435" t="s">
        <v>2145</v>
      </c>
      <c r="C19" s="143">
        <f ca="1">SUMIF(INDIRECT("'"&amp;C4&amp;"'"&amp;"!A:A"),结果表!B19,INDIRECT("'"&amp;C4&amp;"'"&amp;"!B:B"))</f>
        <v>21479</v>
      </c>
      <c r="D19" s="144">
        <f ca="1">SUMIF(INDIRECT("'"&amp;D4&amp;"'"&amp;"!A:A"),结果表!B19,INDIRECT("'"&amp;D4&amp;"'"&amp;"!B:B"))</f>
        <v>8773</v>
      </c>
      <c r="E19" s="2434" t="s">
        <v>2146</v>
      </c>
      <c r="F19" s="2435" t="s">
        <v>2145</v>
      </c>
      <c r="G19" s="145">
        <f ca="1">ROUND(C19*$C$18+D19*$D$18,0)</f>
        <v>16397</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9" t="s">
        <v>2149</v>
      </c>
      <c r="C20" s="146">
        <f ca="1">SUMIF(INDIRECT("'"&amp;C4&amp;"'"&amp;"!A:A"),结果表!B20,INDIRECT("'"&amp;C4&amp;"'"&amp;"!B:B"))</f>
        <v>44521</v>
      </c>
      <c r="D20" s="147">
        <f ca="1">SUMIF(INDIRECT("'"&amp;D4&amp;"'"&amp;"!A:A"),结果表!B20,INDIRECT("'"&amp;D4&amp;"'"&amp;"!B:B"))</f>
        <v>18184</v>
      </c>
      <c r="E20" s="2437"/>
      <c r="F20" s="1249" t="s">
        <v>2149</v>
      </c>
      <c r="G20" s="148">
        <f ca="1">ROUND(C20*$C$18+D20*$D$18,0)</f>
        <v>33986</v>
      </c>
      <c r="H20" s="982" t="s">
        <v>2150</v>
      </c>
      <c r="I20" s="138"/>
    </row>
    <row r="21" spans="1:35" ht="15" customHeight="1" thickBot="1">
      <c r="A21" s="1002"/>
      <c r="B21" s="2438" t="s">
        <v>2151</v>
      </c>
      <c r="C21" s="788" t="e">
        <f ca="1">ROUND(C19*10000/L19,0)</f>
        <v>#DIV/0!</v>
      </c>
      <c r="D21" s="789" t="e">
        <f ca="1">ROUND(D19*10000/L19,0)</f>
        <v>#DIV/0!</v>
      </c>
      <c r="E21" s="1002"/>
      <c r="F21" s="2438" t="s">
        <v>2151</v>
      </c>
      <c r="G21" s="149" t="e">
        <f ca="1">ROUND(G19*10000/L19,0)</f>
        <v>#DIV/0!</v>
      </c>
      <c r="H21" s="2439" t="s">
        <v>2150</v>
      </c>
      <c r="I21" s="138"/>
    </row>
    <row r="22" spans="1:35" ht="15" thickBot="1">
      <c r="A22" s="2282" t="s">
        <v>2152</v>
      </c>
      <c r="B22" s="2440"/>
      <c r="C22" s="2441"/>
      <c r="D22" s="790">
        <f ca="1">IF(C19&lt;D19,D19/C19-1,C19/D19-1)</f>
        <v>1.4483073065086058</v>
      </c>
      <c r="E22" s="138"/>
      <c r="F22" s="138"/>
      <c r="G22" s="138"/>
      <c r="H22" s="138"/>
      <c r="I22" s="138"/>
    </row>
    <row r="23" spans="1:35" ht="13.5" thickBot="1">
      <c r="A23" s="2418"/>
      <c r="B23" s="2418"/>
      <c r="C23" s="2418"/>
      <c r="D23" s="2418"/>
      <c r="E23" s="138"/>
      <c r="F23" s="138"/>
      <c r="G23" s="138"/>
      <c r="H23" s="138"/>
      <c r="I23" s="138"/>
    </row>
    <row r="24" spans="1:35" ht="14.25">
      <c r="A24" s="3064" t="s">
        <v>2153</v>
      </c>
      <c r="B24" s="2435" t="s">
        <v>2145</v>
      </c>
      <c r="C24" s="145">
        <f>IF(B30=0,0,D30)</f>
        <v>0</v>
      </c>
      <c r="D24" s="2442"/>
      <c r="E24" s="138"/>
      <c r="F24" s="138"/>
      <c r="G24" s="138"/>
      <c r="H24" s="138"/>
      <c r="I24" s="138"/>
    </row>
    <row r="25" spans="1:35" ht="14.25">
      <c r="A25" s="3065"/>
      <c r="B25" s="1249"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6" t="s">
        <v>3033</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2159</v>
      </c>
      <c r="B32" s="2448"/>
      <c r="C32" s="153">
        <f ca="1">IF(D32="总价",G19-C24,G20-C25)</f>
        <v>16397</v>
      </c>
      <c r="D32" s="2449" t="s">
        <v>2160</v>
      </c>
      <c r="E32" s="138"/>
      <c r="F32" s="138"/>
      <c r="G32" s="138"/>
      <c r="H32" s="138"/>
      <c r="I32" s="138"/>
    </row>
    <row r="33" spans="1:15" ht="15">
      <c r="A33" s="959"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2164</v>
      </c>
      <c r="F34" s="1738"/>
      <c r="G34" s="138"/>
      <c r="H34" s="138"/>
      <c r="I34" s="138"/>
    </row>
    <row r="35" spans="1:15" ht="15.75" thickBot="1">
      <c r="A35" s="2458"/>
      <c r="B35" s="2459" t="s">
        <v>2165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82" t="s">
        <v>2167</v>
      </c>
      <c r="B36" s="2461" t="s">
        <v>2168</v>
      </c>
      <c r="C36" s="154"/>
      <c r="D36" s="2462"/>
      <c r="E36" s="2463"/>
      <c r="F36" s="2464"/>
      <c r="G36" s="138"/>
      <c r="H36" s="138"/>
      <c r="I36" s="138"/>
    </row>
    <row r="37" spans="1:15" ht="15.75" thickBot="1">
      <c r="A37" s="3083"/>
      <c r="B37" s="2268" t="s">
        <v>2169</v>
      </c>
      <c r="C37" s="156"/>
      <c r="D37" s="1394"/>
      <c r="E37" s="1394"/>
      <c r="F37" s="2464"/>
      <c r="G37" s="138"/>
      <c r="H37" s="138"/>
      <c r="I37" s="138"/>
    </row>
    <row r="38" spans="1:15" ht="15.75" thickBot="1">
      <c r="A38" s="3084"/>
      <c r="B38" s="2465" t="s">
        <v>2170</v>
      </c>
      <c r="C38" s="726"/>
      <c r="D38" s="2466" t="s">
        <v>2171</v>
      </c>
      <c r="E38" s="1394"/>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61" t="s">
        <v>2181</v>
      </c>
      <c r="B45" s="3062"/>
      <c r="C45" s="3063"/>
      <c r="D45" s="164">
        <f ca="1">ROUND(H101*F45,0)</f>
        <v>16397</v>
      </c>
      <c r="E45" s="165" t="s">
        <v>2182</v>
      </c>
      <c r="F45" s="166">
        <v>1</v>
      </c>
      <c r="G45" s="167" t="s">
        <v>2183</v>
      </c>
      <c r="H45" s="138"/>
      <c r="I45" s="138"/>
      <c r="J45" s="3121" t="s">
        <v>2184</v>
      </c>
      <c r="K45" s="3121"/>
      <c r="L45" s="3121"/>
      <c r="M45" s="3121"/>
      <c r="N45" s="3121"/>
      <c r="O45" s="3121"/>
    </row>
    <row r="46" spans="1:15" ht="14.25" customHeight="1">
      <c r="A46" s="3058" t="s">
        <v>2185</v>
      </c>
      <c r="B46" s="3059"/>
      <c r="C46" s="3059"/>
      <c r="D46" s="3059"/>
      <c r="E46" s="3059"/>
      <c r="F46" s="3059"/>
      <c r="G46" s="3060"/>
      <c r="H46" s="2480"/>
      <c r="I46" s="168"/>
      <c r="J46" s="1811">
        <v>1</v>
      </c>
      <c r="K46" s="3121" t="s">
        <v>2186</v>
      </c>
      <c r="L46" s="3121"/>
      <c r="M46" s="3141"/>
      <c r="N46" s="3141"/>
      <c r="O46" s="3141"/>
    </row>
    <row r="47" spans="1:15" ht="12" customHeight="1">
      <c r="A47" s="169" t="s">
        <v>2187</v>
      </c>
      <c r="B47" s="170"/>
      <c r="C47" s="171"/>
      <c r="D47" s="172" t="s">
        <v>2188</v>
      </c>
      <c r="E47" s="24" t="s">
        <v>2189</v>
      </c>
      <c r="F47" s="173" t="s">
        <v>2190</v>
      </c>
      <c r="G47" s="174" t="s">
        <v>2191</v>
      </c>
      <c r="H47" s="2480"/>
      <c r="I47" s="168"/>
      <c r="J47" s="1811">
        <v>2</v>
      </c>
      <c r="K47" s="3121" t="s">
        <v>2192</v>
      </c>
      <c r="L47" s="3121"/>
      <c r="M47" s="3142">
        <f>'数据-取费表'!B2</f>
        <v>43286</v>
      </c>
      <c r="N47" s="3142"/>
      <c r="O47" s="3142"/>
    </row>
    <row r="48" spans="1:15" ht="25.5">
      <c r="A48" s="3089" t="s">
        <v>2193</v>
      </c>
      <c r="B48" s="3072"/>
      <c r="C48" s="3072"/>
      <c r="D48" s="140">
        <f>IF(H48="情况1",0,IF(H48="情况2",D52,IF(H48="情况3",D53,IF(H48="情况4",D54))))</f>
        <v>0</v>
      </c>
      <c r="E48" s="1800" t="str">
        <f>IF(H48="情况4","(销售额-原购置价)×税（费）率","销售额×税（费）率")</f>
        <v>销售额×税（费）率</v>
      </c>
      <c r="F48" s="175" t="str">
        <f>IF(H48="情况1","免征",'数据-取费表'!B41)</f>
        <v>免征</v>
      </c>
      <c r="G48" s="2481" t="s">
        <v>2194</v>
      </c>
      <c r="H48" s="2482" t="s">
        <v>2195</v>
      </c>
      <c r="I48" s="2480"/>
      <c r="J48" s="1811">
        <v>3</v>
      </c>
      <c r="K48" s="3121" t="s">
        <v>2196</v>
      </c>
      <c r="L48" s="3121"/>
      <c r="M48" s="3143">
        <f ca="1">H101</f>
        <v>16397</v>
      </c>
      <c r="N48" s="3143"/>
      <c r="O48" s="3143"/>
    </row>
    <row r="49" spans="1:35" ht="25.5" customHeight="1">
      <c r="A49" s="176" t="s">
        <v>2197</v>
      </c>
      <c r="B49" s="3057" t="s">
        <v>2198</v>
      </c>
      <c r="C49" s="3057"/>
      <c r="D49" s="177">
        <v>0</v>
      </c>
      <c r="E49" s="23" t="s">
        <v>2199</v>
      </c>
      <c r="F49" s="28" t="s">
        <v>34</v>
      </c>
      <c r="G49" s="3127"/>
      <c r="H49" s="138"/>
      <c r="I49" s="2483"/>
      <c r="J49" s="1811">
        <v>4</v>
      </c>
      <c r="K49" s="3121" t="str">
        <f>IF(项目基本情况!E8="房地产抵押价值","房地产抵押价值","抵押担保权已注销时的房地产抵押价值")</f>
        <v>房地产抵押价值</v>
      </c>
      <c r="L49" s="3121"/>
      <c r="M49" s="3143">
        <f ca="1">IF(项目基本情况!E8="房地产抵押价值",H107,H109)</f>
        <v>16397</v>
      </c>
      <c r="N49" s="3143"/>
      <c r="O49" s="3143"/>
    </row>
    <row r="50" spans="1:35" ht="25.5" customHeight="1">
      <c r="A50" s="178"/>
      <c r="B50" s="3057" t="s">
        <v>2200</v>
      </c>
      <c r="C50" s="3057"/>
      <c r="D50" s="179"/>
      <c r="E50" s="31"/>
      <c r="F50" s="180"/>
      <c r="G50" s="3128"/>
      <c r="H50" s="138"/>
      <c r="I50" s="2483"/>
      <c r="J50" s="3121" t="s">
        <v>2201</v>
      </c>
      <c r="K50" s="3121"/>
      <c r="L50" s="3121"/>
      <c r="M50" s="3121"/>
      <c r="N50" s="3121"/>
      <c r="O50" s="3121"/>
    </row>
    <row r="51" spans="1:35" ht="12" customHeight="1">
      <c r="A51" s="181"/>
      <c r="B51" s="3057" t="s">
        <v>2202</v>
      </c>
      <c r="C51" s="3057"/>
      <c r="D51" s="182"/>
      <c r="E51" s="30"/>
      <c r="F51" s="180"/>
      <c r="G51" s="3129"/>
      <c r="H51" s="138"/>
      <c r="I51" s="2483"/>
      <c r="J51" s="2484" t="s">
        <v>2203</v>
      </c>
      <c r="K51" s="3121" t="s">
        <v>2204</v>
      </c>
      <c r="L51" s="3121"/>
      <c r="M51" s="2484" t="s">
        <v>2205</v>
      </c>
      <c r="N51" s="2484" t="s">
        <v>2206</v>
      </c>
      <c r="O51" s="2484" t="s">
        <v>2207</v>
      </c>
    </row>
    <row r="52" spans="1:35" ht="24" customHeight="1">
      <c r="A52" s="183" t="s">
        <v>2208</v>
      </c>
      <c r="B52" s="3057" t="s">
        <v>2209</v>
      </c>
      <c r="C52" s="3057"/>
      <c r="D52" s="182">
        <f ca="1">ROUND(D45*'数据-取费表'!B41/(1+'数据-取费表'!C42),0)</f>
        <v>875</v>
      </c>
      <c r="E52" s="11" t="s">
        <v>2210</v>
      </c>
      <c r="F52" s="184">
        <f>'数据-取费表'!B41</f>
        <v>5.6000000000000001E-2</v>
      </c>
      <c r="G52" s="2485"/>
      <c r="H52" s="138"/>
      <c r="I52" s="2483"/>
      <c r="J52" s="1811">
        <v>1</v>
      </c>
      <c r="K52" s="3122" t="s">
        <v>2211</v>
      </c>
      <c r="L52" s="3122"/>
      <c r="M52" s="1753">
        <f>D48</f>
        <v>0</v>
      </c>
      <c r="N52" s="1811" t="str">
        <f>E48</f>
        <v>销售额×税（费）率</v>
      </c>
      <c r="O52" s="1754" t="str">
        <f>F48</f>
        <v>免征</v>
      </c>
    </row>
    <row r="53" spans="1:35" ht="12" customHeight="1">
      <c r="A53" s="183" t="s">
        <v>2212</v>
      </c>
      <c r="B53" s="3080" t="s">
        <v>2213</v>
      </c>
      <c r="C53" s="3081"/>
      <c r="D53" s="182">
        <f ca="1">ROUND(D45*'数据-取费表'!B41/(1+'数据-取费表'!C42),0)</f>
        <v>875</v>
      </c>
      <c r="E53" s="11" t="s">
        <v>2210</v>
      </c>
      <c r="F53" s="184">
        <f>'数据-取费表'!B41</f>
        <v>5.6000000000000001E-2</v>
      </c>
      <c r="G53" s="2485"/>
      <c r="H53" s="138"/>
      <c r="I53" s="2483"/>
      <c r="J53" s="1811">
        <v>2</v>
      </c>
      <c r="K53" s="3122" t="s">
        <v>2214</v>
      </c>
      <c r="L53" s="3122"/>
      <c r="M53" s="1753">
        <f t="shared" ref="M53:O54" ca="1" si="0">D55</f>
        <v>8</v>
      </c>
      <c r="N53" s="1811" t="str">
        <f t="shared" si="0"/>
        <v>销售额×税（费）率</v>
      </c>
      <c r="O53" s="1754">
        <f t="shared" si="0"/>
        <v>5.0000000000000001E-4</v>
      </c>
    </row>
    <row r="54" spans="1:35" ht="12" customHeight="1">
      <c r="A54" s="183" t="s">
        <v>2215</v>
      </c>
      <c r="B54" s="3080" t="s">
        <v>2216</v>
      </c>
      <c r="C54" s="3081"/>
      <c r="D54" s="182">
        <f ca="1">C68</f>
        <v>874</v>
      </c>
      <c r="E54" s="30" t="s">
        <v>2217</v>
      </c>
      <c r="F54" s="184">
        <f>'数据-取费表'!B41</f>
        <v>5.6000000000000001E-2</v>
      </c>
      <c r="G54" s="2485"/>
      <c r="H54" s="2486"/>
      <c r="I54" s="2483"/>
      <c r="J54" s="1811">
        <v>3</v>
      </c>
      <c r="K54" s="3122" t="s">
        <v>2218</v>
      </c>
      <c r="L54" s="3122"/>
      <c r="M54" s="1753">
        <f t="shared" ca="1" si="0"/>
        <v>9280</v>
      </c>
      <c r="N54" s="1811" t="str">
        <f t="shared" si="0"/>
        <v>增值额×税（费）率</v>
      </c>
      <c r="O54" s="1755" t="str">
        <f t="shared" si="0"/>
        <v>——</v>
      </c>
    </row>
    <row r="55" spans="1:35" ht="24" customHeight="1">
      <c r="A55" s="3071" t="s">
        <v>2219</v>
      </c>
      <c r="B55" s="3072"/>
      <c r="C55" s="3072"/>
      <c r="D55" s="185">
        <f ca="1">IF(H55="个人住宅",0,ROUND(D45*I55,0))</f>
        <v>8</v>
      </c>
      <c r="E55" s="11" t="s">
        <v>2220</v>
      </c>
      <c r="F55" s="184">
        <f>IF(H55="正常",I55,"免征")</f>
        <v>5.0000000000000001E-4</v>
      </c>
      <c r="G55" s="2485"/>
      <c r="H55" s="2482" t="s">
        <v>2221</v>
      </c>
      <c r="I55" s="186">
        <f>'数据-取费表'!B49</f>
        <v>5.0000000000000001E-4</v>
      </c>
      <c r="J55" s="1811" t="str">
        <f>IF(H59="非个人房产","",4)</f>
        <v/>
      </c>
      <c r="K55" s="3122" t="str">
        <f>IF(H59="非个人房产","——","个人所得税")</f>
        <v>——</v>
      </c>
      <c r="L55" s="3122"/>
      <c r="M55" s="1756" t="str">
        <f>D59</f>
        <v>——</v>
      </c>
      <c r="N55" s="1809" t="str">
        <f>E59</f>
        <v>——</v>
      </c>
      <c r="O55" s="1757" t="str">
        <f>F59</f>
        <v>——</v>
      </c>
    </row>
    <row r="56" spans="1:35" ht="24.75">
      <c r="A56" s="3071" t="s">
        <v>2222</v>
      </c>
      <c r="B56" s="3072"/>
      <c r="C56" s="3072"/>
      <c r="D56" s="185">
        <f ca="1">IF(H56="个人住宅",D57,D58)</f>
        <v>9280</v>
      </c>
      <c r="E56" s="11" t="s">
        <v>2223</v>
      </c>
      <c r="F56" s="184" t="str">
        <f>IF(H56="正常",F58,"免征")</f>
        <v>——</v>
      </c>
      <c r="G56" s="2487" t="s">
        <v>2224</v>
      </c>
      <c r="H56" s="2488" t="s">
        <v>2221</v>
      </c>
      <c r="I56" s="2489"/>
      <c r="J56" s="1811" t="str">
        <f>IF(项目基本情况!K6="上海银行",IF(J55="",4,J55+1),"")</f>
        <v/>
      </c>
      <c r="K56" s="3145" t="str">
        <f>IF(项目基本情况!K6="上海银行","其他处置费用","")</f>
        <v/>
      </c>
      <c r="L56" s="3146"/>
      <c r="M56" s="1753" t="str">
        <f>IF(项目基本情况!K6="上海银行",M69,"")</f>
        <v/>
      </c>
      <c r="N56" s="3148" t="str">
        <f>IF(项目基本情况!K6="上海银行","包含处置中涉及的律师、诉讼、拍卖、评估等费用","")</f>
        <v/>
      </c>
      <c r="O56" s="3149"/>
    </row>
    <row r="57" spans="1:35" ht="12.75">
      <c r="A57" s="183" t="s">
        <v>2197</v>
      </c>
      <c r="B57" s="3087" t="s">
        <v>2225</v>
      </c>
      <c r="C57" s="3096"/>
      <c r="D57" s="187">
        <v>0</v>
      </c>
      <c r="E57" s="23" t="s">
        <v>2199</v>
      </c>
      <c r="F57" s="155"/>
      <c r="G57" s="2485"/>
      <c r="H57" s="2489"/>
      <c r="I57" s="2489"/>
      <c r="J57" s="3122">
        <f>IF(AND(J55="",J56=""),4,IF(项目基本情况!K6="上海银行",结果表!J56+1,结果表!J55+1))</f>
        <v>4</v>
      </c>
      <c r="K57" s="3122" t="s">
        <v>2226</v>
      </c>
      <c r="L57" s="2490" t="s">
        <v>2227</v>
      </c>
      <c r="M57" s="1758"/>
      <c r="N57" s="1759">
        <f ca="1">SUMIF(M52:M56,"&lt;9e307")</f>
        <v>9288</v>
      </c>
      <c r="O57" s="2491"/>
      <c r="P57" s="1752">
        <f ca="1">N57/M49</f>
        <v>0.56644508141733241</v>
      </c>
    </row>
    <row r="58" spans="1:35" ht="24.75">
      <c r="A58" s="183" t="s">
        <v>2208</v>
      </c>
      <c r="B58" s="3087" t="s">
        <v>2228</v>
      </c>
      <c r="C58" s="3088"/>
      <c r="D58" s="185">
        <f ca="1">IF(H58="转让取得",C81,C97)</f>
        <v>9280</v>
      </c>
      <c r="E58" s="11" t="s">
        <v>2223</v>
      </c>
      <c r="F58" s="24" t="s">
        <v>34</v>
      </c>
      <c r="G58" s="2485"/>
      <c r="H58" s="2488" t="s">
        <v>2229</v>
      </c>
      <c r="I58" s="2489"/>
      <c r="J58" s="3122"/>
      <c r="K58" s="3122"/>
      <c r="L58" s="2490" t="s">
        <v>2230</v>
      </c>
      <c r="M58" s="1760"/>
      <c r="N58" s="2492" t="str">
        <f ca="1">NUMBERSTRING(INT(N57*10000),2)&amp;"元整"</f>
        <v>玖仟贰佰捌拾捌万元整</v>
      </c>
      <c r="O58" s="2493"/>
    </row>
    <row r="59" spans="1:35" ht="24.75" thickBot="1">
      <c r="A59" s="3125" t="s">
        <v>2231</v>
      </c>
      <c r="B59" s="3126"/>
      <c r="C59" s="3126"/>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23">
        <f>J57+1</f>
        <v>5</v>
      </c>
      <c r="K59" s="3122" t="s">
        <v>2233</v>
      </c>
      <c r="L59" s="1811" t="s">
        <v>2227</v>
      </c>
      <c r="M59" s="1761"/>
      <c r="N59" s="1762">
        <f ca="1">M49-N57</f>
        <v>7109</v>
      </c>
      <c r="O59" s="2495"/>
    </row>
    <row r="60" spans="1:35" ht="12" customHeight="1">
      <c r="A60" s="2496"/>
      <c r="B60" s="2418"/>
      <c r="C60" s="2418"/>
      <c r="D60" s="2418"/>
      <c r="E60" s="2167"/>
      <c r="F60" s="2489"/>
      <c r="G60" s="2489"/>
      <c r="H60" s="2497"/>
      <c r="I60" s="138"/>
      <c r="J60" s="3124"/>
      <c r="K60" s="3122"/>
      <c r="L60" s="2490" t="s">
        <v>2230</v>
      </c>
      <c r="M60" s="1760"/>
      <c r="N60" s="2492" t="str">
        <f ca="1">NUMBERSTRING(INT(N59*10000),2)&amp;"元整"</f>
        <v>柒仟壹佰零玖万元整</v>
      </c>
      <c r="O60" s="2493"/>
    </row>
    <row r="61" spans="1:35" ht="13.5" thickBot="1">
      <c r="A61" s="3069" t="s">
        <v>2234</v>
      </c>
      <c r="B61" s="3069"/>
      <c r="C61" s="3069"/>
      <c r="D61" s="3069"/>
      <c r="E61" s="3069"/>
      <c r="F61" s="2489"/>
      <c r="G61" s="2489"/>
      <c r="H61" s="2497"/>
      <c r="I61" s="138"/>
      <c r="J61" s="1811">
        <f>J59+1</f>
        <v>6</v>
      </c>
      <c r="K61" s="3122" t="s">
        <v>2235</v>
      </c>
      <c r="L61" s="3122"/>
      <c r="M61" s="1763"/>
      <c r="N61" s="1764">
        <f ca="1">ROUND(N59*10000/'数据-汇总表'!E3,0)</f>
        <v>14735</v>
      </c>
      <c r="O61" s="2498"/>
    </row>
    <row r="62" spans="1:35" ht="12.75">
      <c r="A62" s="3085" t="s">
        <v>2236</v>
      </c>
      <c r="B62" s="3086"/>
      <c r="C62" s="1803"/>
      <c r="D62" s="1803" t="s">
        <v>2237</v>
      </c>
      <c r="E62" s="192" t="s">
        <v>2238</v>
      </c>
      <c r="F62" s="2489"/>
      <c r="G62" s="2489"/>
      <c r="H62" s="2497"/>
      <c r="I62" s="138"/>
    </row>
    <row r="63" spans="1:35" ht="12.75">
      <c r="A63" s="203" t="s">
        <v>775</v>
      </c>
      <c r="B63" s="193" t="s">
        <v>2239</v>
      </c>
      <c r="C63" s="194">
        <f ca="1">ROUND((C64+C65)/(1+'数据-取费表'!C42),0)</f>
        <v>15616</v>
      </c>
      <c r="D63" s="195"/>
      <c r="E63" s="196"/>
      <c r="F63" s="2489"/>
      <c r="G63" s="2489"/>
      <c r="H63" s="2497"/>
      <c r="I63" s="138"/>
      <c r="J63" s="3147" t="s">
        <v>2240</v>
      </c>
      <c r="K63" s="2499" t="s">
        <v>2241</v>
      </c>
      <c r="L63" s="1751">
        <f ca="1">IF(M49&gt;10000,M49*0.5%,IF(AND(M49&gt;1000,M49&lt;=10000),M49*1%,IF(AND(M49&gt;100,M49&lt;=1000),M49*3%,IF(AND(M49&gt;10,M49&lt;=100),M49*5%,M49*8%))))</f>
        <v>81.984999999999999</v>
      </c>
      <c r="M63" s="24">
        <f ca="1">ROUND(L63,1)</f>
        <v>82</v>
      </c>
      <c r="Z63" s="2423"/>
      <c r="AI63" s="2424"/>
    </row>
    <row r="64" spans="1:35" ht="14.25" customHeight="1">
      <c r="A64" s="197" t="s">
        <v>770</v>
      </c>
      <c r="B64" s="198" t="s">
        <v>2242</v>
      </c>
      <c r="C64" s="199">
        <f ca="1">D45</f>
        <v>16397</v>
      </c>
      <c r="D64" s="200" t="s">
        <v>32</v>
      </c>
      <c r="E64" s="201"/>
      <c r="F64" s="2489"/>
      <c r="G64" s="2489"/>
      <c r="H64" s="2497"/>
      <c r="I64" s="138"/>
      <c r="J64" s="3147"/>
      <c r="K64" s="2499" t="s">
        <v>2243</v>
      </c>
      <c r="L64" s="1751">
        <f ca="1">IF(M49&gt;2000,M49*0.5%,IF(AND(M49&gt;1000,M49&lt;=2000),M49*0.6%,IF(AND(M49&gt;500,M49&lt;=1000),M49*0.7%,IF(AND(M49&gt;200,M49&lt;=500),M49*0.8%,IF(AND(M49&gt;100,M49&lt;=200),M49*0.9%,IF(AND(M49&gt;50,M49&lt;=100),M49*1%,IF(AND(M49&gt;20,M49&lt;=50),M49*1.5%,IF(AND(M49&gt;10,M49&lt;=20),M49*2%,IF(AND(M49&gt;1,M49&lt;=10),M49*2.5%)))))))))</f>
        <v>81.984999999999999</v>
      </c>
      <c r="M64" s="24">
        <f t="shared" ref="M64:M65" ca="1" si="1">ROUND(L64,1)</f>
        <v>82</v>
      </c>
      <c r="N64" s="138" t="s">
        <v>2244</v>
      </c>
      <c r="Z64" s="2423"/>
      <c r="AI64" s="2424"/>
    </row>
    <row r="65" spans="1:35" ht="14.25" customHeight="1">
      <c r="A65" s="197" t="s">
        <v>771</v>
      </c>
      <c r="B65" s="198" t="s">
        <v>2245</v>
      </c>
      <c r="C65" s="202"/>
      <c r="D65" s="200"/>
      <c r="E65" s="201"/>
      <c r="F65" s="2489"/>
      <c r="G65" s="2489"/>
      <c r="H65" s="2497"/>
      <c r="I65" s="138"/>
      <c r="J65" s="3147"/>
      <c r="K65" s="2499" t="s">
        <v>2246</v>
      </c>
      <c r="L65" s="1751">
        <f ca="1">IF(M49&gt;1000,M49*0.1%,IF(AND(M49&gt;500,M49&lt;=1000),M49*0.5%,IF(AND(M49&gt;50,M49&lt;=500),M49*1%,IF(AND(M49&gt;1,M49&lt;=50),M49*1.5%))))</f>
        <v>16.397000000000002</v>
      </c>
      <c r="M65" s="24">
        <f t="shared" ca="1" si="1"/>
        <v>16.399999999999999</v>
      </c>
      <c r="N65" s="138" t="s">
        <v>2244</v>
      </c>
      <c r="Z65" s="2423"/>
      <c r="AI65" s="2424"/>
    </row>
    <row r="66" spans="1:35" ht="14.25" customHeight="1">
      <c r="A66" s="203" t="s">
        <v>772</v>
      </c>
      <c r="B66" s="204" t="s">
        <v>2247</v>
      </c>
      <c r="C66" s="205"/>
      <c r="D66" s="206" t="s">
        <v>32</v>
      </c>
      <c r="E66" s="1775" t="s">
        <v>1371</v>
      </c>
      <c r="F66" s="2489"/>
      <c r="G66" s="2489"/>
      <c r="H66" s="2497"/>
      <c r="I66" s="138"/>
      <c r="J66" s="3147"/>
      <c r="K66" s="2499" t="s">
        <v>2248</v>
      </c>
      <c r="L66" s="1751">
        <f ca="1">M49*0.5%</f>
        <v>81.984999999999999</v>
      </c>
      <c r="M66" s="24">
        <f ca="1">IF(L66&gt;0.5,0.5,ROUND(L66,0))</f>
        <v>0.5</v>
      </c>
      <c r="N66" s="138" t="s">
        <v>2249</v>
      </c>
      <c r="Z66" s="2423"/>
      <c r="AI66" s="2424"/>
    </row>
    <row r="67" spans="1:35" ht="14.25" customHeight="1">
      <c r="A67" s="203" t="s">
        <v>773</v>
      </c>
      <c r="B67" s="204" t="s">
        <v>2250</v>
      </c>
      <c r="C67" s="207">
        <f ca="1">C63-C66</f>
        <v>15616</v>
      </c>
      <c r="D67" s="200" t="s">
        <v>32</v>
      </c>
      <c r="E67" s="201"/>
      <c r="F67" s="2489"/>
      <c r="G67" s="2489"/>
      <c r="H67" s="2497"/>
      <c r="I67" s="138"/>
      <c r="J67" s="3147"/>
      <c r="K67" s="2499" t="s">
        <v>2251</v>
      </c>
      <c r="L67" s="1751">
        <f ca="1">IF(M49&gt;=10000,(8.25+(M49-10000)*0.01%),IF(AND(M49&gt;=8000,M49&lt;10000),(7.85+(M49-8000)*0.02%),IF(AND(M49&gt;=5000,M49&lt;8000),(6.65+(M49-5000)*0.04%),IF(AND(M49&gt;=2000,M49&lt;5000),(4.25+(PM49-2000)*0.08%),IF(AND(M49&gt;=1000,M49&lt;2000),(2.75+(M49-1000)*0.15%),IF(AND(M49&gt;=100,M49&lt;1000),(0.5+(M49-100)*0.25%),IF(AND(M49&gt;0,M49&lt;100),M49*0.5%)))))))</f>
        <v>8.8896999999999995</v>
      </c>
      <c r="M67" s="24">
        <f ca="1">ROUND(L67*0.9,1)</f>
        <v>8</v>
      </c>
      <c r="Z67" s="2423"/>
      <c r="AI67" s="2424"/>
    </row>
    <row r="68" spans="1:35" ht="14.25" customHeight="1" thickBot="1">
      <c r="A68" s="208" t="s">
        <v>774</v>
      </c>
      <c r="B68" s="209" t="s">
        <v>2252</v>
      </c>
      <c r="C68" s="210">
        <f ca="1">IF(C67&lt;=0,0,ROUND(C67*D68,0))</f>
        <v>874</v>
      </c>
      <c r="D68" s="211">
        <f>'数据-取费表'!B41</f>
        <v>5.6000000000000001E-2</v>
      </c>
      <c r="E68" s="212"/>
      <c r="F68" s="2489"/>
      <c r="G68" s="2489"/>
      <c r="H68" s="2497"/>
      <c r="I68" s="138"/>
      <c r="J68" s="3147"/>
      <c r="K68" s="2499" t="s">
        <v>2253</v>
      </c>
      <c r="L68" s="1751">
        <f ca="1">IF(M49&gt;10000,M49*0.5%,IF(AND(M49&gt;5000,M49&lt;=10000),M49*1%,IF(AND(M49&gt;1000,M49&lt;=5000),M49*2%,IF(AND(M49&gt;200,M49&lt;=1000),M49*3%,M49*5%))))</f>
        <v>81.984999999999999</v>
      </c>
      <c r="M68" s="24">
        <f ca="1">ROUND(L68,1)</f>
        <v>82</v>
      </c>
      <c r="Z68" s="2423"/>
      <c r="AI68" s="2424"/>
    </row>
    <row r="69" spans="1:35" s="2446" customFormat="1" ht="16.5" customHeight="1">
      <c r="A69" s="2500"/>
      <c r="B69" s="2501"/>
      <c r="C69" s="2502"/>
      <c r="D69" s="2503"/>
      <c r="E69" s="2504"/>
      <c r="F69" s="2167"/>
      <c r="G69" s="2167"/>
      <c r="H69" s="2166"/>
      <c r="I69" s="2418"/>
      <c r="J69" s="3147"/>
      <c r="K69" s="2499" t="s">
        <v>2254</v>
      </c>
      <c r="L69" s="2505"/>
      <c r="M69" s="24">
        <f ca="1">ROUND(SUM(M63:M68),0)</f>
        <v>271</v>
      </c>
      <c r="N69" s="1752">
        <f ca="1">M69/M49</f>
        <v>1.6527413551259376E-2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6" t="s">
        <v>2255</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5" t="s">
        <v>2236</v>
      </c>
      <c r="B71" s="3086"/>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15616</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94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80" t="s">
        <v>2264</v>
      </c>
      <c r="F76" s="3057"/>
      <c r="G76" s="3057"/>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94</v>
      </c>
      <c r="D78" s="226">
        <f>'数据-取费表'!B43</f>
        <v>6.000000000000001E-3</v>
      </c>
      <c r="E78" s="3066" t="s">
        <v>2269</v>
      </c>
      <c r="F78" s="3067"/>
      <c r="G78" s="3067"/>
      <c r="H78" s="307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15522</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165.12765957446808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9280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2273</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5" t="s">
        <v>2236</v>
      </c>
      <c r="B84" s="3086"/>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15616</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94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9"/>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6" t="s">
        <v>2282</v>
      </c>
      <c r="F91" s="3067"/>
      <c r="G91" s="3067"/>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6" t="s">
        <v>2286</v>
      </c>
      <c r="F92" s="3067"/>
      <c r="G92" s="3067"/>
      <c r="H92" s="307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94</v>
      </c>
      <c r="D93" s="226">
        <f>'数据-取费表'!B43</f>
        <v>6.000000000000001E-3</v>
      </c>
      <c r="E93" s="3066" t="s">
        <v>2269</v>
      </c>
      <c r="F93" s="3067"/>
      <c r="G93" s="3067"/>
      <c r="H93" s="307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7" t="s">
        <v>2290</v>
      </c>
      <c r="F94" s="3078"/>
      <c r="G94" s="3078"/>
      <c r="H94" s="30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15522</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165.12765957446808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9280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2291</v>
      </c>
      <c r="B99" s="2418"/>
      <c r="C99" s="2418"/>
      <c r="D99" s="2418"/>
      <c r="E99" s="2167"/>
      <c r="F99" s="2167"/>
      <c r="G99" s="2167"/>
      <c r="H99" s="2166"/>
      <c r="I99" s="138"/>
    </row>
    <row r="100" spans="1:35" ht="18.75" customHeight="1">
      <c r="A100" s="3051" t="s">
        <v>2292</v>
      </c>
      <c r="B100" s="3052"/>
      <c r="C100" s="3052"/>
      <c r="D100" s="3068"/>
      <c r="E100" s="3052" t="s">
        <v>2293</v>
      </c>
      <c r="F100" s="3052"/>
      <c r="G100" s="3052"/>
      <c r="H100" s="3068"/>
      <c r="I100" s="138"/>
    </row>
    <row r="101" spans="1:35" ht="18.75" customHeight="1">
      <c r="A101" s="3130" t="s">
        <v>2294</v>
      </c>
      <c r="B101" s="3131"/>
      <c r="C101" s="735" t="str">
        <f>C4</f>
        <v>成本法</v>
      </c>
      <c r="D101" s="736" t="str">
        <f>D4</f>
        <v>收益法</v>
      </c>
      <c r="E101" s="3144" t="s">
        <v>2295</v>
      </c>
      <c r="F101" s="3098"/>
      <c r="G101" s="2520" t="s">
        <v>2296</v>
      </c>
      <c r="H101" s="1047">
        <f ca="1">H118</f>
        <v>16397</v>
      </c>
      <c r="I101" s="138"/>
    </row>
    <row r="102" spans="1:35" ht="18.75" customHeight="1">
      <c r="A102" s="3100" t="s">
        <v>2297</v>
      </c>
      <c r="B102" s="2520" t="s">
        <v>2296</v>
      </c>
      <c r="C102" s="735">
        <f ca="1">C19</f>
        <v>21479</v>
      </c>
      <c r="D102" s="736">
        <f ca="1">D19</f>
        <v>8773</v>
      </c>
      <c r="E102" s="3144"/>
      <c r="F102" s="3098"/>
      <c r="G102" s="2520" t="s">
        <v>2298</v>
      </c>
      <c r="H102" s="371">
        <f ca="1">I118</f>
        <v>33987</v>
      </c>
      <c r="I102" s="138"/>
    </row>
    <row r="103" spans="1:35" ht="42.75" customHeight="1">
      <c r="A103" s="3100"/>
      <c r="B103" s="2520" t="s">
        <v>2298</v>
      </c>
      <c r="C103" s="737">
        <f ca="1">C20</f>
        <v>44521</v>
      </c>
      <c r="D103" s="738">
        <f ca="1">D20</f>
        <v>18184</v>
      </c>
      <c r="E103" s="3139" t="s">
        <v>2299</v>
      </c>
      <c r="F103" s="3140"/>
      <c r="G103" s="2521" t="s">
        <v>2300</v>
      </c>
      <c r="H103" s="1047">
        <f>IF(D36="正常操作",H104+H105+H106,H105+H106)</f>
        <v>0</v>
      </c>
      <c r="I103" s="138"/>
    </row>
    <row r="104" spans="1:35" ht="18.75" customHeight="1">
      <c r="A104" s="3100" t="s">
        <v>2301</v>
      </c>
      <c r="B104" s="2522" t="s">
        <v>2296</v>
      </c>
      <c r="C104" s="739">
        <f ca="1">H118</f>
        <v>16397</v>
      </c>
      <c r="D104" s="740"/>
      <c r="E104" s="2268" t="s">
        <v>2302</v>
      </c>
      <c r="F104" s="2259"/>
      <c r="G104" s="2521" t="s">
        <v>2300</v>
      </c>
      <c r="H104" s="1048">
        <f>IF(D36="同一抵押权人同一抵押物续贷",C36&amp;"（未扣减，详见特别提示）",C36)</f>
        <v>0</v>
      </c>
      <c r="I104" s="138"/>
    </row>
    <row r="105" spans="1:35" ht="18.75" customHeight="1" thickBot="1">
      <c r="A105" s="3101"/>
      <c r="B105" s="2523" t="s">
        <v>2298</v>
      </c>
      <c r="C105" s="741">
        <f ca="1">I118</f>
        <v>33987</v>
      </c>
      <c r="D105" s="742"/>
      <c r="E105" s="2268" t="s">
        <v>2303</v>
      </c>
      <c r="F105" s="2259"/>
      <c r="G105" s="2521" t="s">
        <v>2300</v>
      </c>
      <c r="H105" s="1048">
        <f>C37</f>
        <v>0</v>
      </c>
      <c r="I105" s="138"/>
    </row>
    <row r="106" spans="1:35" ht="18.75" customHeight="1">
      <c r="A106" s="2418" t="s">
        <v>2304</v>
      </c>
      <c r="B106" s="2418"/>
      <c r="C106" s="2418"/>
      <c r="D106" s="2418"/>
      <c r="E106" s="2524" t="s">
        <v>2305</v>
      </c>
      <c r="F106" s="2259"/>
      <c r="G106" s="2521" t="s">
        <v>2300</v>
      </c>
      <c r="H106" s="1048">
        <f>C38</f>
        <v>0</v>
      </c>
      <c r="I106" s="138"/>
    </row>
    <row r="107" spans="1:35" ht="18.75" customHeight="1">
      <c r="A107" s="138"/>
      <c r="B107" s="138"/>
      <c r="C107" s="138"/>
      <c r="D107" s="138"/>
      <c r="E107" s="3097" t="str">
        <f>IF(项目基本情况!E8="已注销","——","3.房地产抵押价值")</f>
        <v>3.房地产抵押价值</v>
      </c>
      <c r="F107" s="3098"/>
      <c r="G107" s="2520" t="s">
        <v>2296</v>
      </c>
      <c r="H107" s="1047">
        <f ca="1">IF(E107="——","——",H101-H103)</f>
        <v>16397</v>
      </c>
      <c r="I107" s="138"/>
    </row>
    <row r="108" spans="1:35" ht="18.75" customHeight="1">
      <c r="A108" s="138"/>
      <c r="B108" s="138"/>
      <c r="C108" s="138"/>
      <c r="D108" s="138"/>
      <c r="E108" s="3097"/>
      <c r="F108" s="3098"/>
      <c r="G108" s="2520" t="s">
        <v>2298</v>
      </c>
      <c r="H108" s="371">
        <f ca="1">ROUND(H107*10000/'数据-汇总表'!E3,0)</f>
        <v>33987</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0" t="s">
        <v>2296</v>
      </c>
      <c r="H109" s="348" t="str">
        <f>IF(E109="——","——",H101-H105-H106)</f>
        <v>——</v>
      </c>
      <c r="I109" s="138"/>
    </row>
    <row r="110" spans="1:35" ht="18.75" customHeight="1">
      <c r="A110" s="138"/>
      <c r="B110" s="138"/>
      <c r="C110" s="138"/>
      <c r="D110" s="138"/>
      <c r="E110" s="3097"/>
      <c r="F110" s="3098"/>
      <c r="G110" s="2520" t="s">
        <v>2298</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0" t="s">
        <v>2296</v>
      </c>
      <c r="H111" s="1047" t="str">
        <f>IF(E111="——","——",N59)</f>
        <v>——</v>
      </c>
      <c r="I111" s="138"/>
    </row>
    <row r="112" spans="1:35" ht="18.75" customHeight="1" thickBot="1">
      <c r="A112" s="138"/>
      <c r="B112" s="138"/>
      <c r="C112" s="138"/>
      <c r="D112" s="138"/>
      <c r="E112" s="3134"/>
      <c r="F112" s="3135"/>
      <c r="G112" s="2525" t="s">
        <v>2298</v>
      </c>
      <c r="H112" s="789" t="str">
        <f>IF(E111="——","——",N61)</f>
        <v>——</v>
      </c>
      <c r="I112" s="138"/>
    </row>
    <row r="113" spans="1:11" ht="18.75" customHeight="1">
      <c r="A113" s="138"/>
      <c r="B113" s="138"/>
      <c r="C113" s="138"/>
      <c r="D113" s="138"/>
      <c r="E113" s="3102" t="s">
        <v>2304</v>
      </c>
      <c r="F113" s="3102"/>
      <c r="G113" s="3102"/>
      <c r="H113" s="3102"/>
      <c r="I113" s="138"/>
    </row>
    <row r="114" spans="1:11" ht="3.75" customHeight="1">
      <c r="A114" s="2418"/>
      <c r="B114" s="2418"/>
      <c r="C114" s="2418"/>
      <c r="D114" s="2418"/>
      <c r="E114" s="2496"/>
      <c r="F114" s="2496"/>
      <c r="G114" s="2496"/>
      <c r="H114" s="2496"/>
      <c r="I114" s="2418"/>
    </row>
    <row r="115" spans="1:11" ht="18.75" customHeight="1">
      <c r="A115" s="3115" t="s">
        <v>2306</v>
      </c>
      <c r="B115" s="3116"/>
      <c r="C115" s="3116"/>
      <c r="D115" s="3116"/>
      <c r="E115" s="3116"/>
      <c r="F115" s="3116"/>
      <c r="G115" s="3116"/>
      <c r="H115" s="3116"/>
      <c r="I115" s="3117"/>
    </row>
    <row r="116" spans="1:11" ht="27" customHeight="1">
      <c r="A116" s="3008" t="s">
        <v>2307</v>
      </c>
      <c r="B116" s="3103" t="s">
        <v>2308</v>
      </c>
      <c r="C116" s="3103" t="s">
        <v>2309</v>
      </c>
      <c r="D116" s="3119" t="s">
        <v>3200</v>
      </c>
      <c r="E116" s="3120"/>
      <c r="F116" s="3111" t="s">
        <v>3199</v>
      </c>
      <c r="G116" s="3111"/>
      <c r="H116" s="3008" t="s">
        <v>2310</v>
      </c>
      <c r="I116" s="3008"/>
    </row>
    <row r="117" spans="1:11" ht="18.75" customHeight="1">
      <c r="A117" s="3008"/>
      <c r="B117" s="3104"/>
      <c r="C117" s="3104"/>
      <c r="D117" s="1797" t="s">
        <v>2311</v>
      </c>
      <c r="E117" s="1797" t="s">
        <v>2312</v>
      </c>
      <c r="F117" s="1797" t="s">
        <v>2311</v>
      </c>
      <c r="G117" s="1797" t="s">
        <v>2313</v>
      </c>
      <c r="H117" s="1797" t="s">
        <v>2311</v>
      </c>
      <c r="I117" s="1797" t="s">
        <v>2313</v>
      </c>
    </row>
    <row r="118" spans="1:11" ht="24.75" customHeight="1">
      <c r="A118" s="2526" t="str">
        <f>项目基本情况!S2</f>
        <v>北京市海淀区西翠路17号院22号楼102号等49套配套用房房地产</v>
      </c>
      <c r="B118" s="1797">
        <f>M18</f>
        <v>4824.4600000000037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16397</v>
      </c>
      <c r="I118" s="1797">
        <f ca="1">ROUND(IF(D32="楼面单价",C32,H118*10000/B118),0)</f>
        <v>33987</v>
      </c>
    </row>
    <row r="119" spans="1:11" ht="18.75" customHeight="1">
      <c r="A119" s="3008" t="s">
        <v>2314</v>
      </c>
      <c r="B119" s="3008"/>
      <c r="C119" s="3008"/>
      <c r="D119" s="3108" t="e">
        <f ca="1">NUMBERSTRING(INT(D118*10000),2)&amp;"元整"</f>
        <v>#REF!</v>
      </c>
      <c r="E119" s="3110"/>
      <c r="F119" s="3108" t="e">
        <f ca="1">NUMBERSTRING(INT(F118*10000),2)&amp;"元整"</f>
        <v>#REF!</v>
      </c>
      <c r="G119" s="3110"/>
      <c r="H119" s="3108" t="str">
        <f ca="1">NUMBERSTRING(INT(H118*10000),2)&amp;"元整"</f>
        <v>壹亿陆仟叁佰玖拾柒万元整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3" t="str">
        <f>IF(D120=0,"故，本次评估不存在"&amp;A120,"故，本次评估"&amp;A120&amp;"为人民币"&amp;D120&amp;"万元整。")</f>
        <v>故，本次评估不存在估价师知悉的法定优先受偿款</v>
      </c>
    </row>
    <row r="121" spans="1:11" ht="18.75" customHeight="1">
      <c r="A121" s="3112" t="s">
        <v>2314</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16397</v>
      </c>
      <c r="E122" s="3137"/>
      <c r="F122" s="3137"/>
      <c r="G122" s="3137"/>
      <c r="H122" s="3137"/>
      <c r="I122" s="3138"/>
    </row>
    <row r="123" spans="1:11" ht="18.75" customHeight="1">
      <c r="A123" s="3008" t="s">
        <v>2314</v>
      </c>
      <c r="B123" s="3008"/>
      <c r="C123" s="3008"/>
      <c r="D123" s="3108" t="str">
        <f ca="1">NUMBERSTRING(INT(D122*10000),2)&amp;"元整"</f>
        <v>壹亿陆仟叁佰玖拾柒万元整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2314</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2314</v>
      </c>
      <c r="B127" s="3008"/>
      <c r="C127" s="3008"/>
      <c r="D127" s="3108" t="e">
        <f>NUMBERSTRING(INT(D126*10000),2)&amp;"元整"</f>
        <v>#VALUE!</v>
      </c>
      <c r="E127" s="3109"/>
      <c r="F127" s="3109"/>
      <c r="G127" s="3109"/>
      <c r="H127" s="3109"/>
      <c r="I127" s="3110"/>
    </row>
    <row r="128" spans="1:11" ht="21.75" customHeight="1">
      <c r="A128" s="3118" t="s">
        <v>2315</v>
      </c>
      <c r="B128" s="3118"/>
      <c r="C128" s="3118"/>
      <c r="D128" s="3118"/>
      <c r="E128" s="3118"/>
      <c r="F128" s="3118"/>
      <c r="G128" s="3118"/>
      <c r="H128" s="3118"/>
      <c r="I128" s="3118"/>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2318</v>
      </c>
      <c r="G135" s="2544"/>
      <c r="H135" s="2544"/>
      <c r="I135" s="2545" t="s">
        <v>2319</v>
      </c>
    </row>
    <row r="136" spans="1:35" ht="21.75" customHeight="1">
      <c r="A136" s="794"/>
      <c r="B136" s="2546"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2321</v>
      </c>
    </row>
    <row r="139" spans="1:35" ht="21.75" customHeight="1">
      <c r="A139" s="794"/>
      <c r="B139" s="2546" t="s">
        <v>2322</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2321</v>
      </c>
    </row>
    <row r="142" spans="1:35" ht="21.75" customHeight="1">
      <c r="A142" s="794"/>
      <c r="B142" s="2546"/>
      <c r="C142" s="2547"/>
      <c r="D142" s="2548"/>
      <c r="E142" s="2548"/>
      <c r="F142" s="2342"/>
      <c r="G142" s="794"/>
      <c r="H142" s="794"/>
      <c r="I142" s="794"/>
    </row>
    <row r="143" spans="1:35" s="139" customFormat="1" ht="21.75" customHeight="1">
      <c r="A143" s="794"/>
      <c r="B143" s="2546"/>
      <c r="C143" s="2547"/>
      <c r="D143" s="2548"/>
      <c r="E143" s="2548"/>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5" sqref="C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9" t="s">
        <v>1377</v>
      </c>
      <c r="C1" s="242"/>
      <c r="D1" s="242"/>
      <c r="E1" s="242"/>
      <c r="F1" s="242"/>
      <c r="G1" s="1381">
        <f>MATCH(B1,'数据-取费表'!A6:A16,0)+5</f>
        <v>6</v>
      </c>
    </row>
    <row r="2" spans="1:9" s="244" customFormat="1" ht="18" customHeight="1">
      <c r="A2" s="245" t="s">
        <v>2324</v>
      </c>
      <c r="B2" s="246">
        <f ca="1">IF(D2="——",C52,C52-E2)</f>
        <v>21479</v>
      </c>
      <c r="C2" s="243" t="s">
        <v>2325</v>
      </c>
      <c r="D2" s="2549" t="s">
        <v>70</v>
      </c>
      <c r="E2" s="1442"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44521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13533</v>
      </c>
      <c r="D5" s="255" t="s">
        <v>2331</v>
      </c>
      <c r="E5" s="256" t="s">
        <v>2332</v>
      </c>
      <c r="F5" s="256" t="s">
        <v>2333</v>
      </c>
      <c r="G5" s="257"/>
    </row>
    <row r="6" spans="1:9" s="258" customFormat="1" ht="13.5" customHeight="1">
      <c r="A6" s="951" t="s">
        <v>2334</v>
      </c>
      <c r="B6" s="259" t="s">
        <v>2335</v>
      </c>
      <c r="C6" s="260">
        <f ca="1">基准地价修正!V2+基准地价修正!V3+基准地价修正!V4+基准地价修正!V5</f>
        <v>13039</v>
      </c>
      <c r="D6" s="261"/>
      <c r="E6" s="262"/>
      <c r="F6" s="262"/>
      <c r="G6" s="263"/>
    </row>
    <row r="7" spans="1:9" s="258" customFormat="1" ht="13.5" customHeight="1">
      <c r="A7" s="951" t="s">
        <v>2336</v>
      </c>
      <c r="B7" s="259" t="s">
        <v>2337</v>
      </c>
      <c r="C7" s="264">
        <f ca="1">ROUND(C6*F7,0)</f>
        <v>398</v>
      </c>
      <c r="D7" s="264"/>
      <c r="E7" s="262"/>
      <c r="F7" s="265">
        <f>'数据-取费表'!B48+'数据-取费表'!B49</f>
        <v>3.0499999999999999E-2</v>
      </c>
      <c r="G7" s="263"/>
    </row>
    <row r="8" spans="1:9" s="267" customFormat="1">
      <c r="A8" s="951" t="s">
        <v>2338</v>
      </c>
      <c r="B8" s="259" t="s">
        <v>2339</v>
      </c>
      <c r="C8" s="264">
        <f ca="1">IF(G8="已包含在土地购买价格中","0",IF(B1="",'数据-取费表'!B29,IF(G9="全部缴纳",C9+C10,H9)))</f>
        <v>96</v>
      </c>
      <c r="D8" s="266"/>
      <c r="E8" s="264"/>
      <c r="F8" s="265"/>
      <c r="G8" s="2552" t="s">
        <v>3171</v>
      </c>
    </row>
    <row r="9" spans="1:9" s="258" customFormat="1" ht="13.5" customHeight="1">
      <c r="A9" s="952" t="s">
        <v>800</v>
      </c>
      <c r="B9" s="268" t="s">
        <v>2340</v>
      </c>
      <c r="C9" s="269">
        <f ca="1">ROUND(D9*E9/10000,0)</f>
        <v>0</v>
      </c>
      <c r="D9" s="1034">
        <f ca="1">IF(B1="",'数据-汇总表'!E5,IF(INDIRECT("'数据-取费表'!c"&amp;$G$1)="住宅",INDIRECT("'数据-取费表'!k"&amp;$G$1),0))</f>
        <v>0</v>
      </c>
      <c r="E9" s="269">
        <f>'数据-取费表'!B27</f>
        <v>160</v>
      </c>
      <c r="F9" s="265"/>
      <c r="G9" s="2553" t="s">
        <v>3169</v>
      </c>
      <c r="H9" s="1392"/>
      <c r="I9" s="2554" t="s">
        <v>2341</v>
      </c>
    </row>
    <row r="10" spans="1:9" s="258" customFormat="1" ht="13.5" customHeight="1">
      <c r="A10" s="952" t="s">
        <v>801</v>
      </c>
      <c r="B10" s="268" t="s">
        <v>2342</v>
      </c>
      <c r="C10" s="269">
        <f ca="1">ROUND(D10*E10/10000,0)</f>
        <v>96</v>
      </c>
      <c r="D10" s="1034">
        <f ca="1">IF(B1="",'数据-汇总表'!E6,IF(INDIRECT("'数据-取费表'!c"&amp;$G$1)="住宅",INDIRECT("'数据-取费表'!s"&amp;$G$1),INDIRECT("'数据-取费表'!k"&amp;$G$1)+INDIRECT("'数据-取费表'!s"&amp;$G$1)))</f>
        <v>4824.4600000000037</v>
      </c>
      <c r="E10" s="269">
        <f>'数据-取费表'!B28</f>
        <v>200</v>
      </c>
      <c r="F10" s="265"/>
      <c r="G10" s="270"/>
    </row>
    <row r="11" spans="1:9" s="258" customFormat="1" ht="13.5" hidden="1" customHeight="1">
      <c r="A11" s="271" t="s">
        <v>7</v>
      </c>
      <c r="B11" s="259" t="s">
        <v>2343</v>
      </c>
      <c r="C11" s="255"/>
      <c r="D11" s="1036"/>
      <c r="E11" s="262"/>
      <c r="F11" s="262"/>
      <c r="G11" s="263"/>
    </row>
    <row r="12" spans="1:9" s="258" customFormat="1" ht="13.5" hidden="1" customHeight="1">
      <c r="A12" s="271" t="s">
        <v>8</v>
      </c>
      <c r="B12" s="259" t="s">
        <v>2344</v>
      </c>
      <c r="C12" s="255">
        <v>0</v>
      </c>
      <c r="D12" s="1036"/>
      <c r="E12" s="272"/>
      <c r="F12" s="265">
        <v>3.0499999999999999E-2</v>
      </c>
      <c r="G12" s="263"/>
    </row>
    <row r="13" spans="1:9" s="258" customFormat="1" ht="13.5" hidden="1" customHeight="1">
      <c r="A13" s="271" t="s">
        <v>9</v>
      </c>
      <c r="B13" s="259" t="s">
        <v>2345</v>
      </c>
      <c r="C13" s="255"/>
      <c r="D13" s="1036"/>
      <c r="E13" s="262"/>
      <c r="F13" s="262"/>
      <c r="G13" s="263"/>
    </row>
    <row r="14" spans="1:9" s="258" customFormat="1" ht="13.5" hidden="1" customHeight="1">
      <c r="A14" s="271" t="s">
        <v>10</v>
      </c>
      <c r="B14" s="259" t="s">
        <v>2346</v>
      </c>
      <c r="C14" s="255"/>
      <c r="D14" s="1036"/>
      <c r="E14" s="262"/>
      <c r="F14" s="262"/>
      <c r="G14" s="263" t="s">
        <v>2347</v>
      </c>
    </row>
    <row r="15" spans="1:9" s="258" customFormat="1" ht="13.5" hidden="1" customHeight="1">
      <c r="A15" s="271" t="s">
        <v>11</v>
      </c>
      <c r="B15" s="259" t="s">
        <v>2348</v>
      </c>
      <c r="C15" s="264"/>
      <c r="D15" s="1036"/>
      <c r="E15" s="262"/>
      <c r="F15" s="262"/>
      <c r="G15" s="263" t="s">
        <v>2349</v>
      </c>
    </row>
    <row r="16" spans="1:9" s="258" customFormat="1" ht="13.5" hidden="1" customHeight="1">
      <c r="A16" s="271" t="s">
        <v>12</v>
      </c>
      <c r="B16" s="259" t="s">
        <v>2346</v>
      </c>
      <c r="C16" s="264"/>
      <c r="D16" s="1036"/>
      <c r="E16" s="262"/>
      <c r="F16" s="262"/>
      <c r="G16" s="263"/>
    </row>
    <row r="17" spans="1:7" s="258" customFormat="1" ht="13.5" hidden="1" customHeight="1">
      <c r="A17" s="271" t="s">
        <v>13</v>
      </c>
      <c r="B17" s="259" t="s">
        <v>2350</v>
      </c>
      <c r="C17" s="273"/>
      <c r="D17" s="1037"/>
      <c r="E17" s="273"/>
      <c r="F17" s="273"/>
      <c r="G17" s="263" t="s">
        <v>2349</v>
      </c>
    </row>
    <row r="18" spans="1:7" s="258" customFormat="1" ht="13.5" hidden="1" customHeight="1">
      <c r="A18" s="271" t="s">
        <v>14</v>
      </c>
      <c r="B18" s="259" t="s">
        <v>2351</v>
      </c>
      <c r="C18" s="264">
        <v>0</v>
      </c>
      <c r="D18" s="1036"/>
      <c r="E18" s="262"/>
      <c r="F18" s="265">
        <v>3.0499999999999999E-2</v>
      </c>
      <c r="G18" s="263" t="s">
        <v>2352</v>
      </c>
    </row>
    <row r="19" spans="1:7" s="267" customFormat="1" ht="13.5" customHeight="1">
      <c r="A19" s="299" t="s">
        <v>2353</v>
      </c>
      <c r="B19" s="254" t="s">
        <v>2354</v>
      </c>
      <c r="C19" s="255" t="str">
        <f>IF(G19="已包含在土地取得成本中","0",ROUND(D19*E19/10000,0))</f>
        <v>0</v>
      </c>
      <c r="D19" s="1038">
        <f ca="1">D9+D10</f>
        <v>4824.4600000000037</v>
      </c>
      <c r="E19" s="255">
        <f>'数据-取费表'!B31</f>
        <v>200</v>
      </c>
      <c r="F19" s="275"/>
      <c r="G19" s="2552" t="s">
        <v>3170</v>
      </c>
    </row>
    <row r="20" spans="1:7" s="258" customFormat="1" ht="13.5" customHeight="1">
      <c r="A20" s="299" t="s">
        <v>2355</v>
      </c>
      <c r="B20" s="254" t="s">
        <v>2356</v>
      </c>
      <c r="C20" s="276">
        <f ca="1">ROUND((C5+C19)*F20,0)</f>
        <v>271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6">
        <f ca="1">ROUND(SUM(C23:C25),0)</f>
        <v>1329</v>
      </c>
      <c r="D22" s="279">
        <f ca="1">C26</f>
        <v>1E-3</v>
      </c>
      <c r="E22" s="280" t="s">
        <v>2360</v>
      </c>
      <c r="F22" s="281">
        <f ca="1">'数据-取费表'!B40</f>
        <v>4.7500000000000001E-2</v>
      </c>
      <c r="G22" s="278" t="str">
        <f>IF('数据-取费表'!B22&lt;=1,"单利计息","复利计息")</f>
        <v>复利计息</v>
      </c>
    </row>
    <row r="23" spans="1:7" s="258" customFormat="1" ht="13.5" customHeight="1">
      <c r="A23" s="953" t="s">
        <v>2364</v>
      </c>
      <c r="B23" s="259" t="s">
        <v>2365</v>
      </c>
      <c r="C23" s="1357">
        <f ca="1">ROUND(IF('数据-取费表'!B22&lt;=1,C5*F22*'数据-取费表'!B23,C5*(POWER((1+F22),'数据-取费表'!B23)-1)),0)</f>
        <v>1316</v>
      </c>
      <c r="D23" s="282"/>
      <c r="E23" s="282"/>
      <c r="F23" s="283"/>
      <c r="G23" s="284" t="s">
        <v>2366</v>
      </c>
    </row>
    <row r="24" spans="1:7" s="258" customFormat="1" ht="13.5" customHeight="1">
      <c r="A24" s="953" t="s">
        <v>2367</v>
      </c>
      <c r="B24" s="259" t="s">
        <v>2368</v>
      </c>
      <c r="C24" s="1357">
        <f ca="1">ROUND(IF('数据-取费表'!B22&lt;=1,C19*F22*('数据-取费表'!B19/2+'数据-取费表'!B21),C19*(POWER((1+F22),('数据-取费表'!B19/2+'数据-取费表'!B21))-1)),0)</f>
        <v>0</v>
      </c>
      <c r="D24" s="282"/>
      <c r="E24" s="282"/>
      <c r="F24" s="283"/>
      <c r="G24" s="284" t="s">
        <v>2369</v>
      </c>
    </row>
    <row r="25" spans="1:7" s="258" customFormat="1" ht="24">
      <c r="A25" s="953" t="s">
        <v>2370</v>
      </c>
      <c r="B25" s="259" t="s">
        <v>2371</v>
      </c>
      <c r="C25" s="1357">
        <f ca="1">ROUND(IF('数据-取费表'!B22&lt;=1,C20*F22*'数据-取费表'!B23/2,C20*(POWER((1+F22),'数据-取费表'!B23/2)-1)),0)</f>
        <v>13</v>
      </c>
      <c r="D25" s="282"/>
      <c r="E25" s="285"/>
      <c r="F25" s="283"/>
      <c r="G25" s="286" t="s">
        <v>2372</v>
      </c>
    </row>
    <row r="26" spans="1:7" s="258" customFormat="1">
      <c r="A26" s="953"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2761</v>
      </c>
      <c r="D27" s="279">
        <f ca="1">C29</f>
        <v>4.0000000000000001E-3</v>
      </c>
      <c r="E27" s="280" t="s">
        <v>2376</v>
      </c>
      <c r="F27" s="290">
        <f ca="1">IF(B1="",'数据-取费表'!Q16,INDIRECT("'数据-取费表'!q"&amp;$G$1))</f>
        <v>0.2</v>
      </c>
      <c r="G27" s="291" t="s">
        <v>2377</v>
      </c>
    </row>
    <row r="28" spans="1:7" s="258" customFormat="1" ht="13.5" customHeight="1">
      <c r="A28" s="953" t="s">
        <v>791</v>
      </c>
      <c r="B28" s="292" t="s">
        <v>2378</v>
      </c>
      <c r="C28" s="293">
        <f ca="1">ROUND((C5+C19+C20)*F27*'数据-取费表'!B21/'数据-取费表'!B20,0)</f>
        <v>2761</v>
      </c>
      <c r="D28" s="279"/>
      <c r="E28" s="280"/>
      <c r="F28" s="290"/>
      <c r="G28" s="291"/>
    </row>
    <row r="29" spans="1:7" s="258" customFormat="1" ht="13.5" customHeight="1">
      <c r="A29" s="953"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19414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1608</v>
      </c>
      <c r="D33" s="276"/>
      <c r="E33" s="256"/>
      <c r="F33" s="285"/>
      <c r="G33" s="278"/>
    </row>
    <row r="34" spans="1:7" s="302" customFormat="1" ht="13.5" customHeight="1">
      <c r="A34" s="953" t="s">
        <v>791</v>
      </c>
      <c r="B34" s="259" t="s">
        <v>2387</v>
      </c>
      <c r="C34" s="264">
        <f ca="1">IF(B1="",IF(F34=100%,'数据-取费表'!M16,'数据-取费表'!O16),IF(F34=100%,INDIRECT("'数据-取费表'!m"&amp;$G$1)+INDIRECT("'数据-取费表'!t"&amp;$G$1),INDIRECT("'数据-取费表'!o"&amp;$G$1)+INDIRECT("'数据-取费表'!aq"&amp;$G$1)))</f>
        <v>1447</v>
      </c>
      <c r="D34" s="261"/>
      <c r="E34" s="264"/>
      <c r="F34" s="301">
        <f ca="1">IF('数据-取费表'!B24=0,1,IF(B1="",'数据-取费表'!N16,INDIRECT("'数据-取费表'!n"&amp;$G$1)))</f>
        <v>1</v>
      </c>
      <c r="G34" s="263" t="s">
        <v>2388</v>
      </c>
    </row>
    <row r="35" spans="1:7" ht="13.5" customHeight="1">
      <c r="A35" s="953" t="s">
        <v>796</v>
      </c>
      <c r="B35" s="259" t="s">
        <v>2389</v>
      </c>
      <c r="C35" s="264">
        <f ca="1">ROUND(C34*F35,0)</f>
        <v>43</v>
      </c>
      <c r="D35" s="264"/>
      <c r="E35" s="264"/>
      <c r="F35" s="303">
        <f>'数据-取费表'!B33</f>
        <v>0.03</v>
      </c>
      <c r="G35" s="263" t="s">
        <v>2390</v>
      </c>
    </row>
    <row r="36" spans="1:7" ht="24">
      <c r="A36" s="953"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3" t="s">
        <v>798</v>
      </c>
      <c r="B37" s="259" t="s">
        <v>2393</v>
      </c>
      <c r="C37" s="293">
        <f ca="1">ROUND(E37*D37*F34/10000,0)</f>
        <v>96</v>
      </c>
      <c r="D37" s="261">
        <f ca="1">D19</f>
        <v>4824.4600000000037</v>
      </c>
      <c r="E37" s="293">
        <f>'数据-取费表'!B35</f>
        <v>200</v>
      </c>
      <c r="F37" s="303"/>
      <c r="G37" s="305" t="s">
        <v>2394</v>
      </c>
    </row>
    <row r="38" spans="1:7" ht="13.5" customHeight="1">
      <c r="A38" s="953" t="s">
        <v>799</v>
      </c>
      <c r="B38" s="259" t="s">
        <v>2395</v>
      </c>
      <c r="C38" s="264">
        <f ca="1">ROUND(C34*F38,0)</f>
        <v>22</v>
      </c>
      <c r="D38" s="264"/>
      <c r="E38" s="264"/>
      <c r="F38" s="303">
        <f>'数据-取费表'!B36</f>
        <v>1.4999999999999999E-2</v>
      </c>
      <c r="G38" s="263" t="s">
        <v>2390</v>
      </c>
    </row>
    <row r="39" spans="1:7" s="258" customFormat="1" ht="13.5" customHeight="1">
      <c r="A39" s="299" t="s">
        <v>2396</v>
      </c>
      <c r="B39" s="254" t="s">
        <v>2397</v>
      </c>
      <c r="C39" s="276">
        <f ca="1">ROUND(C33*F20,0)</f>
        <v>32</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78</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ROUND(IF('数据-取费表'!B22&lt;=1,C33*F22*'数据-取费表'!B21/2,C33*(POWER((1+F22),'数据-取费表'!B21/2)-1)),0)</f>
        <v>76</v>
      </c>
      <c r="D42" s="282"/>
      <c r="E42" s="282"/>
      <c r="F42" s="283"/>
      <c r="G42" s="3150" t="s">
        <v>2406</v>
      </c>
    </row>
    <row r="43" spans="1:7" ht="13.5" customHeight="1">
      <c r="A43" s="953" t="s">
        <v>792</v>
      </c>
      <c r="B43" s="259" t="s">
        <v>2407</v>
      </c>
      <c r="C43" s="282">
        <f ca="1">ROUND(IF('数据-取费表'!B22&lt;=1,C39*F22*'数据-取费表'!B21/2,C39*(POWER((1+F22),'数据-取费表'!B21/2)-1)),0)</f>
        <v>2</v>
      </c>
      <c r="D43" s="282"/>
      <c r="E43" s="282"/>
      <c r="F43" s="283"/>
      <c r="G43" s="3151"/>
    </row>
    <row r="44" spans="1:7" ht="13.5" customHeight="1">
      <c r="A44" s="953" t="s">
        <v>793</v>
      </c>
      <c r="B44" s="259" t="s">
        <v>2408</v>
      </c>
      <c r="C44" s="282">
        <f ca="1">ROUND(IF('数据-取费表'!B22&lt;=1,C40*F22*'数据-取费表'!B21/2,C40*(POWER((1+F22),'数据-取费表'!B21/2)-1)),4)</f>
        <v>1E-3</v>
      </c>
      <c r="D44" s="282"/>
      <c r="E44" s="282"/>
      <c r="F44" s="283"/>
      <c r="G44" s="3152"/>
    </row>
    <row r="45" spans="1:7" s="258" customFormat="1" ht="13.5" customHeight="1">
      <c r="A45" s="299" t="s">
        <v>2409</v>
      </c>
      <c r="B45" s="288" t="s">
        <v>2375</v>
      </c>
      <c r="C45" s="289">
        <f ca="1">C46</f>
        <v>328</v>
      </c>
      <c r="D45" s="279">
        <f ca="1">C47</f>
        <v>4.0000000000000001E-3</v>
      </c>
      <c r="E45" s="280" t="s">
        <v>2401</v>
      </c>
      <c r="F45" s="290"/>
      <c r="G45" s="291" t="s">
        <v>2410</v>
      </c>
    </row>
    <row r="46" spans="1:7" s="258" customFormat="1" ht="13.5" customHeight="1">
      <c r="A46" s="953" t="s">
        <v>791</v>
      </c>
      <c r="B46" s="292" t="s">
        <v>2411</v>
      </c>
      <c r="C46" s="293">
        <f ca="1">ROUND((C33+C39)*F27,0)</f>
        <v>328</v>
      </c>
      <c r="D46" s="307"/>
      <c r="E46" s="280"/>
      <c r="F46" s="290"/>
      <c r="G46" s="291"/>
    </row>
    <row r="47" spans="1:7" s="258" customFormat="1" ht="13.5" customHeight="1">
      <c r="A47" s="953" t="s">
        <v>792</v>
      </c>
      <c r="B47" s="292" t="s">
        <v>2412</v>
      </c>
      <c r="C47" s="282">
        <f ca="1">ROUND(C40*F27,4)</f>
        <v>4.0000000000000001E-3</v>
      </c>
      <c r="D47" s="307"/>
      <c r="E47" s="280"/>
      <c r="F47" s="290"/>
      <c r="G47" s="291"/>
    </row>
    <row r="48" spans="1:7" s="258" customFormat="1" ht="13.5" customHeight="1">
      <c r="A48" s="299" t="s">
        <v>2374</v>
      </c>
      <c r="B48" s="254" t="s">
        <v>2413</v>
      </c>
      <c r="C48" s="1730">
        <f>ROUND(F30/(1+'数据-取费表'!C42),4)</f>
        <v>5.33E-2</v>
      </c>
      <c r="D48" s="280" t="s">
        <v>2401</v>
      </c>
      <c r="E48" s="276"/>
      <c r="F48" s="281"/>
      <c r="G48" s="278" t="s">
        <v>2414</v>
      </c>
    </row>
    <row r="49" spans="1:7" ht="16.5" customHeight="1">
      <c r="A49" s="299" t="s">
        <v>2380</v>
      </c>
      <c r="B49" s="254" t="s">
        <v>2415</v>
      </c>
      <c r="C49" s="276">
        <f ca="1">ROUND((C33+C39+C41+C45)/(1-C40-D41-D45-C48),0)</f>
        <v>2220</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2065</v>
      </c>
      <c r="D51" s="276"/>
      <c r="E51" s="276"/>
      <c r="F51" s="308"/>
      <c r="G51" s="278" t="s">
        <v>2422</v>
      </c>
    </row>
    <row r="52" spans="1:7" s="252" customFormat="1" ht="16.5" thickBot="1">
      <c r="A52" s="309" t="s">
        <v>2423</v>
      </c>
      <c r="B52" s="310"/>
      <c r="C52" s="311">
        <f ca="1">C31+C51</f>
        <v>21479</v>
      </c>
      <c r="D52" s="310"/>
      <c r="E52" s="310"/>
      <c r="F52" s="310"/>
      <c r="G52" s="312"/>
    </row>
    <row r="55" spans="1:7" ht="15">
      <c r="B55" s="314" t="s">
        <v>2424</v>
      </c>
      <c r="C55" s="315"/>
    </row>
    <row r="56" spans="1:7">
      <c r="B56" s="317" t="s">
        <v>1513</v>
      </c>
      <c r="C56" s="319">
        <f ca="1">1-C57</f>
        <v>0.90400000000000003</v>
      </c>
    </row>
    <row r="57" spans="1:7">
      <c r="B57" s="317" t="s">
        <v>1514</v>
      </c>
      <c r="C57" s="318">
        <f ca="1">ROUND(C51/C52,3)</f>
        <v>9.6000000000000002E-2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北京市海淀区西翠路17号院22号楼102号等49套配套用房房地产抵押价值预评估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4" t="str">
        <f>项目基本情况!B5</f>
        <v>北京华光同创科技有限公司、北京康思敏捷商贸有限公司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康正预评字2018-1-0492-P01DYGJ1号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9"/>
      <c r="C1" s="2555" t="s">
        <v>2425</v>
      </c>
      <c r="D1" s="242"/>
      <c r="E1" s="242"/>
      <c r="F1" s="242"/>
      <c r="G1" s="1381">
        <f>MATCH(B1,'数据-取费表'!A6:A16,0)+5</f>
        <v>7</v>
      </c>
      <c r="H1" s="1284" t="str">
        <f>IF(ISERROR(FIND("住宅",B1)),"非住宅","住宅")</f>
        <v>非住宅</v>
      </c>
    </row>
    <row r="2" spans="1:8" s="244" customFormat="1" ht="18" customHeight="1">
      <c r="A2" s="245" t="s">
        <v>2324</v>
      </c>
      <c r="B2" s="246">
        <f ca="1">ROUND(IF(D2="——",C52/10000,C52/10000-E2),0)</f>
        <v>2343</v>
      </c>
      <c r="C2" s="243" t="s">
        <v>2325</v>
      </c>
      <c r="D2" s="2549" t="s">
        <v>70</v>
      </c>
      <c r="E2" s="1442"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4857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964892</v>
      </c>
      <c r="D5" s="255" t="s">
        <v>2331</v>
      </c>
      <c r="E5" s="256" t="s">
        <v>2332</v>
      </c>
      <c r="F5" s="256" t="s">
        <v>2333</v>
      </c>
      <c r="G5" s="257"/>
    </row>
    <row r="6" spans="1:8" s="258" customFormat="1" ht="13.5" customHeight="1">
      <c r="A6" s="951" t="s">
        <v>2334</v>
      </c>
      <c r="B6" s="259" t="s">
        <v>2335</v>
      </c>
      <c r="C6" s="260"/>
      <c r="D6" s="261"/>
      <c r="E6" s="262"/>
      <c r="F6" s="262"/>
      <c r="G6" s="263"/>
    </row>
    <row r="7" spans="1:8" s="258" customFormat="1" ht="13.5" customHeight="1">
      <c r="A7" s="951" t="s">
        <v>2336</v>
      </c>
      <c r="B7" s="259" t="s">
        <v>2337</v>
      </c>
      <c r="C7" s="264">
        <f>ROUND(C6*F7,0)</f>
        <v>0</v>
      </c>
      <c r="D7" s="264"/>
      <c r="E7" s="262"/>
      <c r="F7" s="265">
        <f>'数据-取费表'!B48+'数据-取费表'!B49</f>
        <v>3.0499999999999999E-2</v>
      </c>
      <c r="G7" s="263"/>
    </row>
    <row r="8" spans="1:8" s="267" customFormat="1">
      <c r="A8" s="951" t="s">
        <v>2338</v>
      </c>
      <c r="B8" s="259" t="s">
        <v>2339</v>
      </c>
      <c r="C8" s="264">
        <f ca="1">IF(G8="已包含在土地购买价格中",0,C9+C10)</f>
        <v>964892</v>
      </c>
      <c r="D8" s="266"/>
      <c r="E8" s="264"/>
      <c r="F8" s="265"/>
      <c r="G8" s="2552"/>
    </row>
    <row r="9" spans="1:8" s="258" customFormat="1" ht="13.5" customHeight="1">
      <c r="A9" s="952" t="s">
        <v>800</v>
      </c>
      <c r="B9" s="268" t="s">
        <v>2340</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2342</v>
      </c>
      <c r="C10" s="269">
        <f ca="1">ROUND(D10*E10,0)</f>
        <v>964892</v>
      </c>
      <c r="D10" s="1034">
        <f ca="1">IF(B1="",'数据-汇总表'!E6,IF(INDIRECT("'数据-取费表'!c"&amp;$G$1)="住宅",INDIRECT("'数据-取费表'!s"&amp;$G$1),INDIRECT("'数据-取费表'!k"&amp;$G$1)+INDIRECT("'数据-取费表'!s"&amp;$G$1)))</f>
        <v>4824.4600000000037</v>
      </c>
      <c r="E10" s="269">
        <f>'数据-取费表'!B28</f>
        <v>200</v>
      </c>
      <c r="F10" s="265"/>
      <c r="G10" s="270"/>
    </row>
    <row r="11" spans="1:8" s="258" customFormat="1" ht="13.5" hidden="1" customHeight="1">
      <c r="A11" s="271" t="s">
        <v>7</v>
      </c>
      <c r="B11" s="259" t="s">
        <v>2343</v>
      </c>
      <c r="C11" s="255"/>
      <c r="D11" s="1036"/>
      <c r="E11" s="262"/>
      <c r="F11" s="262"/>
      <c r="G11" s="263"/>
    </row>
    <row r="12" spans="1:8" s="258" customFormat="1" ht="13.5" hidden="1" customHeight="1">
      <c r="A12" s="271" t="s">
        <v>8</v>
      </c>
      <c r="B12" s="259" t="s">
        <v>2426</v>
      </c>
      <c r="C12" s="255">
        <v>0</v>
      </c>
      <c r="D12" s="1036"/>
      <c r="E12" s="272"/>
      <c r="F12" s="265">
        <v>3.0499999999999999E-2</v>
      </c>
      <c r="G12" s="263"/>
    </row>
    <row r="13" spans="1:8" s="258" customFormat="1" ht="13.5" hidden="1" customHeight="1">
      <c r="A13" s="271" t="s">
        <v>9</v>
      </c>
      <c r="B13" s="259" t="s">
        <v>2427</v>
      </c>
      <c r="C13" s="255"/>
      <c r="D13" s="1036"/>
      <c r="E13" s="262"/>
      <c r="F13" s="262"/>
      <c r="G13" s="263"/>
    </row>
    <row r="14" spans="1:8" s="258" customFormat="1" ht="13.5" hidden="1" customHeight="1">
      <c r="A14" s="271" t="s">
        <v>10</v>
      </c>
      <c r="B14" s="259" t="s">
        <v>2339</v>
      </c>
      <c r="C14" s="255"/>
      <c r="D14" s="1036"/>
      <c r="E14" s="262"/>
      <c r="F14" s="262"/>
      <c r="G14" s="263" t="s">
        <v>2428</v>
      </c>
    </row>
    <row r="15" spans="1:8" s="258" customFormat="1" ht="13.5" hidden="1" customHeight="1">
      <c r="A15" s="271" t="s">
        <v>11</v>
      </c>
      <c r="B15" s="259" t="s">
        <v>2429</v>
      </c>
      <c r="C15" s="264"/>
      <c r="D15" s="1036"/>
      <c r="E15" s="262"/>
      <c r="F15" s="262"/>
      <c r="G15" s="263" t="s">
        <v>2430</v>
      </c>
    </row>
    <row r="16" spans="1:8" s="258" customFormat="1" ht="13.5" hidden="1" customHeight="1">
      <c r="A16" s="271" t="s">
        <v>12</v>
      </c>
      <c r="B16" s="259" t="s">
        <v>2339</v>
      </c>
      <c r="C16" s="264"/>
      <c r="D16" s="1036"/>
      <c r="E16" s="262"/>
      <c r="F16" s="262"/>
      <c r="G16" s="263"/>
    </row>
    <row r="17" spans="1:7" s="258" customFormat="1" ht="13.5" hidden="1" customHeight="1">
      <c r="A17" s="271" t="s">
        <v>13</v>
      </c>
      <c r="B17" s="259" t="s">
        <v>2431</v>
      </c>
      <c r="C17" s="273"/>
      <c r="D17" s="1037"/>
      <c r="E17" s="273"/>
      <c r="F17" s="273"/>
      <c r="G17" s="263" t="s">
        <v>2430</v>
      </c>
    </row>
    <row r="18" spans="1:7" s="258" customFormat="1" ht="13.5" hidden="1" customHeight="1">
      <c r="A18" s="271" t="s">
        <v>14</v>
      </c>
      <c r="B18" s="259" t="s">
        <v>2432</v>
      </c>
      <c r="C18" s="264">
        <v>0</v>
      </c>
      <c r="D18" s="1036"/>
      <c r="E18" s="262"/>
      <c r="F18" s="265">
        <v>3.0499999999999999E-2</v>
      </c>
      <c r="G18" s="263" t="s">
        <v>2433</v>
      </c>
    </row>
    <row r="19" spans="1:7" s="267" customFormat="1" ht="13.5" customHeight="1">
      <c r="A19" s="299" t="s">
        <v>2434</v>
      </c>
      <c r="B19" s="254" t="s">
        <v>2435</v>
      </c>
      <c r="C19" s="255">
        <f ca="1">IF(G19="已包含在土地取得成本中","0",ROUND(D19*E19,0))</f>
        <v>964892</v>
      </c>
      <c r="D19" s="1038">
        <f ca="1">D9+D10</f>
        <v>4824.4600000000037</v>
      </c>
      <c r="E19" s="255">
        <f>'数据-取费表'!B31</f>
        <v>200</v>
      </c>
      <c r="F19" s="275"/>
      <c r="G19" s="2552"/>
    </row>
    <row r="20" spans="1:7" s="258" customFormat="1" ht="13.5" customHeight="1">
      <c r="A20" s="299" t="s">
        <v>2436</v>
      </c>
      <c r="B20" s="254" t="s">
        <v>2437</v>
      </c>
      <c r="C20" s="276">
        <f ca="1">ROUND((C5+C19)*F20,0)</f>
        <v>38596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2">
        <f ca="1">ROUND(SUM(C23:C25),0)</f>
        <v>189517</v>
      </c>
      <c r="D22" s="279">
        <f ca="1">C26</f>
        <v>1E-3</v>
      </c>
      <c r="E22" s="280" t="s">
        <v>2441</v>
      </c>
      <c r="F22" s="281">
        <f ca="1">'数据-取费表'!B40</f>
        <v>4.7500000000000001E-2</v>
      </c>
      <c r="G22" s="278" t="str">
        <f>IF('数据-取费表'!B22&lt;=1,"单利计息","复利计息")</f>
        <v>复利计息</v>
      </c>
    </row>
    <row r="23" spans="1:7" s="258" customFormat="1" ht="13.5" customHeight="1">
      <c r="A23" s="953" t="s">
        <v>2334</v>
      </c>
      <c r="B23" s="259" t="s">
        <v>2445</v>
      </c>
      <c r="C23" s="1383">
        <f ca="1">ROUND(IF('数据-取费表'!B22&lt;=1,C5*F22*'数据-取费表'!B22,C5*(POWER((1+F22),'数据-取费表'!B22)-1)),0)</f>
        <v>93842</v>
      </c>
      <c r="D23" s="282"/>
      <c r="E23" s="282"/>
      <c r="F23" s="283"/>
      <c r="G23" s="284" t="s">
        <v>2446</v>
      </c>
    </row>
    <row r="24" spans="1:7" s="258" customFormat="1" ht="13.5" customHeight="1">
      <c r="A24" s="953" t="s">
        <v>2336</v>
      </c>
      <c r="B24" s="259" t="s">
        <v>2447</v>
      </c>
      <c r="C24" s="1383">
        <f ca="1">ROUND(IF('数据-取费表'!B22&lt;=1,C19*F22*('数据-取费表'!B19/2+'数据-取费表'!B20),C19*(POWER((1+F22),('数据-取费表'!B19/2+'数据-取费表'!B20))-1)),0)</f>
        <v>93842</v>
      </c>
      <c r="D24" s="282"/>
      <c r="E24" s="282"/>
      <c r="F24" s="283"/>
      <c r="G24" s="284" t="s">
        <v>2448</v>
      </c>
    </row>
    <row r="25" spans="1:7" s="258" customFormat="1" ht="24">
      <c r="A25" s="953" t="s">
        <v>2338</v>
      </c>
      <c r="B25" s="259" t="s">
        <v>2449</v>
      </c>
      <c r="C25" s="1383">
        <f ca="1">ROUND(IF('数据-取费表'!B22&lt;=1,C20*F22*'数据-取费表'!B22/2,C20*(POWER((1+F22),'数据-取费表'!B22/2)-1)),0)</f>
        <v>1833</v>
      </c>
      <c r="D25" s="282"/>
      <c r="E25" s="285"/>
      <c r="F25" s="283"/>
      <c r="G25" s="286" t="s">
        <v>2450</v>
      </c>
    </row>
    <row r="26" spans="1:7" s="258" customFormat="1">
      <c r="A26" s="953"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393676</v>
      </c>
      <c r="D27" s="279">
        <f ca="1">C29</f>
        <v>4.0000000000000001E-3</v>
      </c>
      <c r="E27" s="280" t="s">
        <v>2376</v>
      </c>
      <c r="F27" s="290">
        <f ca="1">IF(B1="",'数据-取费表'!Q16,INDIRECT("'数据-取费表'!q"&amp;$G$1))</f>
        <v>0.2</v>
      </c>
      <c r="G27" s="291" t="s">
        <v>2377</v>
      </c>
    </row>
    <row r="28" spans="1:7" s="258" customFormat="1" ht="13.5" customHeight="1">
      <c r="A28" s="953" t="s">
        <v>791</v>
      </c>
      <c r="B28" s="292" t="s">
        <v>2378</v>
      </c>
      <c r="C28" s="293">
        <f ca="1">ROUND((C5+C19+C20)*F27,0)</f>
        <v>393676</v>
      </c>
      <c r="D28" s="279"/>
      <c r="E28" s="280"/>
      <c r="F28" s="290"/>
      <c r="G28" s="291"/>
    </row>
    <row r="29" spans="1:7" s="258" customFormat="1" ht="13.5" customHeight="1">
      <c r="A29" s="953"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2768334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16089574</v>
      </c>
      <c r="D33" s="276"/>
      <c r="E33" s="256"/>
      <c r="F33" s="285"/>
      <c r="G33" s="278"/>
    </row>
    <row r="34" spans="1:7" s="302" customFormat="1" ht="13.5" customHeight="1">
      <c r="A34" s="953" t="s">
        <v>791</v>
      </c>
      <c r="B34" s="259" t="s">
        <v>2387</v>
      </c>
      <c r="C34" s="264">
        <f ca="1">ROUND(IF(B1="",SUMPRODUCT('数据-取费表'!K6:K14,'数据-取费表'!L6:L14),INDIRECT("'数据-取费表'!l"&amp;$G$1)*INDIRECT("'数据-取费表'!k"&amp;$G$1)+'数据-取费表'!L14*INDIRECT("'数据-取费表'!S"&amp;$G$1)),0)</f>
        <v>14473380</v>
      </c>
      <c r="D34" s="261"/>
      <c r="E34" s="264"/>
      <c r="F34" s="301"/>
      <c r="G34" s="263"/>
    </row>
    <row r="35" spans="1:7" ht="13.5" customHeight="1">
      <c r="A35" s="953" t="s">
        <v>796</v>
      </c>
      <c r="B35" s="259" t="s">
        <v>2389</v>
      </c>
      <c r="C35" s="264">
        <f ca="1">ROUND(C34*F35,0)</f>
        <v>434201</v>
      </c>
      <c r="D35" s="264"/>
      <c r="E35" s="264"/>
      <c r="F35" s="303">
        <f>'数据-取费表'!B33</f>
        <v>0.03</v>
      </c>
      <c r="G35" s="263" t="s">
        <v>2390</v>
      </c>
    </row>
    <row r="36" spans="1:7" ht="24">
      <c r="A36" s="953"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3" t="s">
        <v>798</v>
      </c>
      <c r="B37" s="259" t="s">
        <v>2393</v>
      </c>
      <c r="C37" s="293">
        <f ca="1">ROUND(E37*D37,0)</f>
        <v>964892</v>
      </c>
      <c r="D37" s="261">
        <f ca="1">D19</f>
        <v>4824.4600000000037</v>
      </c>
      <c r="E37" s="293">
        <f>'数据-取费表'!B35</f>
        <v>200</v>
      </c>
      <c r="F37" s="303"/>
      <c r="G37" s="305"/>
    </row>
    <row r="38" spans="1:7" ht="13.5" customHeight="1">
      <c r="A38" s="953" t="s">
        <v>799</v>
      </c>
      <c r="B38" s="259" t="s">
        <v>2395</v>
      </c>
      <c r="C38" s="264">
        <f ca="1">ROUND(C34*F38,0)</f>
        <v>217101</v>
      </c>
      <c r="D38" s="264"/>
      <c r="E38" s="264"/>
      <c r="F38" s="303">
        <f>'数据-取费表'!B36</f>
        <v>1.4999999999999999E-2</v>
      </c>
      <c r="G38" s="263" t="s">
        <v>2390</v>
      </c>
    </row>
    <row r="39" spans="1:7" s="258" customFormat="1" ht="13.5" customHeight="1">
      <c r="A39" s="299" t="s">
        <v>2396</v>
      </c>
      <c r="B39" s="254" t="s">
        <v>2397</v>
      </c>
      <c r="C39" s="276">
        <f ca="1">ROUND(C33*F20,0)</f>
        <v>321791</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779540</v>
      </c>
      <c r="D41" s="279">
        <f ca="1">C44</f>
        <v>1E-3</v>
      </c>
      <c r="E41" s="280" t="s">
        <v>2401</v>
      </c>
      <c r="F41" s="281"/>
      <c r="G41" s="278" t="str">
        <f>IF('数据-取费表'!B22&lt;=1,"单利计息","复利计息")</f>
        <v>复利计息</v>
      </c>
    </row>
    <row r="42" spans="1:7" ht="13.5" customHeight="1">
      <c r="A42" s="953" t="s">
        <v>791</v>
      </c>
      <c r="B42" s="259" t="s">
        <v>2405</v>
      </c>
      <c r="C42" s="282">
        <f ca="1">ROUND(IF('数据-取费表'!B22&lt;=1,C33*F22*'数据-取费表'!B20/2,C33*(POWER((1+F22),'数据-取费表'!B20/2)-1)),0)</f>
        <v>764255</v>
      </c>
      <c r="D42" s="282"/>
      <c r="E42" s="282"/>
      <c r="F42" s="283"/>
      <c r="G42" s="3150" t="s">
        <v>2453</v>
      </c>
    </row>
    <row r="43" spans="1:7" ht="13.5" customHeight="1">
      <c r="A43" s="953" t="s">
        <v>792</v>
      </c>
      <c r="B43" s="259" t="s">
        <v>2407</v>
      </c>
      <c r="C43" s="282">
        <f ca="1">ROUND(IF('数据-取费表'!B22&lt;=1,C39*F22*'数据-取费表'!B20/2,C39*(POWER((1+F22),'数据-取费表'!B20/2)-1)),0)</f>
        <v>15285</v>
      </c>
      <c r="D43" s="282"/>
      <c r="E43" s="282"/>
      <c r="F43" s="283"/>
      <c r="G43" s="3151"/>
    </row>
    <row r="44" spans="1:7" ht="13.5" customHeight="1">
      <c r="A44" s="953" t="s">
        <v>793</v>
      </c>
      <c r="B44" s="259" t="s">
        <v>2408</v>
      </c>
      <c r="C44" s="282">
        <f ca="1">ROUND(IF('数据-取费表'!B22&lt;=1,C40*F22*'数据-取费表'!B20/2,C40*(POWER((1+F22),'数据-取费表'!B20/2)-1)),4)</f>
        <v>1E-3</v>
      </c>
      <c r="D44" s="282"/>
      <c r="E44" s="282"/>
      <c r="F44" s="283"/>
      <c r="G44" s="3152"/>
    </row>
    <row r="45" spans="1:7" s="258" customFormat="1" ht="13.5" customHeight="1">
      <c r="A45" s="299" t="s">
        <v>2409</v>
      </c>
      <c r="B45" s="288" t="s">
        <v>2375</v>
      </c>
      <c r="C45" s="289">
        <f ca="1">C46</f>
        <v>3282273</v>
      </c>
      <c r="D45" s="279">
        <f ca="1">C47</f>
        <v>4.0000000000000001E-3</v>
      </c>
      <c r="E45" s="280" t="s">
        <v>2401</v>
      </c>
      <c r="F45" s="290"/>
      <c r="G45" s="291" t="s">
        <v>2410</v>
      </c>
    </row>
    <row r="46" spans="1:7" s="258" customFormat="1" ht="13.5" customHeight="1">
      <c r="A46" s="953" t="s">
        <v>791</v>
      </c>
      <c r="B46" s="292" t="s">
        <v>2411</v>
      </c>
      <c r="C46" s="293">
        <f ca="1">ROUND((C33+C39)*F27,0)</f>
        <v>3282273</v>
      </c>
      <c r="D46" s="307"/>
      <c r="E46" s="280"/>
      <c r="F46" s="290"/>
      <c r="G46" s="291"/>
    </row>
    <row r="47" spans="1:7" s="258" customFormat="1" ht="13.5" customHeight="1">
      <c r="A47" s="953"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22212410</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20657541</v>
      </c>
      <c r="D51" s="276"/>
      <c r="E51" s="276"/>
      <c r="F51" s="308"/>
      <c r="G51" s="278" t="s">
        <v>2422</v>
      </c>
    </row>
    <row r="52" spans="1:7" s="252" customFormat="1" ht="16.5" thickBot="1">
      <c r="A52" s="309" t="s">
        <v>2423</v>
      </c>
      <c r="B52" s="310"/>
      <c r="C52" s="311">
        <f ca="1">C31+C51</f>
        <v>23425875</v>
      </c>
      <c r="D52" s="310"/>
      <c r="E52" s="310"/>
      <c r="F52" s="310"/>
      <c r="G52" s="312"/>
    </row>
    <row r="55" spans="1:7" ht="15">
      <c r="B55" s="314" t="s">
        <v>2424</v>
      </c>
      <c r="C55" s="315"/>
    </row>
    <row r="56" spans="1:7">
      <c r="B56" s="317" t="s">
        <v>1513</v>
      </c>
      <c r="C56" s="319">
        <f ca="1">1-C57</f>
        <v>0.11799999999999999</v>
      </c>
    </row>
    <row r="57" spans="1:7">
      <c r="B57" s="317" t="s">
        <v>1514</v>
      </c>
      <c r="C57" s="318">
        <f ca="1">ROUND(C51/C52,3)</f>
        <v>0.88200000000000001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2456</v>
      </c>
      <c r="B1" s="1583"/>
      <c r="C1" s="1584"/>
      <c r="D1" s="1582"/>
      <c r="E1" s="320"/>
      <c r="F1" s="320"/>
      <c r="G1" s="1583"/>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8" customFormat="1" ht="16.5" customHeight="1">
      <c r="A4" s="955" t="s">
        <v>2459</v>
      </c>
      <c r="B4" s="956"/>
      <c r="C4" s="998">
        <f>SUM(C8:K8)</f>
        <v>0</v>
      </c>
      <c r="D4" s="956"/>
      <c r="E4" s="956"/>
      <c r="F4" s="956"/>
      <c r="G4" s="956"/>
      <c r="H4" s="956"/>
      <c r="I4" s="956"/>
      <c r="J4" s="956"/>
      <c r="K4" s="957"/>
    </row>
    <row r="5" spans="1:33" s="962" customFormat="1" ht="24.75">
      <c r="A5" s="959" t="s">
        <v>2460</v>
      </c>
      <c r="B5" s="960" t="s">
        <v>2461</v>
      </c>
      <c r="C5" s="2556" t="s">
        <v>2462</v>
      </c>
      <c r="D5" s="2556" t="s">
        <v>2463</v>
      </c>
      <c r="E5" s="2556" t="s">
        <v>2464</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2468</v>
      </c>
      <c r="B8" s="177" t="s">
        <v>2469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0.03</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4824.4600000000037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4824.4600000000037</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8"/>
      <c r="H18" s="1579"/>
      <c r="I18" s="2559"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2492</v>
      </c>
      <c r="C20" s="24">
        <f ca="1">ROUND(D20*E20/10000,0)</f>
        <v>96</v>
      </c>
      <c r="D20" s="1035">
        <f ca="1">IF(C1="",'数据-汇总表'!E6,IF(INDIRECT("'数据-取费表'!c"&amp;$K$1)="住宅",INDIRECT("'数据-取费表'!s"&amp;$K$1),INDIRECT("'数据-取费表'!k"&amp;$K$1)+INDIRECT("'数据-取费表'!s"&amp;$K$1)))</f>
        <v>4824.4600000000037</v>
      </c>
      <c r="E20" s="24">
        <f>'数据-取费表'!B28</f>
        <v>200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0.02</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0.02</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2506</v>
      </c>
      <c r="B28" s="2561" t="s">
        <v>2507</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62" t="s">
        <v>2511</v>
      </c>
      <c r="B31" s="1007" t="s">
        <v>2512</v>
      </c>
      <c r="C31" s="1008">
        <f>ROUND(C4*F31/(1+'数据-取费表'!C42),0)</f>
        <v>0</v>
      </c>
      <c r="D31" s="1009"/>
      <c r="E31" s="1010"/>
      <c r="F31" s="1011">
        <f>'数据-取费表'!B41</f>
        <v>5.6000000000000001E-2</v>
      </c>
      <c r="G31" s="1012" t="s">
        <v>2513</v>
      </c>
      <c r="H31" s="1013"/>
      <c r="I31" s="1013"/>
      <c r="J31" s="1013"/>
      <c r="K31" s="1014"/>
    </row>
    <row r="32" spans="1:33" s="972" customFormat="1" ht="13.5" customHeight="1" thickBot="1">
      <c r="A32" s="1002" t="s">
        <v>2514</v>
      </c>
      <c r="B32" s="1003"/>
      <c r="C32" s="1004">
        <f ca="1">ROUND((C4-C21-C22-C23-C25-C28-C31)/(1+C24+D25+D28),0)</f>
        <v>0</v>
      </c>
      <c r="D32" s="1003"/>
      <c r="E32" s="1003"/>
      <c r="F32" s="1003"/>
      <c r="G32" s="1005" t="s">
        <v>2515</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3" zoomScale="85" zoomScaleNormal="85" zoomScaleSheetLayoutView="90" workbookViewId="0">
      <selection activeCell="C45" sqref="C45"/>
    </sheetView>
  </sheetViews>
  <sheetFormatPr defaultColWidth="9" defaultRowHeight="12.75"/>
  <cols>
    <col min="1" max="1" width="9" style="302" customWidth="1"/>
    <col min="2" max="2" width="20.625" style="706" customWidth="1"/>
    <col min="3" max="3" width="11.875" style="706" customWidth="1"/>
    <col min="4" max="4" width="21.62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1377</v>
      </c>
      <c r="D1" s="1822" t="s">
        <v>70</v>
      </c>
      <c r="E1" s="1823" t="s">
        <v>1387</v>
      </c>
      <c r="F1" s="1285">
        <f ca="1">J53</f>
        <v>25.53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8773</v>
      </c>
      <c r="C2" s="1847" t="s">
        <v>1516</v>
      </c>
      <c r="D2" s="1847"/>
      <c r="E2" s="1848"/>
      <c r="F2" s="1849"/>
      <c r="G2" s="1850"/>
      <c r="H2" s="1842"/>
      <c r="I2" s="1842"/>
      <c r="J2" s="1842"/>
      <c r="K2" s="1843"/>
      <c r="L2" s="1842"/>
      <c r="M2" s="1842"/>
    </row>
    <row r="3" spans="1:37" ht="18" customHeight="1" thickBot="1">
      <c r="A3" s="1851" t="s">
        <v>1517</v>
      </c>
      <c r="B3" s="1852">
        <f ca="1">IF(ISERROR(B2*10000/F43),0,ROUND(B2*10000/F43,0))</f>
        <v>18184</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635</v>
      </c>
      <c r="D5" s="1824" t="s">
        <v>1402</v>
      </c>
      <c r="E5" s="1295"/>
      <c r="F5" s="1296"/>
      <c r="G5" s="1853"/>
      <c r="H5" s="344">
        <v>1</v>
      </c>
      <c r="I5" s="345" t="s">
        <v>1401</v>
      </c>
      <c r="J5" s="1294">
        <f ca="1">J6+J10+J12</f>
        <v>0</v>
      </c>
      <c r="K5" s="1824" t="s">
        <v>1402</v>
      </c>
      <c r="L5" s="1295"/>
      <c r="M5" s="1296"/>
    </row>
    <row r="6" spans="1:37" ht="18" customHeight="1">
      <c r="A6" s="1293" t="s">
        <v>1035</v>
      </c>
      <c r="B6" s="3155" t="s">
        <v>1403</v>
      </c>
      <c r="C6" s="1298">
        <f ca="1">ROUND(F6*F8*F7*(1-F9)/10000,0)</f>
        <v>634</v>
      </c>
      <c r="D6" s="164" t="s">
        <v>3029</v>
      </c>
      <c r="E6" s="347" t="s">
        <v>1405</v>
      </c>
      <c r="F6" s="348">
        <f ca="1">INDIRECT("'数据-取费表'!u"&amp;$G$1)</f>
        <v>4</v>
      </c>
      <c r="G6" s="1853"/>
      <c r="H6" s="1293" t="s">
        <v>1035</v>
      </c>
      <c r="I6" s="3155" t="s">
        <v>1403</v>
      </c>
      <c r="J6" s="346">
        <f ca="1">ROUND(M6*M8*M7*(1-M9)/10000,0)</f>
        <v>0</v>
      </c>
      <c r="K6" s="164" t="s">
        <v>3028</v>
      </c>
      <c r="L6" s="347" t="s">
        <v>1405</v>
      </c>
      <c r="M6" s="348">
        <f ca="1">INDIRECT("'数据-取费表'!z"&amp;$G$1)</f>
        <v>0</v>
      </c>
    </row>
    <row r="7" spans="1:37" ht="18" customHeight="1">
      <c r="A7" s="1297"/>
      <c r="B7" s="3156"/>
      <c r="C7" s="1299"/>
      <c r="D7" s="352"/>
      <c r="E7" s="1300" t="s">
        <v>1406</v>
      </c>
      <c r="F7" s="348">
        <f ca="1">IF(INDIRECT("'数据-取费表'!ah"&amp;$G$1)="",INDIRECT("'数据-取费表'!k"&amp;$G$1),INDIRECT("'数据-取费表'!ah"&amp;$G$1))</f>
        <v>4824.4600000000037</v>
      </c>
      <c r="G7" s="1853"/>
      <c r="H7" s="349"/>
      <c r="I7" s="3156"/>
      <c r="J7" s="351"/>
      <c r="K7" s="352"/>
      <c r="L7" s="347" t="s">
        <v>1406</v>
      </c>
      <c r="M7" s="348">
        <f ca="1">F7</f>
        <v>4824.4600000000037</v>
      </c>
    </row>
    <row r="8" spans="1:37" ht="18" customHeight="1">
      <c r="A8" s="349"/>
      <c r="B8" s="3156"/>
      <c r="C8" s="351"/>
      <c r="D8" s="352"/>
      <c r="E8" s="347" t="s">
        <v>1407</v>
      </c>
      <c r="F8" s="348">
        <f ca="1">INDIRECT("'数据-取费表'!ai"&amp;$G$1)</f>
        <v>365</v>
      </c>
      <c r="G8" s="1853"/>
      <c r="H8" s="349"/>
      <c r="I8" s="3156"/>
      <c r="J8" s="351"/>
      <c r="K8" s="352"/>
      <c r="L8" s="347" t="s">
        <v>1407</v>
      </c>
      <c r="M8" s="348">
        <f ca="1">INDIRECT("'数据-取费表'!ai"&amp;$G$1)</f>
        <v>365</v>
      </c>
    </row>
    <row r="9" spans="1:37" ht="18" customHeight="1">
      <c r="A9" s="349"/>
      <c r="B9" s="3157"/>
      <c r="C9" s="351"/>
      <c r="D9" s="352"/>
      <c r="E9" s="347" t="s">
        <v>1408</v>
      </c>
      <c r="F9" s="357">
        <f ca="1">INDIRECT("'数据-取费表'!w"&amp;$G$1)</f>
        <v>0.1</v>
      </c>
      <c r="G9" s="1853"/>
      <c r="H9" s="349"/>
      <c r="I9" s="3157"/>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3038</v>
      </c>
      <c r="E10" s="358" t="s">
        <v>1410</v>
      </c>
      <c r="F10" s="1368" t="s">
        <v>3175</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2065</v>
      </c>
      <c r="D13" s="1333" t="s">
        <v>1415</v>
      </c>
      <c r="E13" s="1333" t="s">
        <v>1416</v>
      </c>
      <c r="F13" s="1334">
        <f ca="1">INDIRECT("'数据-取费表'!y"&amp;$G$1)</f>
        <v>0.93</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1447</v>
      </c>
      <c r="D14" s="1802" t="s">
        <v>1418</v>
      </c>
      <c r="E14" s="1796"/>
      <c r="F14" s="364"/>
      <c r="G14" s="1853"/>
      <c r="H14" s="1203" t="s">
        <v>1035</v>
      </c>
      <c r="I14" s="347" t="s">
        <v>1419</v>
      </c>
      <c r="J14" s="24">
        <f ca="1">C29</f>
        <v>2220</v>
      </c>
      <c r="K14" s="15"/>
      <c r="L14" s="981"/>
      <c r="M14" s="982"/>
    </row>
    <row r="15" spans="1:37" s="1860" customFormat="1" ht="18" customHeight="1" thickBot="1">
      <c r="A15" s="1203" t="s">
        <v>1036</v>
      </c>
      <c r="B15" s="347" t="s">
        <v>1420</v>
      </c>
      <c r="C15" s="24">
        <f ca="1">ROUND(C14*F15,0)</f>
        <v>43</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52</v>
      </c>
      <c r="K16" s="1339" t="s">
        <v>1425</v>
      </c>
      <c r="L16" s="1340"/>
      <c r="M16" s="1296"/>
    </row>
    <row r="17" spans="1:37" s="1860" customFormat="1" ht="18" customHeight="1">
      <c r="A17" s="1203" t="s">
        <v>1390</v>
      </c>
      <c r="B17" s="347" t="s">
        <v>1426</v>
      </c>
      <c r="C17" s="24">
        <f ca="1">ROUND(F17*(F43+INDIRECT("'数据-取费表'!S"&amp;$G$1))/10000,0)</f>
        <v>96</v>
      </c>
      <c r="D17" s="347" t="s">
        <v>1427</v>
      </c>
      <c r="E17" s="347" t="s">
        <v>1428</v>
      </c>
      <c r="F17" s="26">
        <f>'数据-取费表'!B35</f>
        <v>200</v>
      </c>
      <c r="G17" s="1856"/>
      <c r="H17" s="1203" t="s">
        <v>1035</v>
      </c>
      <c r="I17" s="347" t="s">
        <v>1429</v>
      </c>
      <c r="J17" s="24">
        <f ca="1">ROUND(IF(项目基本情况!B11="自然人",J5*M17,J18+J19+J20),1)</f>
        <v>18.7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22</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1608</v>
      </c>
      <c r="D19" s="140" t="s">
        <v>1436</v>
      </c>
      <c r="E19" s="1820"/>
      <c r="F19" s="26"/>
      <c r="G19" s="1853"/>
      <c r="H19" s="1203" t="s">
        <v>1036</v>
      </c>
      <c r="I19" s="347" t="s">
        <v>1437</v>
      </c>
      <c r="J19" s="24">
        <f ca="1">IF(K19="按租金收入计税",ROUND(J5*M19,2),ROUND(C29*M19*0.7,2))</f>
        <v>18.649999999999999</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32</v>
      </c>
      <c r="D20" s="369" t="s">
        <v>1440</v>
      </c>
      <c r="E20" s="347" t="s">
        <v>1422</v>
      </c>
      <c r="F20" s="367">
        <f>'数据-取费表'!B37</f>
        <v>0.02</v>
      </c>
      <c r="G20" s="1856"/>
      <c r="H20" s="1203" t="s">
        <v>1389</v>
      </c>
      <c r="I20" s="164" t="s">
        <v>1441</v>
      </c>
      <c r="J20" s="25">
        <f ca="1">ROUND(M20*M21/10000,2)</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33.299999999999997</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-52</v>
      </c>
      <c r="K25" s="1347" t="s">
        <v>1464</v>
      </c>
      <c r="L25" s="1348"/>
      <c r="M25" s="1349"/>
    </row>
    <row r="26" spans="1:37" ht="24.75">
      <c r="A26" s="1203" t="s">
        <v>1034</v>
      </c>
      <c r="B26" s="347" t="s">
        <v>1465</v>
      </c>
      <c r="C26" s="24">
        <f ca="1">ROUND((C19+C20)*F26,0)</f>
        <v>328</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2220</v>
      </c>
      <c r="D29" s="1344"/>
      <c r="E29" s="1342"/>
      <c r="F29" s="1345"/>
      <c r="G29" s="1856"/>
      <c r="H29" s="380" t="s">
        <v>1033</v>
      </c>
      <c r="I29" s="381" t="s">
        <v>1479</v>
      </c>
      <c r="J29" s="382">
        <f ca="1">ROUND(J26/(1+F40)^F41,0)</f>
        <v>0</v>
      </c>
      <c r="K29" s="383" t="s">
        <v>1480</v>
      </c>
      <c r="L29" s="384"/>
      <c r="M29" s="385">
        <f ca="1">INDIRECT("'数据-取费表'!k"&amp;$G$1)</f>
        <v>4824.4600000000037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156</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110.1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33.869999999999997</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76.2</v>
      </c>
      <c r="D33" s="1830" t="s">
        <v>3179</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33.299999999999997</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3.1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9.5</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479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8773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25.53</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18184</v>
      </c>
      <c r="D43" s="383" t="s">
        <v>1488</v>
      </c>
      <c r="E43" s="384" t="s">
        <v>1489</v>
      </c>
      <c r="F43" s="385">
        <f ca="1">INDIRECT("'数据-取费表'!k"&amp;$G$1)</f>
        <v>4824.4600000000037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-11794</v>
      </c>
      <c r="D46" s="1874" t="str">
        <f>C2</f>
        <v>万元</v>
      </c>
      <c r="E46" s="1868"/>
      <c r="F46" s="1868"/>
      <c r="I46" s="2963" t="s">
        <v>3214</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3173</v>
      </c>
      <c r="K47" s="1884" t="s">
        <v>1527</v>
      </c>
      <c r="L47" s="1885">
        <f ca="1">INDIRECT("'数据-取费表'!d"&amp;$G$1)</f>
        <v>40</v>
      </c>
      <c r="M47" s="1840" t="str">
        <f>IF(ISNUMBER(FIND("住宅",C1)),"住宅","非住宅")</f>
        <v>非住宅</v>
      </c>
      <c r="O47" s="1886" t="s">
        <v>1040</v>
      </c>
      <c r="P47" s="1887" t="s">
        <v>1528</v>
      </c>
      <c r="Q47" s="1888">
        <f ca="1">C40+J29</f>
        <v>8773</v>
      </c>
      <c r="R47" s="1888" t="s">
        <v>1529</v>
      </c>
    </row>
    <row r="48" spans="1:18" s="1844" customFormat="1" ht="28.5" thickBot="1">
      <c r="A48" s="1362" t="s">
        <v>1135</v>
      </c>
      <c r="B48" s="345" t="s">
        <v>1401</v>
      </c>
      <c r="C48" s="1819">
        <f ca="1">C49+C53+C55</f>
        <v>0</v>
      </c>
      <c r="D48" s="1364"/>
      <c r="E48" s="1365"/>
      <c r="F48" s="1183"/>
      <c r="G48" s="791"/>
      <c r="H48" s="792"/>
      <c r="I48" s="1889" t="s">
        <v>1530</v>
      </c>
      <c r="J48" s="1890" t="s">
        <v>3174</v>
      </c>
      <c r="K48" s="1891" t="s">
        <v>1531</v>
      </c>
      <c r="L48" s="1892">
        <f ca="1">INDIRECT("'数据-取费表'!f"&amp;$G$1)</f>
        <v>25.53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v>2014</v>
      </c>
      <c r="K49" s="1891" t="s">
        <v>1535</v>
      </c>
      <c r="L49" s="1895"/>
      <c r="O49" s="1896" t="s">
        <v>1042</v>
      </c>
      <c r="P49" s="1887" t="s">
        <v>1536</v>
      </c>
      <c r="Q49" s="1888">
        <f ca="1">C29</f>
        <v>2220</v>
      </c>
      <c r="R49" s="1888" t="s">
        <v>1529</v>
      </c>
    </row>
    <row r="50" spans="1:18" s="1844" customFormat="1" ht="13.5" thickBot="1">
      <c r="A50" s="1197"/>
      <c r="B50" s="1200"/>
      <c r="C50" s="1370"/>
      <c r="D50" s="1174"/>
      <c r="E50" s="1279" t="s">
        <v>1406</v>
      </c>
      <c r="F50" s="1280">
        <f ca="1">F7</f>
        <v>4824.4600000000037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56</v>
      </c>
      <c r="K51" s="1902" t="s">
        <v>1541</v>
      </c>
      <c r="L51" s="1903">
        <f ca="1">ROUND(-PV(INDIRECT("'数据-取费表'!h"&amp;$G$1),L48,(C39-C13*C76),0),0)</f>
        <v>4470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25.53</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25.53</v>
      </c>
      <c r="K53" s="3153" t="s">
        <v>1548</v>
      </c>
      <c r="L53" s="3154"/>
      <c r="O53" s="1886" t="s">
        <v>1046</v>
      </c>
      <c r="P53" s="1887" t="s">
        <v>1549</v>
      </c>
      <c r="Q53" s="1888">
        <f ca="1">Q47+Q48</f>
        <v>8773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3210</v>
      </c>
      <c r="O55" s="1879" t="s">
        <v>1522</v>
      </c>
      <c r="P55" s="1880" t="s">
        <v>1523</v>
      </c>
      <c r="Q55" s="1881" t="s">
        <v>1524</v>
      </c>
      <c r="R55" s="1881" t="s">
        <v>1525</v>
      </c>
    </row>
    <row r="56" spans="1:18" s="1844" customFormat="1" ht="25.5" thickTop="1" thickBot="1">
      <c r="A56" s="1178">
        <v>2</v>
      </c>
      <c r="B56" s="1179" t="s">
        <v>1414</v>
      </c>
      <c r="C56" s="276">
        <f ca="1">C13</f>
        <v>2065</v>
      </c>
      <c r="D56" s="1916"/>
      <c r="E56" s="1917"/>
      <c r="F56" s="1909"/>
      <c r="I56" s="1918" t="s">
        <v>1553</v>
      </c>
      <c r="J56" s="1919" t="s">
        <v>3051</v>
      </c>
      <c r="K56" s="1889" t="s">
        <v>1554</v>
      </c>
      <c r="L56" s="1892" t="str">
        <f ca="1">IF(L48&lt;J51,"——",L48-J53)</f>
        <v>——</v>
      </c>
      <c r="O56" s="1886" t="s">
        <v>1040</v>
      </c>
      <c r="P56" s="1887" t="s">
        <v>1528</v>
      </c>
      <c r="Q56" s="1888">
        <f ca="1">C40+J29</f>
        <v>8773</v>
      </c>
      <c r="R56" s="1888" t="s">
        <v>1529</v>
      </c>
    </row>
    <row r="57" spans="1:18" s="1844" customFormat="1" ht="24.75" thickBot="1">
      <c r="A57" s="1920"/>
      <c r="B57" s="1171" t="s">
        <v>1478</v>
      </c>
      <c r="C57" s="282">
        <f ca="1">C29</f>
        <v>2220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223</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5.5" thickBot="1">
      <c r="A59" s="1203" t="s">
        <v>1035</v>
      </c>
      <c r="B59" s="1171" t="s">
        <v>1429</v>
      </c>
      <c r="C59" s="24">
        <f ca="1">ROUND(IF(项目基本情况!B11="自然人",C48*F59,C60+C61+C62),1)</f>
        <v>186.5</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186.48</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v>
      </c>
      <c r="D62" s="1186" t="s">
        <v>1497</v>
      </c>
      <c r="E62" s="1171" t="s">
        <v>1498</v>
      </c>
      <c r="F62" s="371">
        <f t="shared" si="0"/>
        <v>12</v>
      </c>
      <c r="I62" s="1931" t="s">
        <v>1569</v>
      </c>
      <c r="J62" s="1932" t="s">
        <v>1570</v>
      </c>
      <c r="K62" s="1932" t="s">
        <v>1571</v>
      </c>
      <c r="L62" s="1932" t="s">
        <v>1572</v>
      </c>
      <c r="M62" s="1933" t="s">
        <v>1573</v>
      </c>
      <c r="O62" s="1886" t="s">
        <v>1046</v>
      </c>
      <c r="P62" s="1887" t="s">
        <v>1574</v>
      </c>
      <c r="Q62" s="1888">
        <f ca="1">Q56+Q57</f>
        <v>8773</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33.299999999999997</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3.1</v>
      </c>
      <c r="D65" s="1185" t="s">
        <v>1454</v>
      </c>
      <c r="E65" s="1171" t="s">
        <v>1455</v>
      </c>
      <c r="F65" s="376">
        <f t="shared" ca="1" si="0"/>
        <v>1.5E-3</v>
      </c>
      <c r="I65" s="1931" t="s">
        <v>1578</v>
      </c>
      <c r="J65" s="1932">
        <v>40</v>
      </c>
      <c r="K65" s="1932">
        <v>30</v>
      </c>
      <c r="L65" s="1932">
        <v>50</v>
      </c>
      <c r="M65" s="1934">
        <v>0.02</v>
      </c>
      <c r="O65" s="1886" t="s">
        <v>1040</v>
      </c>
      <c r="P65" s="1887" t="s">
        <v>1579</v>
      </c>
      <c r="Q65" s="1888">
        <f ca="1">C40+J29</f>
        <v>8773</v>
      </c>
      <c r="R65" s="1888" t="s">
        <v>1529</v>
      </c>
    </row>
    <row r="66" spans="1:18" s="1844" customFormat="1" ht="16.5" thickBot="1">
      <c r="A66" s="1203" t="s">
        <v>1504</v>
      </c>
      <c r="B66" s="1171" t="s">
        <v>1439</v>
      </c>
      <c r="C66" s="24">
        <f ca="1">ROUND(C48*F66,1)</f>
        <v>0</v>
      </c>
      <c r="D66" s="1185" t="s">
        <v>1505</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-223</v>
      </c>
      <c r="D67" s="1184" t="s">
        <v>1464</v>
      </c>
      <c r="E67" s="1189"/>
      <c r="F67" s="1190"/>
      <c r="O67" s="1896" t="s">
        <v>1042</v>
      </c>
      <c r="P67" s="1887" t="s">
        <v>1561</v>
      </c>
      <c r="Q67" s="1935">
        <f ca="1">L51</f>
        <v>4470</v>
      </c>
      <c r="R67" s="1888" t="s">
        <v>1581</v>
      </c>
    </row>
    <row r="68" spans="1:18" s="1844" customFormat="1" ht="16.5" thickBot="1">
      <c r="A68" s="1168" t="s">
        <v>1032</v>
      </c>
      <c r="B68" s="1169" t="s">
        <v>1485</v>
      </c>
      <c r="C68" s="346">
        <f ca="1">ROUND(C67*(1-((1+F70)/(1+F68))^F69)/(F68-F70),0)</f>
        <v>-3021</v>
      </c>
      <c r="D68" s="1186" t="s">
        <v>1469</v>
      </c>
      <c r="E68" s="1171" t="s">
        <v>1470</v>
      </c>
      <c r="F68" s="357">
        <f ca="1">F40</f>
        <v>5.5E-2</v>
      </c>
      <c r="O68" s="1896" t="s">
        <v>1043</v>
      </c>
      <c r="P68" s="1936" t="s">
        <v>1582</v>
      </c>
      <c r="Q68" s="1888">
        <f ca="1">ROUND(Q69-Q70*Q71,0)</f>
        <v>314</v>
      </c>
      <c r="R68" s="1888" t="s">
        <v>1051</v>
      </c>
    </row>
    <row r="69" spans="1:18" s="1844" customFormat="1" ht="13.5" thickBot="1">
      <c r="A69" s="1172"/>
      <c r="B69" s="1173"/>
      <c r="C69" s="351"/>
      <c r="D69" s="1191" t="s">
        <v>1473</v>
      </c>
      <c r="E69" s="1171" t="s">
        <v>1474</v>
      </c>
      <c r="F69" s="379">
        <f ca="1">F41</f>
        <v>25.53</v>
      </c>
      <c r="O69" s="1896" t="s">
        <v>1048</v>
      </c>
      <c r="P69" s="1936" t="s">
        <v>1583</v>
      </c>
      <c r="Q69" s="1888">
        <f ca="1">C39</f>
        <v>479</v>
      </c>
      <c r="R69" s="1888" t="s">
        <v>1529</v>
      </c>
    </row>
    <row r="70" spans="1:18" s="1844" customFormat="1" ht="13.5" thickBot="1">
      <c r="A70" s="1175"/>
      <c r="B70" s="1176"/>
      <c r="C70" s="355"/>
      <c r="D70" s="1187"/>
      <c r="E70" s="1171" t="s">
        <v>1477</v>
      </c>
      <c r="F70" s="1277"/>
      <c r="O70" s="1896" t="s">
        <v>1049</v>
      </c>
      <c r="P70" s="1936" t="s">
        <v>1584</v>
      </c>
      <c r="Q70" s="1888">
        <f ca="1">C13</f>
        <v>2065</v>
      </c>
      <c r="R70" s="1888" t="s">
        <v>1529</v>
      </c>
    </row>
    <row r="71" spans="1:18" s="1844" customFormat="1" ht="13.5" thickBot="1">
      <c r="A71" s="1192" t="s">
        <v>1033</v>
      </c>
      <c r="B71" s="1193" t="s">
        <v>1487</v>
      </c>
      <c r="C71" s="382">
        <f ca="1">ROUND(C68*10000/F71,0)</f>
        <v>-6262</v>
      </c>
      <c r="D71" s="1194" t="s">
        <v>1488</v>
      </c>
      <c r="E71" s="1195" t="s">
        <v>1489</v>
      </c>
      <c r="F71" s="385">
        <f ca="1">F43</f>
        <v>4824.4600000000037</v>
      </c>
      <c r="O71" s="1896" t="s">
        <v>1050</v>
      </c>
      <c r="P71" s="1936" t="s">
        <v>1585</v>
      </c>
      <c r="Q71" s="1899">
        <f ca="1">C76</f>
        <v>0.08</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165</v>
      </c>
      <c r="D75" s="1844"/>
      <c r="E75" s="1844"/>
      <c r="F75" s="1844"/>
      <c r="K75" s="1870"/>
      <c r="L75" s="1844"/>
      <c r="O75" s="1886" t="s">
        <v>1046</v>
      </c>
      <c r="P75" s="1887" t="s">
        <v>1549</v>
      </c>
      <c r="Q75" s="1888">
        <f ca="1">Q65+Q66</f>
        <v>8773</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0.65600000000000003</v>
      </c>
    </row>
    <row r="80" spans="1:18">
      <c r="B80" s="386" t="s">
        <v>1511</v>
      </c>
      <c r="C80" s="318">
        <f ca="1">ROUND(C75/C39,3)</f>
        <v>0.34399999999999997</v>
      </c>
    </row>
    <row r="81" spans="2:3">
      <c r="B81" s="314" t="s">
        <v>1512</v>
      </c>
      <c r="C81" s="282"/>
    </row>
    <row r="82" spans="2:3">
      <c r="B82" s="317" t="s">
        <v>1513</v>
      </c>
      <c r="C82" s="319">
        <f ca="1">1-C83</f>
        <v>0.76500000000000001</v>
      </c>
    </row>
    <row r="83" spans="2:3">
      <c r="B83" s="317" t="s">
        <v>1514</v>
      </c>
      <c r="C83" s="318">
        <f ca="1">ROUND(C13/C40,3)</f>
        <v>0.23499999999999999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55" t="s">
        <v>1403</v>
      </c>
      <c r="C6" s="1298">
        <f ca="1">ROUND(F6*F8*F7*(1-F9),0)</f>
        <v>0</v>
      </c>
      <c r="D6" s="164" t="s">
        <v>3026</v>
      </c>
      <c r="E6" s="347" t="s">
        <v>1405</v>
      </c>
      <c r="F6" s="348">
        <f ca="1">INDIRECT("'数据-取费表'!u"&amp;$G$1)</f>
        <v>0</v>
      </c>
      <c r="G6" s="1853"/>
      <c r="H6" s="1293" t="s">
        <v>1035</v>
      </c>
      <c r="I6" s="3155" t="s">
        <v>1403</v>
      </c>
      <c r="J6" s="346">
        <f ca="1">ROUND(M6*M8*M7*(1-M9),0)</f>
        <v>0</v>
      </c>
      <c r="K6" s="1836" t="s">
        <v>3027</v>
      </c>
      <c r="L6" s="347" t="s">
        <v>1405</v>
      </c>
      <c r="M6" s="348">
        <f ca="1">INDIRECT("'数据-取费表'!z"&amp;$G$1)</f>
        <v>0</v>
      </c>
    </row>
    <row r="7" spans="1:37" ht="18" customHeight="1">
      <c r="A7" s="1297"/>
      <c r="B7" s="3156"/>
      <c r="C7" s="1299"/>
      <c r="D7" s="352"/>
      <c r="E7" s="1300" t="s">
        <v>1406</v>
      </c>
      <c r="F7" s="348">
        <f ca="1">IF(INDIRECT("'数据-取费表'!ah"&amp;$G$1)="",INDIRECT("'数据-取费表'!k"&amp;$G$1),INDIRECT("'数据-取费表'!ah"&amp;$G$1))</f>
        <v>0</v>
      </c>
      <c r="G7" s="1853"/>
      <c r="H7" s="349"/>
      <c r="I7" s="3156"/>
      <c r="J7" s="351"/>
      <c r="K7" s="352"/>
      <c r="L7" s="347" t="s">
        <v>1406</v>
      </c>
      <c r="M7" s="348">
        <f ca="1">F7</f>
        <v>0</v>
      </c>
    </row>
    <row r="8" spans="1:37" ht="18" customHeight="1">
      <c r="A8" s="349"/>
      <c r="B8" s="3156"/>
      <c r="C8" s="351"/>
      <c r="D8" s="352"/>
      <c r="E8" s="347" t="s">
        <v>1407</v>
      </c>
      <c r="F8" s="348">
        <f ca="1">INDIRECT("'数据-取费表'!ai"&amp;$G$1)</f>
        <v>0</v>
      </c>
      <c r="G8" s="1853"/>
      <c r="H8" s="349"/>
      <c r="I8" s="3156"/>
      <c r="J8" s="351"/>
      <c r="K8" s="352"/>
      <c r="L8" s="347" t="s">
        <v>1407</v>
      </c>
      <c r="M8" s="348">
        <f ca="1">INDIRECT("'数据-取费表'!ai"&amp;$G$1)</f>
        <v>0</v>
      </c>
    </row>
    <row r="9" spans="1:37" ht="18" customHeight="1">
      <c r="A9" s="349"/>
      <c r="B9" s="3157"/>
      <c r="C9" s="351"/>
      <c r="D9" s="352"/>
      <c r="E9" s="347" t="s">
        <v>1408</v>
      </c>
      <c r="F9" s="357">
        <f ca="1">INDIRECT("'数据-取费表'!w"&amp;$G$1)</f>
        <v>0</v>
      </c>
      <c r="G9" s="1853"/>
      <c r="H9" s="349"/>
      <c r="I9" s="3157"/>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12</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3" t="s">
        <v>1548</v>
      </c>
      <c r="L53" s="3154"/>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12</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2523</v>
      </c>
      <c r="B1" s="2564"/>
      <c r="C1" s="2564"/>
      <c r="D1" s="2564"/>
      <c r="E1" s="2565"/>
    </row>
    <row r="2" spans="1:6" ht="15.75">
      <c r="A2" s="2566" t="s">
        <v>2324</v>
      </c>
      <c r="B2" s="2567">
        <f ca="1">SUMIF(B6:B13,"&lt;&gt;#ref!",B6:B13)</f>
        <v>8773</v>
      </c>
      <c r="C2" s="2568" t="s">
        <v>2516</v>
      </c>
      <c r="D2" s="2569" t="s">
        <v>2517</v>
      </c>
      <c r="E2" s="2570">
        <f>SUM(E6:E13)</f>
        <v>4824.4600000000037</v>
      </c>
    </row>
    <row r="3" spans="1:6" ht="15.75">
      <c r="A3" s="2566" t="s">
        <v>1395</v>
      </c>
      <c r="B3" s="2567">
        <f ca="1">ROUND(B2*10000/E2,0)</f>
        <v>18184</v>
      </c>
      <c r="C3" s="2568" t="s">
        <v>2524</v>
      </c>
      <c r="D3" s="2571"/>
      <c r="E3" s="2572"/>
    </row>
    <row r="4" spans="1:6" ht="15.75">
      <c r="A4" s="2573"/>
      <c r="B4" s="2571"/>
      <c r="C4" s="2571"/>
      <c r="D4" s="2571"/>
      <c r="E4" s="2572"/>
    </row>
    <row r="5" spans="1:6" ht="15">
      <c r="A5" s="2574" t="s">
        <v>2518</v>
      </c>
      <c r="B5" s="3158" t="s">
        <v>2519</v>
      </c>
      <c r="C5" s="3158"/>
      <c r="D5" s="2575"/>
      <c r="E5" s="2576" t="s">
        <v>2520</v>
      </c>
      <c r="F5" s="2577" t="s">
        <v>2521</v>
      </c>
    </row>
    <row r="6" spans="1:6">
      <c r="A6" s="2578" t="str">
        <f>'数据-取费表'!AN6</f>
        <v>收益法</v>
      </c>
      <c r="B6" s="2577">
        <f ca="1">IF(F6="是",'数据-取费表'!AO6,0)</f>
        <v>8773</v>
      </c>
      <c r="C6" s="2568" t="s">
        <v>2516</v>
      </c>
      <c r="D6" s="2571"/>
      <c r="E6" s="2579">
        <f>IF(OR(A6=0,F6="否"),0,'数据-取费表'!K6+'数据-取费表'!S6)</f>
        <v>4824.4600000000037</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5" t="s">
        <v>1076</v>
      </c>
      <c r="B1" s="3176"/>
      <c r="C1" s="3177"/>
      <c r="D1" s="3178">
        <f>SUM(I10,I15,I20,I21,I23)</f>
        <v>0</v>
      </c>
      <c r="E1" s="3178"/>
      <c r="F1" s="3178"/>
      <c r="G1" s="3178"/>
      <c r="H1" s="3178"/>
      <c r="I1" s="3179"/>
    </row>
    <row r="2" spans="1:9">
      <c r="A2" s="3165" t="s">
        <v>1077</v>
      </c>
      <c r="B2" s="3166" t="s">
        <v>1078</v>
      </c>
      <c r="C2" s="3166"/>
      <c r="D2" s="1303" t="s">
        <v>1079</v>
      </c>
      <c r="E2" s="1303" t="s">
        <v>1080</v>
      </c>
      <c r="F2" s="1303" t="s">
        <v>1081</v>
      </c>
      <c r="G2" s="1303" t="s">
        <v>1082</v>
      </c>
      <c r="H2" s="1303" t="s">
        <v>1083</v>
      </c>
      <c r="I2" s="1304" t="s">
        <v>1084</v>
      </c>
    </row>
    <row r="3" spans="1:9">
      <c r="A3" s="3165"/>
      <c r="B3" s="3166" t="s">
        <v>1085</v>
      </c>
      <c r="C3" s="3166"/>
      <c r="D3" s="1305"/>
      <c r="E3" s="1303"/>
      <c r="F3" s="1306"/>
      <c r="G3" s="1306"/>
      <c r="H3" s="1307"/>
      <c r="I3" s="1308">
        <f>ROUND(D3*E3*F3*G3*H3/10000,0)</f>
        <v>0</v>
      </c>
    </row>
    <row r="4" spans="1:9">
      <c r="A4" s="3165"/>
      <c r="B4" s="3166" t="s">
        <v>1086</v>
      </c>
      <c r="C4" s="3166"/>
      <c r="D4" s="1305"/>
      <c r="E4" s="1303"/>
      <c r="F4" s="1306"/>
      <c r="G4" s="1306"/>
      <c r="H4" s="1307"/>
      <c r="I4" s="1308">
        <f t="shared" ref="I4:I9" si="0">ROUND(D4*E4*F4*G4*H4/10000,0)</f>
        <v>0</v>
      </c>
    </row>
    <row r="5" spans="1:9">
      <c r="A5" s="3165"/>
      <c r="B5" s="3166" t="s">
        <v>1087</v>
      </c>
      <c r="C5" s="3166"/>
      <c r="D5" s="1305"/>
      <c r="E5" s="1303"/>
      <c r="F5" s="1306"/>
      <c r="G5" s="1306"/>
      <c r="H5" s="1307"/>
      <c r="I5" s="1308">
        <f t="shared" si="0"/>
        <v>0</v>
      </c>
    </row>
    <row r="6" spans="1:9">
      <c r="A6" s="3165"/>
      <c r="B6" s="3166" t="s">
        <v>1088</v>
      </c>
      <c r="C6" s="3166"/>
      <c r="D6" s="1305"/>
      <c r="E6" s="1303"/>
      <c r="F6" s="1306"/>
      <c r="G6" s="1306"/>
      <c r="H6" s="1307"/>
      <c r="I6" s="1308">
        <f t="shared" si="0"/>
        <v>0</v>
      </c>
    </row>
    <row r="7" spans="1:9">
      <c r="A7" s="3165"/>
      <c r="B7" s="3166" t="s">
        <v>1089</v>
      </c>
      <c r="C7" s="3166"/>
      <c r="D7" s="1305"/>
      <c r="E7" s="1303"/>
      <c r="F7" s="1306"/>
      <c r="G7" s="1306"/>
      <c r="H7" s="1307"/>
      <c r="I7" s="1308">
        <f t="shared" si="0"/>
        <v>0</v>
      </c>
    </row>
    <row r="8" spans="1:9">
      <c r="A8" s="3165"/>
      <c r="B8" s="3166" t="s">
        <v>1090</v>
      </c>
      <c r="C8" s="3166"/>
      <c r="D8" s="1305"/>
      <c r="E8" s="1303"/>
      <c r="F8" s="1306"/>
      <c r="G8" s="1306"/>
      <c r="H8" s="1307"/>
      <c r="I8" s="1308">
        <f t="shared" si="0"/>
        <v>0</v>
      </c>
    </row>
    <row r="9" spans="1:9">
      <c r="A9" s="3165"/>
      <c r="B9" s="3166" t="s">
        <v>1091</v>
      </c>
      <c r="C9" s="3166"/>
      <c r="D9" s="1305"/>
      <c r="E9" s="1303"/>
      <c r="F9" s="1306"/>
      <c r="G9" s="1306"/>
      <c r="H9" s="1307"/>
      <c r="I9" s="1308">
        <f t="shared" si="0"/>
        <v>0</v>
      </c>
    </row>
    <row r="10" spans="1:9">
      <c r="A10" s="3165"/>
      <c r="B10" s="3167" t="s">
        <v>1092</v>
      </c>
      <c r="C10" s="3167"/>
      <c r="D10" s="1309"/>
      <c r="E10" s="1309" t="e">
        <f>ROUND(D1*10000/D10/H9,0)</f>
        <v>#DIV/0!</v>
      </c>
      <c r="F10" s="1310"/>
      <c r="G10" s="1310"/>
      <c r="H10" s="1311"/>
      <c r="I10" s="1312">
        <f>SUM(I3:I9)</f>
        <v>0</v>
      </c>
    </row>
    <row r="11" spans="1:9" ht="14.25">
      <c r="A11" s="3165" t="s">
        <v>1093</v>
      </c>
      <c r="B11" s="3166" t="s">
        <v>1094</v>
      </c>
      <c r="C11" s="3166"/>
      <c r="D11" s="1305" t="s">
        <v>1095</v>
      </c>
      <c r="E11" s="1305" t="s">
        <v>1096</v>
      </c>
      <c r="F11" s="1306" t="s">
        <v>1097</v>
      </c>
      <c r="G11" s="1306" t="s">
        <v>1083</v>
      </c>
      <c r="H11" s="1313" t="s">
        <v>1098</v>
      </c>
      <c r="I11" s="1304" t="s">
        <v>1084</v>
      </c>
    </row>
    <row r="12" spans="1:9">
      <c r="A12" s="3165"/>
      <c r="B12" s="3166" t="s">
        <v>1099</v>
      </c>
      <c r="C12" s="3166"/>
      <c r="D12" s="1305"/>
      <c r="E12" s="1305"/>
      <c r="F12" s="1306"/>
      <c r="G12" s="1307"/>
      <c r="H12" s="1314"/>
      <c r="I12" s="1304">
        <f>ROUND(D12*E12*F12*G12/10000,0)</f>
        <v>0</v>
      </c>
    </row>
    <row r="13" spans="1:9">
      <c r="A13" s="3165"/>
      <c r="B13" s="3166" t="s">
        <v>1100</v>
      </c>
      <c r="C13" s="3166"/>
      <c r="D13" s="1305"/>
      <c r="E13" s="1305"/>
      <c r="F13" s="1306"/>
      <c r="G13" s="1307"/>
      <c r="H13" s="1314"/>
      <c r="I13" s="1304">
        <f>ROUND(D13*E13*F13*G13/10000,0)</f>
        <v>0</v>
      </c>
    </row>
    <row r="14" spans="1:9">
      <c r="A14" s="3165"/>
      <c r="B14" s="3166" t="s">
        <v>1101</v>
      </c>
      <c r="C14" s="3166"/>
      <c r="D14" s="1305"/>
      <c r="E14" s="1305"/>
      <c r="F14" s="1306"/>
      <c r="G14" s="1307"/>
      <c r="H14" s="1314"/>
      <c r="I14" s="1304">
        <f>ROUND(D14*E14*F14*G14/10000,0)</f>
        <v>0</v>
      </c>
    </row>
    <row r="15" spans="1:9">
      <c r="A15" s="3165"/>
      <c r="B15" s="3167" t="s">
        <v>1092</v>
      </c>
      <c r="C15" s="3167"/>
      <c r="D15" s="1309"/>
      <c r="E15" s="1309">
        <f>SUM(E12:E14)</f>
        <v>0</v>
      </c>
      <c r="F15" s="1310"/>
      <c r="G15" s="1307"/>
      <c r="H15" s="1314"/>
      <c r="I15" s="1315">
        <f>SUM(I12:I14)</f>
        <v>0</v>
      </c>
    </row>
    <row r="16" spans="1:9" ht="24">
      <c r="A16" s="3165" t="s">
        <v>1102</v>
      </c>
      <c r="B16" s="3166" t="s">
        <v>1103</v>
      </c>
      <c r="C16" s="3166"/>
      <c r="D16" s="1305" t="s">
        <v>1079</v>
      </c>
      <c r="E16" s="1316" t="s">
        <v>1104</v>
      </c>
      <c r="F16" s="1306" t="s">
        <v>1105</v>
      </c>
      <c r="G16" s="1307" t="s">
        <v>1083</v>
      </c>
      <c r="H16" s="1313" t="s">
        <v>1098</v>
      </c>
      <c r="I16" s="1304" t="s">
        <v>1084</v>
      </c>
    </row>
    <row r="17" spans="1:9" ht="14.25">
      <c r="A17" s="3165"/>
      <c r="B17" s="3166" t="s">
        <v>1106</v>
      </c>
      <c r="C17" s="3166"/>
      <c r="D17" s="1305"/>
      <c r="E17" s="1305"/>
      <c r="F17" s="1306"/>
      <c r="G17" s="1307"/>
      <c r="H17" s="1317"/>
      <c r="I17" s="1318">
        <f>ROUND(D17*E17*F17*G17/10000,0)</f>
        <v>0</v>
      </c>
    </row>
    <row r="18" spans="1:9" ht="14.25">
      <c r="A18" s="3165"/>
      <c r="B18" s="3166" t="s">
        <v>1107</v>
      </c>
      <c r="C18" s="3166"/>
      <c r="D18" s="1305"/>
      <c r="E18" s="1305"/>
      <c r="F18" s="1306"/>
      <c r="G18" s="1307"/>
      <c r="H18" s="1317"/>
      <c r="I18" s="1318">
        <f>ROUND(D18*E18*F18*G18/10000,0)</f>
        <v>0</v>
      </c>
    </row>
    <row r="19" spans="1:9" ht="14.25">
      <c r="A19" s="3165"/>
      <c r="B19" s="3166" t="s">
        <v>1108</v>
      </c>
      <c r="C19" s="3166"/>
      <c r="D19" s="1305"/>
      <c r="E19" s="1305"/>
      <c r="F19" s="1306"/>
      <c r="G19" s="1307"/>
      <c r="H19" s="1317"/>
      <c r="I19" s="1318">
        <f>ROUND(D19*E19*F19*G19/10000,0)</f>
        <v>0</v>
      </c>
    </row>
    <row r="20" spans="1:9">
      <c r="A20" s="3165"/>
      <c r="B20" s="3167" t="s">
        <v>1092</v>
      </c>
      <c r="C20" s="3167"/>
      <c r="D20" s="1309">
        <f>SUM(D17:D19)</f>
        <v>0</v>
      </c>
      <c r="E20" s="1309"/>
      <c r="F20" s="1310"/>
      <c r="G20" s="1307"/>
      <c r="H20" s="1314"/>
      <c r="I20" s="1315">
        <f>SUM(I17:I19)</f>
        <v>0</v>
      </c>
    </row>
    <row r="21" spans="1:9">
      <c r="A21" s="3165" t="s">
        <v>1109</v>
      </c>
      <c r="B21" s="3168"/>
      <c r="C21" s="3168"/>
      <c r="D21" s="3168"/>
      <c r="E21" s="3168"/>
      <c r="F21" s="3168"/>
      <c r="G21" s="3168"/>
      <c r="H21" s="1767">
        <v>0.1</v>
      </c>
      <c r="I21" s="1312">
        <f>ROUND(I10*H21,0)</f>
        <v>0</v>
      </c>
    </row>
    <row r="22" spans="1:9" ht="14.25">
      <c r="A22" s="3169" t="s">
        <v>1110</v>
      </c>
      <c r="B22" s="3170"/>
      <c r="C22" s="3171"/>
      <c r="D22" s="1319" t="s">
        <v>1111</v>
      </c>
      <c r="E22" s="1319" t="s">
        <v>1112</v>
      </c>
      <c r="F22" s="1320" t="s">
        <v>1113</v>
      </c>
      <c r="G22" s="1320" t="s">
        <v>1114</v>
      </c>
      <c r="H22" s="1313" t="s">
        <v>1115</v>
      </c>
      <c r="I22" s="1304" t="s">
        <v>1116</v>
      </c>
    </row>
    <row r="23" spans="1:9" ht="14.25" thickBot="1">
      <c r="A23" s="3172"/>
      <c r="B23" s="3173"/>
      <c r="C23" s="3174"/>
      <c r="D23" s="1321"/>
      <c r="E23" s="1321"/>
      <c r="F23" s="1321"/>
      <c r="G23" s="1322"/>
      <c r="H23" s="1323"/>
      <c r="I23" s="1324">
        <f>ROUND(E23*D23*F23*(1-G23)/10000,0)</f>
        <v>0</v>
      </c>
    </row>
    <row r="26" spans="1:9">
      <c r="A26" s="1325" t="s">
        <v>1117</v>
      </c>
      <c r="B26" s="1325"/>
      <c r="C26" s="1325"/>
      <c r="D26" s="1325"/>
      <c r="E26" s="3162">
        <f>C27-C30-C31-C32</f>
        <v>0</v>
      </c>
      <c r="F26" s="3162"/>
      <c r="G26" s="3162"/>
      <c r="H26" s="1739" t="s">
        <v>1340</v>
      </c>
    </row>
    <row r="27" spans="1:9">
      <c r="A27" s="1326">
        <v>1</v>
      </c>
      <c r="B27" s="1327" t="s">
        <v>1118</v>
      </c>
      <c r="C27" s="1327">
        <f>C28+C29</f>
        <v>0</v>
      </c>
      <c r="D27" s="1327"/>
      <c r="E27" s="3163"/>
      <c r="F27" s="3163"/>
      <c r="G27" s="3163"/>
    </row>
    <row r="28" spans="1:9">
      <c r="A28" s="1328" t="s">
        <v>1119</v>
      </c>
      <c r="B28" s="1327" t="s">
        <v>1120</v>
      </c>
      <c r="C28" s="1327"/>
      <c r="D28" s="1327"/>
      <c r="E28" s="3163"/>
      <c r="F28" s="3163"/>
      <c r="G28" s="316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4"/>
      <c r="F32" s="3164"/>
      <c r="G32" s="3164"/>
    </row>
    <row r="33" spans="1:7" hidden="1">
      <c r="A33" s="3159" t="s">
        <v>1129</v>
      </c>
      <c r="B33" s="3160"/>
      <c r="C33" s="3160"/>
      <c r="D33" s="3161"/>
      <c r="E33" s="3162"/>
      <c r="F33" s="3162"/>
      <c r="G33" s="3162"/>
    </row>
    <row r="34" spans="1:7" hidden="1">
      <c r="A34" s="1330">
        <v>1</v>
      </c>
      <c r="B34" s="1327" t="s">
        <v>1130</v>
      </c>
      <c r="C34" s="1327"/>
      <c r="D34" s="1327"/>
      <c r="E34" s="3163"/>
      <c r="F34" s="3163"/>
      <c r="G34" s="3163"/>
    </row>
    <row r="35" spans="1:7" hidden="1">
      <c r="A35" s="1330">
        <v>2</v>
      </c>
      <c r="B35" s="1327" t="s">
        <v>1131</v>
      </c>
      <c r="C35" s="1327"/>
      <c r="D35" s="1327"/>
      <c r="E35" s="3163"/>
      <c r="F35" s="3163"/>
      <c r="G35" s="3163"/>
    </row>
    <row r="36" spans="1:7" hidden="1">
      <c r="A36" s="1330">
        <v>3</v>
      </c>
      <c r="B36" s="1327" t="s">
        <v>1132</v>
      </c>
      <c r="C36" s="1327"/>
      <c r="D36" s="1327"/>
      <c r="E36" s="3163"/>
      <c r="F36" s="3163"/>
      <c r="G36" s="3163"/>
    </row>
    <row r="37" spans="1:7" hidden="1">
      <c r="A37" s="1330">
        <v>4</v>
      </c>
      <c r="B37" s="1327" t="s">
        <v>1133</v>
      </c>
      <c r="C37" s="1327"/>
      <c r="D37" s="1327"/>
      <c r="E37" s="3163"/>
      <c r="F37" s="3163"/>
      <c r="G37" s="3163"/>
    </row>
    <row r="38" spans="1:7" hidden="1">
      <c r="A38" s="3159" t="s">
        <v>1134</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2526</v>
      </c>
      <c r="C1" s="1636" t="s">
        <v>2527</v>
      </c>
      <c r="D1" s="1623"/>
      <c r="E1" s="2585"/>
      <c r="F1" s="2586" t="s">
        <v>2528</v>
      </c>
      <c r="G1" s="1633" t="s">
        <v>2529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4824.4600000000037</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2532</v>
      </c>
      <c r="B4" s="402"/>
      <c r="C4" s="3198" t="s">
        <v>2533</v>
      </c>
      <c r="D4" s="3199"/>
      <c r="E4" s="3200" t="s">
        <v>2534</v>
      </c>
      <c r="F4" s="3201"/>
      <c r="G4" s="3198" t="s">
        <v>2535</v>
      </c>
      <c r="H4" s="3199"/>
      <c r="I4" s="3198" t="s">
        <v>2536</v>
      </c>
      <c r="J4" s="3199"/>
      <c r="K4" s="2598" t="s">
        <v>2537</v>
      </c>
      <c r="L4" s="1132"/>
      <c r="M4" s="1133"/>
      <c r="N4" s="1133"/>
      <c r="O4" s="1133"/>
      <c r="P4" s="3202" t="s">
        <v>2538</v>
      </c>
      <c r="Q4" s="3203"/>
      <c r="R4" s="3208" t="s">
        <v>2534</v>
      </c>
      <c r="S4" s="3209"/>
      <c r="T4" s="3208" t="s">
        <v>2535</v>
      </c>
      <c r="U4" s="3209"/>
      <c r="V4" s="3214" t="s">
        <v>2536</v>
      </c>
      <c r="W4" s="3214"/>
      <c r="X4" s="1815"/>
      <c r="Y4" s="3208" t="s">
        <v>2538</v>
      </c>
      <c r="Z4" s="3209"/>
      <c r="AA4" s="3195" t="s">
        <v>2534</v>
      </c>
      <c r="AB4" s="3195" t="s">
        <v>2535</v>
      </c>
      <c r="AC4" s="3195" t="s">
        <v>2536</v>
      </c>
    </row>
    <row r="5" spans="1:29" ht="15">
      <c r="A5" s="404"/>
      <c r="B5" s="405"/>
      <c r="C5" s="3217" t="s">
        <v>2539</v>
      </c>
      <c r="D5" s="3218"/>
      <c r="E5" s="3224" t="s">
        <v>2540</v>
      </c>
      <c r="F5" s="3225"/>
      <c r="G5" s="3217" t="s">
        <v>2541</v>
      </c>
      <c r="H5" s="3218"/>
      <c r="I5" s="3217" t="s">
        <v>2542</v>
      </c>
      <c r="J5" s="3218"/>
      <c r="K5" s="2599"/>
      <c r="L5" s="1132"/>
      <c r="M5" s="1133"/>
      <c r="N5" s="1133"/>
      <c r="O5" s="1133"/>
      <c r="P5" s="3204"/>
      <c r="Q5" s="3205"/>
      <c r="R5" s="3210"/>
      <c r="S5" s="3211"/>
      <c r="T5" s="3210"/>
      <c r="U5" s="3211"/>
      <c r="V5" s="3214"/>
      <c r="W5" s="3214"/>
      <c r="X5" s="1815"/>
      <c r="Y5" s="3210"/>
      <c r="Z5" s="3211"/>
      <c r="AA5" s="3196"/>
      <c r="AB5" s="3196"/>
      <c r="AC5" s="3196"/>
    </row>
    <row r="6" spans="1:29" ht="15.75" thickBot="1">
      <c r="A6" s="406"/>
      <c r="B6" s="407"/>
      <c r="C6" s="3215" t="s">
        <v>2543</v>
      </c>
      <c r="D6" s="3216"/>
      <c r="E6" s="3222" t="s">
        <v>2543</v>
      </c>
      <c r="F6" s="3223"/>
      <c r="G6" s="3215" t="s">
        <v>2543</v>
      </c>
      <c r="H6" s="3216"/>
      <c r="I6" s="3215" t="s">
        <v>2543</v>
      </c>
      <c r="J6" s="3216"/>
      <c r="K6" s="2599" t="s">
        <v>2544</v>
      </c>
      <c r="L6" s="1132"/>
      <c r="M6" s="1133"/>
      <c r="N6" s="1133"/>
      <c r="O6" s="1133"/>
      <c r="P6" s="3206"/>
      <c r="Q6" s="3207"/>
      <c r="R6" s="3210"/>
      <c r="S6" s="3211"/>
      <c r="T6" s="3212"/>
      <c r="U6" s="3213"/>
      <c r="V6" s="3214"/>
      <c r="W6" s="3214"/>
      <c r="X6" s="1815"/>
      <c r="Y6" s="3212"/>
      <c r="Z6" s="3213"/>
      <c r="AA6" s="3197"/>
      <c r="AB6" s="3197"/>
      <c r="AC6" s="3197"/>
    </row>
    <row r="7" spans="1:29" s="117" customFormat="1" ht="15.75" thickBot="1">
      <c r="A7" s="408" t="s">
        <v>2545</v>
      </c>
      <c r="B7" s="409"/>
      <c r="C7" s="410">
        <f>'数据-取费表'!B2</f>
        <v>43286</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19" t="s">
        <v>2546</v>
      </c>
      <c r="Q7" s="3221"/>
      <c r="R7" s="769" t="s">
        <v>23</v>
      </c>
      <c r="S7" s="770">
        <f t="shared" ref="S7:S15" si="0">F7</f>
        <v>0</v>
      </c>
      <c r="T7" s="769" t="s">
        <v>23</v>
      </c>
      <c r="U7" s="770">
        <f t="shared" ref="U7:U15" si="1">H7</f>
        <v>0</v>
      </c>
      <c r="V7" s="769" t="s">
        <v>23</v>
      </c>
      <c r="W7" s="770">
        <f t="shared" ref="W7:W15" si="2">J7</f>
        <v>0</v>
      </c>
      <c r="X7" s="771"/>
      <c r="Y7" s="3219" t="s">
        <v>2546</v>
      </c>
      <c r="Z7" s="3220"/>
      <c r="AA7" s="772" t="e">
        <f>D7/F7</f>
        <v>#DIV/0!</v>
      </c>
      <c r="AB7" s="772" t="e">
        <f>D7/H7</f>
        <v>#DIV/0!</v>
      </c>
      <c r="AC7" s="772"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19" t="s">
        <v>2549</v>
      </c>
      <c r="Q8" s="3220"/>
      <c r="R8" s="769" t="s">
        <v>23</v>
      </c>
      <c r="S8" s="770">
        <f t="shared" si="0"/>
        <v>0</v>
      </c>
      <c r="T8" s="769" t="s">
        <v>23</v>
      </c>
      <c r="U8" s="770">
        <f t="shared" si="1"/>
        <v>0</v>
      </c>
      <c r="V8" s="769" t="s">
        <v>23</v>
      </c>
      <c r="W8" s="770">
        <f t="shared" si="2"/>
        <v>0</v>
      </c>
      <c r="X8" s="771"/>
      <c r="Y8" s="3219" t="s">
        <v>2549</v>
      </c>
      <c r="Z8" s="3220"/>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4"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772">
        <f t="shared" si="5"/>
        <v>1</v>
      </c>
    </row>
    <row r="10" spans="1:29" s="426" customFormat="1" ht="27">
      <c r="A10" s="420"/>
      <c r="B10" s="421" t="s">
        <v>2554</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4"/>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4"/>
      <c r="Q11" s="1797"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4"/>
      <c r="M12" s="1135"/>
      <c r="N12" s="1135"/>
      <c r="O12" s="1135"/>
      <c r="P12" s="3194"/>
      <c r="Q12" s="1797">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194"/>
      <c r="Q13" s="1797">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194"/>
      <c r="Q14" s="1797">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15">
      <c r="A15" s="439" t="s">
        <v>2556</v>
      </c>
      <c r="B15" s="69" t="s">
        <v>2087</v>
      </c>
      <c r="C15" s="2605"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2" t="s">
        <v>2557</v>
      </c>
      <c r="Q15" s="1812" t="str">
        <f t="shared" si="6"/>
        <v>居住社区成熟度</v>
      </c>
      <c r="R15" s="773" t="s">
        <v>21</v>
      </c>
      <c r="S15" s="774">
        <f t="shared" si="0"/>
        <v>100</v>
      </c>
      <c r="T15" s="773" t="s">
        <v>21</v>
      </c>
      <c r="U15" s="774">
        <f t="shared" si="1"/>
        <v>100</v>
      </c>
      <c r="V15" s="773" t="s">
        <v>21</v>
      </c>
      <c r="W15" s="774">
        <f t="shared" si="2"/>
        <v>100</v>
      </c>
      <c r="X15" s="1815"/>
      <c r="Y15" s="3185" t="s">
        <v>2557</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193"/>
      <c r="Q16" s="1812"/>
      <c r="R16" s="773"/>
      <c r="S16" s="774"/>
      <c r="T16" s="773"/>
      <c r="U16" s="774"/>
      <c r="V16" s="773"/>
      <c r="W16" s="774"/>
      <c r="X16" s="1815"/>
      <c r="Y16" s="3186"/>
      <c r="Z16" s="1816"/>
      <c r="AA16" s="1813">
        <v>1</v>
      </c>
      <c r="AB16" s="1813">
        <v>1</v>
      </c>
      <c r="AC16" s="1813">
        <v>1</v>
      </c>
    </row>
    <row r="17" spans="1:29" ht="128.25">
      <c r="A17" s="427"/>
      <c r="B17" s="450" t="s">
        <v>2096</v>
      </c>
      <c r="C17" s="2609" t="str">
        <f>估价对象房地状况!C6</f>
        <v>估价对象周边有634、78、436路等公交线路及地铁1号线经过、公共交通通达情况较好、停车便捷程度较好，综合评价交通便捷度较好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3"/>
      <c r="Q17" s="1812" t="str">
        <f>B17</f>
        <v>交通便捷度</v>
      </c>
      <c r="R17" s="773" t="s">
        <v>21</v>
      </c>
      <c r="S17" s="774">
        <f>F17</f>
        <v>100</v>
      </c>
      <c r="T17" s="773" t="s">
        <v>21</v>
      </c>
      <c r="U17" s="774">
        <f>H17</f>
        <v>100</v>
      </c>
      <c r="V17" s="773" t="s">
        <v>21</v>
      </c>
      <c r="W17" s="774">
        <f>J17</f>
        <v>100</v>
      </c>
      <c r="X17" s="1815"/>
      <c r="Y17" s="3186"/>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193"/>
      <c r="Q18" s="1812"/>
      <c r="R18" s="773"/>
      <c r="S18" s="774"/>
      <c r="T18" s="773"/>
      <c r="U18" s="774"/>
      <c r="V18" s="773"/>
      <c r="W18" s="774"/>
      <c r="X18" s="1815"/>
      <c r="Y18" s="3186"/>
      <c r="Z18" s="1816"/>
      <c r="AA18" s="1813">
        <v>1</v>
      </c>
      <c r="AB18" s="1813">
        <v>1</v>
      </c>
      <c r="AC18" s="1813">
        <v>1</v>
      </c>
    </row>
    <row r="19" spans="1:29" ht="57">
      <c r="A19" s="427"/>
      <c r="B19" s="450" t="s">
        <v>2094</v>
      </c>
      <c r="C19" s="2609" t="str">
        <f>估价对象房地状况!C7</f>
        <v>估价对象所在区域有医院、商场、学校等公共配套设施较齐备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3"/>
      <c r="Q19" s="1812" t="str">
        <f>B19</f>
        <v>公共配套设施</v>
      </c>
      <c r="R19" s="773" t="s">
        <v>21</v>
      </c>
      <c r="S19" s="774">
        <f>F19</f>
        <v>100</v>
      </c>
      <c r="T19" s="773" t="s">
        <v>21</v>
      </c>
      <c r="U19" s="774">
        <f>H19</f>
        <v>100</v>
      </c>
      <c r="V19" s="773" t="s">
        <v>21</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193"/>
      <c r="Q20" s="1812"/>
      <c r="R20" s="773"/>
      <c r="S20" s="774"/>
      <c r="T20" s="773"/>
      <c r="U20" s="774"/>
      <c r="V20" s="773"/>
      <c r="W20" s="774"/>
      <c r="X20" s="1815"/>
      <c r="Y20" s="3186"/>
      <c r="Z20" s="1816"/>
      <c r="AA20" s="1813">
        <v>1</v>
      </c>
      <c r="AB20" s="1813">
        <v>1</v>
      </c>
      <c r="AC20" s="1813">
        <v>1</v>
      </c>
    </row>
    <row r="21" spans="1:29" ht="42.75">
      <c r="A21" s="427"/>
      <c r="B21" s="1386" t="s">
        <v>2097</v>
      </c>
      <c r="C21" s="2609"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193"/>
      <c r="Q22" s="1812"/>
      <c r="R22" s="773"/>
      <c r="S22" s="774"/>
      <c r="T22" s="773"/>
      <c r="U22" s="774"/>
      <c r="V22" s="773"/>
      <c r="W22" s="774"/>
      <c r="X22" s="1815"/>
      <c r="Y22" s="3186"/>
      <c r="Z22" s="1816"/>
      <c r="AA22" s="1813">
        <v>1</v>
      </c>
      <c r="AB22" s="1813">
        <v>1</v>
      </c>
      <c r="AC22" s="1813">
        <v>1</v>
      </c>
    </row>
    <row r="23" spans="1:29" ht="99.75">
      <c r="A23" s="427"/>
      <c r="B23" s="450" t="s">
        <v>2101</v>
      </c>
      <c r="C23" s="2609" t="str">
        <f>估价对象房地状况!C9</f>
        <v>区域自然环境：有五棵松公园、定慧公园等；人文环境：国家开放大学(五棵松校区)等；综合评价环境状况较好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3"/>
      <c r="Q23" s="1812" t="str">
        <f>B23</f>
        <v>自然及人文环境</v>
      </c>
      <c r="R23" s="773" t="s">
        <v>21</v>
      </c>
      <c r="S23" s="774">
        <f>F23</f>
        <v>100</v>
      </c>
      <c r="T23" s="773" t="s">
        <v>21</v>
      </c>
      <c r="U23" s="774">
        <f>H23</f>
        <v>100</v>
      </c>
      <c r="V23" s="773" t="s">
        <v>21</v>
      </c>
      <c r="W23" s="774">
        <f>J23</f>
        <v>100</v>
      </c>
      <c r="X23" s="1815"/>
      <c r="Y23" s="3186"/>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193"/>
      <c r="Q24" s="1812"/>
      <c r="R24" s="773"/>
      <c r="S24" s="774"/>
      <c r="T24" s="773"/>
      <c r="U24" s="774"/>
      <c r="V24" s="773"/>
      <c r="W24" s="774"/>
      <c r="X24" s="1815"/>
      <c r="Y24" s="3186"/>
      <c r="Z24" s="1816"/>
      <c r="AA24" s="1813">
        <v>1</v>
      </c>
      <c r="AB24" s="1813">
        <v>1</v>
      </c>
      <c r="AC24" s="1813">
        <v>1</v>
      </c>
    </row>
    <row r="25" spans="1:29" ht="15">
      <c r="A25" s="427"/>
      <c r="B25" s="421" t="s">
        <v>2558</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19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7"/>
      <c r="B26" s="421" t="s">
        <v>2559</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193"/>
      <c r="Q26" s="1812" t="str">
        <f t="shared" si="11"/>
        <v>朝向</v>
      </c>
      <c r="R26" s="773" t="s">
        <v>21</v>
      </c>
      <c r="S26" s="774">
        <f t="shared" si="12"/>
        <v>100</v>
      </c>
      <c r="T26" s="773" t="s">
        <v>21</v>
      </c>
      <c r="U26" s="774">
        <f t="shared" si="13"/>
        <v>100</v>
      </c>
      <c r="V26" s="773" t="s">
        <v>21</v>
      </c>
      <c r="W26" s="774">
        <f t="shared" si="14"/>
        <v>100</v>
      </c>
      <c r="X26" s="1815"/>
      <c r="Y26" s="3186"/>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193"/>
      <c r="Q27" s="1797">
        <f t="shared" si="11"/>
        <v>111</v>
      </c>
      <c r="R27" s="769" t="s">
        <v>21</v>
      </c>
      <c r="S27" s="770">
        <f t="shared" si="12"/>
        <v>100</v>
      </c>
      <c r="T27" s="769" t="s">
        <v>21</v>
      </c>
      <c r="U27" s="770">
        <f t="shared" si="13"/>
        <v>100</v>
      </c>
      <c r="V27" s="769" t="s">
        <v>21</v>
      </c>
      <c r="W27" s="770">
        <f t="shared" si="14"/>
        <v>100</v>
      </c>
      <c r="X27" s="771"/>
      <c r="Y27" s="3186"/>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193"/>
      <c r="Q28" s="1812">
        <f t="shared" si="11"/>
        <v>111</v>
      </c>
      <c r="R28" s="773" t="s">
        <v>21</v>
      </c>
      <c r="S28" s="774">
        <f t="shared" si="12"/>
        <v>100</v>
      </c>
      <c r="T28" s="773" t="s">
        <v>21</v>
      </c>
      <c r="U28" s="774">
        <f t="shared" si="13"/>
        <v>100</v>
      </c>
      <c r="V28" s="773" t="s">
        <v>21</v>
      </c>
      <c r="W28" s="774">
        <f t="shared" si="14"/>
        <v>100</v>
      </c>
      <c r="X28" s="1815"/>
      <c r="Y28" s="3186"/>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193"/>
      <c r="Q29" s="1812">
        <f t="shared" si="11"/>
        <v>111</v>
      </c>
      <c r="R29" s="773" t="s">
        <v>21</v>
      </c>
      <c r="S29" s="774">
        <f t="shared" si="12"/>
        <v>100</v>
      </c>
      <c r="T29" s="773" t="s">
        <v>21</v>
      </c>
      <c r="U29" s="774">
        <f t="shared" si="13"/>
        <v>100</v>
      </c>
      <c r="V29" s="773" t="s">
        <v>21</v>
      </c>
      <c r="W29" s="774">
        <f t="shared" si="14"/>
        <v>100</v>
      </c>
      <c r="X29" s="1815"/>
      <c r="Y29" s="3186"/>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193"/>
      <c r="Q30" s="1812">
        <f t="shared" si="11"/>
        <v>111</v>
      </c>
      <c r="R30" s="773" t="s">
        <v>21</v>
      </c>
      <c r="S30" s="774">
        <f t="shared" si="12"/>
        <v>100</v>
      </c>
      <c r="T30" s="773" t="s">
        <v>21</v>
      </c>
      <c r="U30" s="774">
        <f t="shared" si="13"/>
        <v>100</v>
      </c>
      <c r="V30" s="773" t="s">
        <v>21</v>
      </c>
      <c r="W30" s="774">
        <f t="shared" si="14"/>
        <v>100</v>
      </c>
      <c r="X30" s="1815"/>
      <c r="Y30" s="3186"/>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193"/>
      <c r="Q31" s="1812">
        <f t="shared" si="11"/>
        <v>111</v>
      </c>
      <c r="R31" s="773" t="s">
        <v>21</v>
      </c>
      <c r="S31" s="774">
        <f t="shared" si="12"/>
        <v>100</v>
      </c>
      <c r="T31" s="773" t="s">
        <v>21</v>
      </c>
      <c r="U31" s="774">
        <f t="shared" si="13"/>
        <v>100</v>
      </c>
      <c r="V31" s="773" t="s">
        <v>21</v>
      </c>
      <c r="W31" s="774">
        <f t="shared" si="14"/>
        <v>100</v>
      </c>
      <c r="X31" s="1815"/>
      <c r="Y31" s="3186"/>
      <c r="Z31" s="1816">
        <f t="shared" si="18"/>
        <v>111</v>
      </c>
      <c r="AA31" s="1813">
        <f t="shared" si="15"/>
        <v>1</v>
      </c>
      <c r="AB31" s="1813">
        <f t="shared" si="16"/>
        <v>1</v>
      </c>
      <c r="AC31" s="1813">
        <f t="shared" si="17"/>
        <v>1</v>
      </c>
    </row>
    <row r="32" spans="1:29" ht="15">
      <c r="A32" s="439" t="s">
        <v>2560</v>
      </c>
      <c r="B32" s="71" t="s">
        <v>2561</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187" t="s">
        <v>2562</v>
      </c>
      <c r="Q32" s="1812" t="str">
        <f t="shared" si="11"/>
        <v>建筑类型</v>
      </c>
      <c r="R32" s="773" t="s">
        <v>21</v>
      </c>
      <c r="S32" s="774">
        <f t="shared" si="12"/>
        <v>100</v>
      </c>
      <c r="T32" s="773" t="s">
        <v>21</v>
      </c>
      <c r="U32" s="774">
        <f t="shared" si="13"/>
        <v>100</v>
      </c>
      <c r="V32" s="773" t="s">
        <v>21</v>
      </c>
      <c r="W32" s="774">
        <f t="shared" si="14"/>
        <v>100</v>
      </c>
      <c r="X32" s="1815"/>
      <c r="Y32" s="3190" t="s">
        <v>2562</v>
      </c>
      <c r="Z32" s="1816" t="str">
        <f t="shared" si="18"/>
        <v>建筑类型</v>
      </c>
      <c r="AA32" s="1813">
        <f t="shared" si="15"/>
        <v>1</v>
      </c>
      <c r="AB32" s="1813">
        <f t="shared" si="16"/>
        <v>1</v>
      </c>
      <c r="AC32" s="1813">
        <f t="shared" si="17"/>
        <v>1</v>
      </c>
    </row>
    <row r="33" spans="1:29" s="470" customFormat="1" ht="15">
      <c r="A33" s="467"/>
      <c r="B33" s="421" t="s">
        <v>2563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40"/>
      <c r="M33" s="1143"/>
      <c r="N33" s="1143"/>
      <c r="O33" s="1143"/>
      <c r="P33" s="3188"/>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3" t="e">
        <f t="shared" si="15"/>
        <v>#N/A</v>
      </c>
      <c r="AB33" s="1813" t="e">
        <f t="shared" si="16"/>
        <v>#N/A</v>
      </c>
      <c r="AC33" s="1813" t="e">
        <f t="shared" si="17"/>
        <v>#N/A</v>
      </c>
    </row>
    <row r="34" spans="1:29" ht="15">
      <c r="A34" s="471"/>
      <c r="B34" s="421" t="s">
        <v>2564</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188"/>
      <c r="Q34" s="1812" t="str">
        <f t="shared" si="11"/>
        <v>建筑结构</v>
      </c>
      <c r="R34" s="773" t="s">
        <v>21</v>
      </c>
      <c r="S34" s="774">
        <f t="shared" si="12"/>
        <v>100</v>
      </c>
      <c r="T34" s="773" t="s">
        <v>21</v>
      </c>
      <c r="U34" s="774">
        <f t="shared" si="13"/>
        <v>100</v>
      </c>
      <c r="V34" s="773" t="s">
        <v>21</v>
      </c>
      <c r="W34" s="774">
        <f t="shared" si="14"/>
        <v>100</v>
      </c>
      <c r="X34" s="1815"/>
      <c r="Y34" s="3190"/>
      <c r="Z34" s="1816" t="str">
        <f t="shared" si="18"/>
        <v>建筑结构</v>
      </c>
      <c r="AA34" s="1813">
        <f t="shared" si="15"/>
        <v>1</v>
      </c>
      <c r="AB34" s="1813">
        <f t="shared" si="16"/>
        <v>1</v>
      </c>
      <c r="AC34" s="1813">
        <f t="shared" si="17"/>
        <v>1</v>
      </c>
    </row>
    <row r="35" spans="1:29" ht="15">
      <c r="A35" s="471"/>
      <c r="B35" s="421" t="s">
        <v>2565</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188"/>
      <c r="Q35" s="1812" t="str">
        <f t="shared" si="11"/>
        <v>建筑品质</v>
      </c>
      <c r="R35" s="773" t="s">
        <v>21</v>
      </c>
      <c r="S35" s="774">
        <f t="shared" si="12"/>
        <v>100</v>
      </c>
      <c r="T35" s="773" t="s">
        <v>21</v>
      </c>
      <c r="U35" s="774">
        <f t="shared" si="13"/>
        <v>100</v>
      </c>
      <c r="V35" s="773" t="s">
        <v>21</v>
      </c>
      <c r="W35" s="774">
        <f t="shared" si="14"/>
        <v>100</v>
      </c>
      <c r="X35" s="1815"/>
      <c r="Y35" s="3190"/>
      <c r="Z35" s="1816" t="str">
        <f t="shared" si="18"/>
        <v>建筑品质</v>
      </c>
      <c r="AA35" s="1813">
        <f t="shared" si="15"/>
        <v>1</v>
      </c>
      <c r="AB35" s="1813">
        <f t="shared" si="16"/>
        <v>1</v>
      </c>
      <c r="AC35" s="1813">
        <f t="shared" si="17"/>
        <v>1</v>
      </c>
    </row>
    <row r="36" spans="1:29" ht="15">
      <c r="A36" s="471"/>
      <c r="B36" s="421" t="s">
        <v>2566</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188"/>
      <c r="Q36" s="1812" t="str">
        <f t="shared" si="11"/>
        <v>公共部分装修</v>
      </c>
      <c r="R36" s="773" t="s">
        <v>21</v>
      </c>
      <c r="S36" s="774">
        <f t="shared" si="12"/>
        <v>100</v>
      </c>
      <c r="T36" s="773" t="s">
        <v>21</v>
      </c>
      <c r="U36" s="774">
        <f t="shared" si="13"/>
        <v>100</v>
      </c>
      <c r="V36" s="773" t="s">
        <v>21</v>
      </c>
      <c r="W36" s="774">
        <f t="shared" si="14"/>
        <v>100</v>
      </c>
      <c r="X36" s="1815"/>
      <c r="Y36" s="3190"/>
      <c r="Z36" s="1816" t="str">
        <f t="shared" si="18"/>
        <v>公共部分装修</v>
      </c>
      <c r="AA36" s="1813">
        <f t="shared" si="15"/>
        <v>1</v>
      </c>
      <c r="AB36" s="1813">
        <f t="shared" si="16"/>
        <v>1</v>
      </c>
      <c r="AC36" s="1813">
        <f t="shared" si="17"/>
        <v>1</v>
      </c>
    </row>
    <row r="37" spans="1:29" s="117" customFormat="1" ht="15">
      <c r="A37" s="472"/>
      <c r="B37" s="421" t="s">
        <v>2567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88"/>
      <c r="Q37" s="1797" t="str">
        <f t="shared" si="11"/>
        <v>成新度</v>
      </c>
      <c r="R37" s="769" t="s">
        <v>21</v>
      </c>
      <c r="S37" s="770" t="e">
        <f t="shared" si="12"/>
        <v>#N/A</v>
      </c>
      <c r="T37" s="769" t="s">
        <v>21</v>
      </c>
      <c r="U37" s="770" t="e">
        <f t="shared" si="13"/>
        <v>#N/A</v>
      </c>
      <c r="V37" s="769" t="s">
        <v>21</v>
      </c>
      <c r="W37" s="770" t="e">
        <f t="shared" si="14"/>
        <v>#N/A</v>
      </c>
      <c r="X37" s="771"/>
      <c r="Y37" s="3190"/>
      <c r="Z37" s="55" t="str">
        <f t="shared" si="18"/>
        <v>成新度</v>
      </c>
      <c r="AA37" s="772" t="e">
        <f t="shared" si="15"/>
        <v>#N/A</v>
      </c>
      <c r="AB37" s="772" t="e">
        <f t="shared" si="16"/>
        <v>#N/A</v>
      </c>
      <c r="AC37" s="772" t="e">
        <f t="shared" si="17"/>
        <v>#N/A</v>
      </c>
    </row>
    <row r="38" spans="1:29" ht="15">
      <c r="A38" s="471"/>
      <c r="B38" s="421" t="s">
        <v>2568</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188" t="s">
        <v>2562</v>
      </c>
      <c r="Q38" s="1812" t="str">
        <f t="shared" si="11"/>
        <v>物业管理</v>
      </c>
      <c r="R38" s="773" t="s">
        <v>21</v>
      </c>
      <c r="S38" s="774">
        <f t="shared" si="12"/>
        <v>100</v>
      </c>
      <c r="T38" s="773" t="s">
        <v>21</v>
      </c>
      <c r="U38" s="774">
        <f t="shared" si="13"/>
        <v>100</v>
      </c>
      <c r="V38" s="773" t="s">
        <v>21</v>
      </c>
      <c r="W38" s="774">
        <f t="shared" si="14"/>
        <v>100</v>
      </c>
      <c r="X38" s="1815"/>
      <c r="Y38" s="3190" t="s">
        <v>2562</v>
      </c>
      <c r="Z38" s="1816" t="str">
        <f t="shared" si="18"/>
        <v>物业管理</v>
      </c>
      <c r="AA38" s="1813">
        <f t="shared" si="15"/>
        <v>1</v>
      </c>
      <c r="AB38" s="1813">
        <f t="shared" si="16"/>
        <v>1</v>
      </c>
      <c r="AC38" s="1813">
        <f t="shared" si="17"/>
        <v>1</v>
      </c>
    </row>
    <row r="39" spans="1:29" ht="15">
      <c r="A39" s="471"/>
      <c r="B39" s="421" t="s">
        <v>2569</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188"/>
      <c r="Q39" s="1812" t="str">
        <f t="shared" si="11"/>
        <v>市政基础设施</v>
      </c>
      <c r="R39" s="773" t="s">
        <v>21</v>
      </c>
      <c r="S39" s="774">
        <f t="shared" si="12"/>
        <v>100</v>
      </c>
      <c r="T39" s="773" t="s">
        <v>21</v>
      </c>
      <c r="U39" s="774">
        <f t="shared" si="13"/>
        <v>100</v>
      </c>
      <c r="V39" s="773" t="s">
        <v>21</v>
      </c>
      <c r="W39" s="774">
        <f t="shared" si="14"/>
        <v>100</v>
      </c>
      <c r="X39" s="1815"/>
      <c r="Y39" s="3190"/>
      <c r="Z39" s="1816" t="str">
        <f t="shared" si="18"/>
        <v>市政基础设施</v>
      </c>
      <c r="AA39" s="1813">
        <f t="shared" si="15"/>
        <v>1</v>
      </c>
      <c r="AB39" s="1813">
        <f t="shared" si="16"/>
        <v>1</v>
      </c>
      <c r="AC39" s="1813">
        <f t="shared" si="17"/>
        <v>1</v>
      </c>
    </row>
    <row r="40" spans="1:29" ht="15">
      <c r="A40" s="471"/>
      <c r="B40" s="421" t="s">
        <v>2570</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188"/>
      <c r="Q40" s="1812" t="str">
        <f t="shared" si="11"/>
        <v>房型</v>
      </c>
      <c r="R40" s="773" t="s">
        <v>21</v>
      </c>
      <c r="S40" s="774">
        <f t="shared" si="12"/>
        <v>100</v>
      </c>
      <c r="T40" s="773" t="s">
        <v>21</v>
      </c>
      <c r="U40" s="774">
        <f t="shared" si="13"/>
        <v>100</v>
      </c>
      <c r="V40" s="773" t="s">
        <v>21</v>
      </c>
      <c r="W40" s="774">
        <f t="shared" si="14"/>
        <v>100</v>
      </c>
      <c r="X40" s="1815"/>
      <c r="Y40" s="3190"/>
      <c r="Z40" s="1816" t="str">
        <f t="shared" si="18"/>
        <v>房型</v>
      </c>
      <c r="AA40" s="1813">
        <f t="shared" si="15"/>
        <v>1</v>
      </c>
      <c r="AB40" s="1813">
        <f t="shared" si="16"/>
        <v>1</v>
      </c>
      <c r="AC40" s="1813">
        <f t="shared" si="17"/>
        <v>1</v>
      </c>
    </row>
    <row r="41" spans="1:29" s="470" customFormat="1" ht="28.5">
      <c r="A41" s="467"/>
      <c r="B41" s="421" t="s">
        <v>2571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40"/>
      <c r="M41" s="1143"/>
      <c r="N41" s="1143"/>
      <c r="O41" s="1143"/>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3">
        <f t="shared" si="15"/>
        <v>1</v>
      </c>
      <c r="AB41" s="1813">
        <f t="shared" si="16"/>
        <v>1</v>
      </c>
      <c r="AC41" s="1813">
        <f t="shared" si="17"/>
        <v>1</v>
      </c>
    </row>
    <row r="42" spans="1:29" ht="15">
      <c r="A42" s="471"/>
      <c r="B42" s="421" t="s">
        <v>2572</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188"/>
      <c r="Q42" s="1812" t="str">
        <f t="shared" si="11"/>
        <v>内部装修</v>
      </c>
      <c r="R42" s="773" t="s">
        <v>21</v>
      </c>
      <c r="S42" s="774">
        <f t="shared" si="12"/>
        <v>100</v>
      </c>
      <c r="T42" s="773" t="s">
        <v>21</v>
      </c>
      <c r="U42" s="774">
        <f t="shared" si="13"/>
        <v>100</v>
      </c>
      <c r="V42" s="773" t="s">
        <v>21</v>
      </c>
      <c r="W42" s="774">
        <f t="shared" si="14"/>
        <v>100</v>
      </c>
      <c r="X42" s="1815"/>
      <c r="Y42" s="3190"/>
      <c r="Z42" s="1816" t="str">
        <f t="shared" si="18"/>
        <v>内部装修</v>
      </c>
      <c r="AA42" s="1813">
        <f t="shared" si="15"/>
        <v>1</v>
      </c>
      <c r="AB42" s="1813">
        <f t="shared" si="16"/>
        <v>1</v>
      </c>
      <c r="AC42" s="1813">
        <f t="shared" si="17"/>
        <v>1</v>
      </c>
    </row>
    <row r="43" spans="1:29" ht="15">
      <c r="A43" s="471"/>
      <c r="B43" s="421" t="s">
        <v>2573</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188"/>
      <c r="Q43" s="1812" t="str">
        <f t="shared" si="11"/>
        <v>内部装修维护情况</v>
      </c>
      <c r="R43" s="773" t="s">
        <v>21</v>
      </c>
      <c r="S43" s="774">
        <f t="shared" si="12"/>
        <v>100</v>
      </c>
      <c r="T43" s="773" t="s">
        <v>21</v>
      </c>
      <c r="U43" s="774">
        <f t="shared" si="13"/>
        <v>100</v>
      </c>
      <c r="V43" s="773" t="s">
        <v>21</v>
      </c>
      <c r="W43" s="774">
        <f t="shared" si="14"/>
        <v>100</v>
      </c>
      <c r="X43" s="1815"/>
      <c r="Y43" s="3190"/>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4"/>
      <c r="M44" s="1135"/>
      <c r="N44" s="1135"/>
      <c r="O44" s="1135"/>
      <c r="P44" s="3188"/>
      <c r="Q44" s="1797">
        <f t="shared" si="11"/>
        <v>111</v>
      </c>
      <c r="R44" s="769" t="s">
        <v>21</v>
      </c>
      <c r="S44" s="770">
        <f t="shared" si="12"/>
        <v>100</v>
      </c>
      <c r="T44" s="769" t="s">
        <v>21</v>
      </c>
      <c r="U44" s="770">
        <f t="shared" si="13"/>
        <v>100</v>
      </c>
      <c r="V44" s="769" t="s">
        <v>21</v>
      </c>
      <c r="W44" s="770">
        <f t="shared" si="14"/>
        <v>100</v>
      </c>
      <c r="X44" s="771"/>
      <c r="Y44" s="319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188"/>
      <c r="Q45" s="1812">
        <f t="shared" si="11"/>
        <v>111</v>
      </c>
      <c r="R45" s="773" t="s">
        <v>21</v>
      </c>
      <c r="S45" s="774">
        <f t="shared" si="12"/>
        <v>100</v>
      </c>
      <c r="T45" s="773" t="s">
        <v>21</v>
      </c>
      <c r="U45" s="774">
        <f t="shared" si="13"/>
        <v>100</v>
      </c>
      <c r="V45" s="773" t="s">
        <v>21</v>
      </c>
      <c r="W45" s="774">
        <f t="shared" si="14"/>
        <v>100</v>
      </c>
      <c r="X45" s="1815"/>
      <c r="Y45" s="3190"/>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189"/>
      <c r="Q46" s="1812">
        <f t="shared" si="11"/>
        <v>111</v>
      </c>
      <c r="R46" s="773" t="s">
        <v>20</v>
      </c>
      <c r="S46" s="774">
        <f t="shared" si="12"/>
        <v>100</v>
      </c>
      <c r="T46" s="773" t="s">
        <v>20</v>
      </c>
      <c r="U46" s="774">
        <f t="shared" si="13"/>
        <v>100</v>
      </c>
      <c r="V46" s="773" t="s">
        <v>20</v>
      </c>
      <c r="W46" s="774">
        <f t="shared" si="14"/>
        <v>100</v>
      </c>
      <c r="X46" s="1815"/>
      <c r="Y46" s="3191"/>
      <c r="Z46" s="1816">
        <f t="shared" si="18"/>
        <v>111</v>
      </c>
      <c r="AA46" s="1813">
        <f t="shared" si="15"/>
        <v>1</v>
      </c>
      <c r="AB46" s="1813">
        <f t="shared" si="16"/>
        <v>1</v>
      </c>
      <c r="AC46" s="1813">
        <f t="shared" si="17"/>
        <v>1</v>
      </c>
    </row>
    <row r="47" spans="1:29" ht="15">
      <c r="A47" s="478" t="s">
        <v>2574</v>
      </c>
      <c r="B47" s="479"/>
      <c r="C47" s="1409" t="s">
        <v>19</v>
      </c>
      <c r="D47" s="1410"/>
      <c r="E47" s="1411"/>
      <c r="F47" s="1412"/>
      <c r="G47" s="1413"/>
      <c r="H47" s="1414"/>
      <c r="I47" s="1411"/>
      <c r="J47" s="1414"/>
      <c r="K47" s="2623"/>
      <c r="L47" s="1145"/>
      <c r="M47" s="1146"/>
      <c r="N47" s="1133"/>
      <c r="O47" s="1146"/>
      <c r="P47" s="3183" t="str">
        <f>A47</f>
        <v>成交单价（元/平方米）</v>
      </c>
      <c r="Q47" s="3183"/>
      <c r="R47" s="3184">
        <f>E47</f>
        <v>0</v>
      </c>
      <c r="S47" s="3184"/>
      <c r="T47" s="3184">
        <f>G47</f>
        <v>0</v>
      </c>
      <c r="U47" s="3184"/>
      <c r="V47" s="3184">
        <f>I47</f>
        <v>0</v>
      </c>
      <c r="W47" s="3184"/>
      <c r="X47" s="758"/>
      <c r="Y47" s="780"/>
      <c r="Z47" s="758"/>
      <c r="AA47" s="758"/>
      <c r="AB47" s="758"/>
      <c r="AC47" s="758"/>
    </row>
    <row r="48" spans="1:29" ht="15.75" thickBot="1">
      <c r="A48" s="485" t="s">
        <v>2575</v>
      </c>
      <c r="B48" s="486"/>
      <c r="C48" s="1415" t="e">
        <f>R49</f>
        <v>#DIV/0!</v>
      </c>
      <c r="D48" s="1416"/>
      <c r="E48" s="1417" t="e">
        <f>R48</f>
        <v>#DIV/0!</v>
      </c>
      <c r="F48" s="1417"/>
      <c r="G48" s="1415" t="e">
        <f>T48</f>
        <v>#DIV/0!</v>
      </c>
      <c r="H48" s="1416"/>
      <c r="I48" s="1417" t="e">
        <f>V48</f>
        <v>#DIV/0!</v>
      </c>
      <c r="J48" s="1416"/>
      <c r="K48" s="2624"/>
      <c r="L48" s="1145"/>
      <c r="M48" s="1146"/>
      <c r="N48" s="1146"/>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1" t="s">
        <v>2576</v>
      </c>
      <c r="B49" s="492"/>
      <c r="C49" s="1418" t="e">
        <f>R49</f>
        <v>#DIV/0!</v>
      </c>
      <c r="D49" s="1419"/>
      <c r="E49" s="1419"/>
      <c r="F49" s="1419"/>
      <c r="G49" s="1419"/>
      <c r="H49" s="1419"/>
      <c r="I49" s="1419"/>
      <c r="J49" s="1419"/>
      <c r="K49" s="2625"/>
      <c r="L49" s="1145"/>
      <c r="M49" s="1146"/>
      <c r="N49" s="1146"/>
      <c r="O49" s="1146"/>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8"/>
      <c r="Q57" s="503"/>
    </row>
    <row r="58" spans="1:29" s="507" customFormat="1" ht="15">
      <c r="A58" s="504" t="s">
        <v>2581</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8"/>
      <c r="B59" s="2629"/>
      <c r="C59" s="1575">
        <v>100</v>
      </c>
      <c r="D59" s="510"/>
      <c r="E59" s="511"/>
      <c r="F59" s="511"/>
      <c r="G59" s="511"/>
      <c r="H59" s="511"/>
      <c r="I59" s="511"/>
      <c r="J59" s="511"/>
      <c r="K59" s="511"/>
      <c r="L59" s="511"/>
      <c r="M59" s="512"/>
      <c r="N59" s="511"/>
      <c r="O59" s="512"/>
      <c r="P59" s="2630"/>
    </row>
    <row r="60" spans="1:29" s="117" customFormat="1" ht="15.75" thickBot="1">
      <c r="A60" s="514" t="s">
        <v>2582</v>
      </c>
      <c r="B60" s="515"/>
      <c r="C60" s="516"/>
      <c r="D60" s="517"/>
      <c r="E60" s="517"/>
      <c r="F60" s="517"/>
      <c r="G60" s="517"/>
      <c r="H60" s="517"/>
      <c r="I60" s="517"/>
      <c r="J60" s="517"/>
      <c r="K60" s="517"/>
      <c r="L60" s="517"/>
      <c r="M60" s="518"/>
      <c r="N60" s="517"/>
      <c r="O60" s="518"/>
      <c r="P60" s="2630"/>
      <c r="Q60" s="503"/>
    </row>
    <row r="61" spans="1:29" s="117" customFormat="1" ht="15">
      <c r="A61" s="520" t="s">
        <v>2583</v>
      </c>
      <c r="B61" s="509"/>
      <c r="C61" s="521" t="s">
        <v>2584</v>
      </c>
      <c r="D61" s="522"/>
      <c r="E61" s="522"/>
      <c r="F61" s="522"/>
      <c r="G61" s="522"/>
      <c r="H61" s="522"/>
      <c r="I61" s="522"/>
      <c r="J61" s="522"/>
      <c r="K61" s="522"/>
      <c r="L61" s="523"/>
      <c r="M61" s="524"/>
      <c r="N61" s="1153"/>
      <c r="O61" s="1153"/>
      <c r="P61" s="2631"/>
      <c r="Q61" s="503"/>
    </row>
    <row r="62" spans="1:29" s="117"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2585</v>
      </c>
      <c r="B63" s="527" t="s">
        <v>2551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2097</v>
      </c>
      <c r="C82" s="538" t="s">
        <v>2601</v>
      </c>
      <c r="D82" s="538" t="s">
        <v>2602</v>
      </c>
      <c r="E82" s="538" t="s">
        <v>2603</v>
      </c>
      <c r="F82" s="538" t="s">
        <v>2604</v>
      </c>
      <c r="G82" s="538" t="s">
        <v>2605</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7" customFormat="1" ht="15.75" thickTop="1">
      <c r="A86" s="578"/>
      <c r="B86" s="537" t="s">
        <v>2607</v>
      </c>
      <c r="C86" s="553"/>
      <c r="D86" s="553"/>
      <c r="E86" s="553"/>
      <c r="F86" s="553"/>
      <c r="G86" s="553"/>
      <c r="H86" s="553"/>
      <c r="I86" s="553"/>
      <c r="J86" s="553"/>
      <c r="K86" s="553"/>
      <c r="L86" s="579"/>
      <c r="M86" s="580"/>
      <c r="N86" s="1153"/>
      <c r="O86" s="1153"/>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7" customFormat="1" ht="15.75" thickTop="1">
      <c r="A88" s="578"/>
      <c r="B88" s="537" t="s">
        <v>2608</v>
      </c>
      <c r="C88" s="553"/>
      <c r="D88" s="553"/>
      <c r="E88" s="553"/>
      <c r="F88" s="2637"/>
      <c r="G88" s="553"/>
      <c r="H88" s="553"/>
      <c r="I88" s="553"/>
      <c r="J88" s="553"/>
      <c r="K88" s="553"/>
      <c r="L88" s="553"/>
      <c r="M88" s="580"/>
      <c r="N88" s="1153"/>
      <c r="O88" s="1153"/>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2560</v>
      </c>
      <c r="B100" s="527" t="s">
        <v>2609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2612</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2613</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2614</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2615</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2616</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2571</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2617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6">
        <v>6</v>
      </c>
      <c r="C139" s="1087">
        <v>96</v>
      </c>
      <c r="D139" s="2650" t="s">
        <v>2628</v>
      </c>
      <c r="E139" s="1088">
        <v>100</v>
      </c>
      <c r="F139" s="1089">
        <v>102.5</v>
      </c>
      <c r="G139" s="2650" t="s">
        <v>2628</v>
      </c>
      <c r="H139" s="1090">
        <v>105</v>
      </c>
      <c r="I139" s="2651" t="s">
        <v>2629</v>
      </c>
      <c r="J139" s="1087">
        <v>20</v>
      </c>
      <c r="K139" s="1091">
        <f>C145/(J139-2)</f>
        <v>4.0555555555555553E-3</v>
      </c>
    </row>
    <row r="140" spans="1:17" ht="15">
      <c r="B140" s="1092">
        <v>5</v>
      </c>
      <c r="C140" s="1093">
        <v>100</v>
      </c>
      <c r="D140" s="1093"/>
      <c r="E140" s="1094"/>
      <c r="F140" s="1095">
        <v>102</v>
      </c>
      <c r="G140" s="1093"/>
      <c r="H140" s="1096"/>
      <c r="I140" s="2652" t="s">
        <v>2630</v>
      </c>
      <c r="J140" s="315">
        <f>ROUNDUP((J139-1)/2,0)</f>
        <v>10</v>
      </c>
      <c r="K140" s="1097">
        <v>100</v>
      </c>
    </row>
    <row r="141" spans="1:17" ht="15">
      <c r="B141" s="1092">
        <v>4</v>
      </c>
      <c r="C141" s="1093">
        <v>102</v>
      </c>
      <c r="D141" s="1093"/>
      <c r="E141" s="1094"/>
      <c r="F141" s="1095">
        <v>101.5</v>
      </c>
      <c r="G141" s="1093"/>
      <c r="H141" s="1096"/>
      <c r="I141" s="2652" t="s">
        <v>2631</v>
      </c>
      <c r="J141" s="315">
        <v>1</v>
      </c>
      <c r="K141" s="1098">
        <f>ROUND(100+(J141-J140)*K139*100,1)</f>
        <v>96.4</v>
      </c>
    </row>
    <row r="142" spans="1:17" ht="15">
      <c r="B142" s="1092">
        <v>3</v>
      </c>
      <c r="C142" s="1093">
        <v>103</v>
      </c>
      <c r="D142" s="1093"/>
      <c r="E142" s="1094"/>
      <c r="F142" s="1095">
        <v>101</v>
      </c>
      <c r="G142" s="1093"/>
      <c r="H142" s="1096"/>
      <c r="I142" s="2652" t="s">
        <v>2632</v>
      </c>
      <c r="J142" s="315">
        <f>J139</f>
        <v>20</v>
      </c>
      <c r="K142" s="1099">
        <v>95</v>
      </c>
    </row>
    <row r="143" spans="1:17" ht="15">
      <c r="B143" s="1092">
        <v>2</v>
      </c>
      <c r="C143" s="1093">
        <v>100</v>
      </c>
      <c r="D143" s="1093"/>
      <c r="E143" s="1094"/>
      <c r="F143" s="1095">
        <v>100.5</v>
      </c>
      <c r="G143" s="1093"/>
      <c r="H143" s="1096"/>
      <c r="I143" s="2652" t="s">
        <v>2633</v>
      </c>
      <c r="J143" s="1093">
        <v>15</v>
      </c>
      <c r="K143" s="1098">
        <f>ROUND(100+(J143-J140)*K139*100,1)</f>
        <v>102</v>
      </c>
    </row>
    <row r="144" spans="1:17" ht="15">
      <c r="B144" s="1092">
        <v>1</v>
      </c>
      <c r="C144" s="1093">
        <v>98</v>
      </c>
      <c r="D144" s="2653" t="s">
        <v>2634</v>
      </c>
      <c r="E144" s="1094">
        <v>102</v>
      </c>
      <c r="F144" s="1100">
        <v>100</v>
      </c>
      <c r="G144" s="2653" t="s">
        <v>2634</v>
      </c>
      <c r="H144" s="1096">
        <v>105</v>
      </c>
      <c r="I144" s="2652" t="s">
        <v>2633</v>
      </c>
      <c r="J144" s="1093">
        <v>18</v>
      </c>
      <c r="K144" s="1098">
        <f>ROUND(100+(J144-J140)*K139*100,1)</f>
        <v>103.2</v>
      </c>
    </row>
    <row r="145" spans="2:11" ht="15.75" thickBot="1">
      <c r="B145" s="2654" t="s">
        <v>2635</v>
      </c>
      <c r="C145" s="1101">
        <f>ROUND(MAX(C139:C144)/MIN(C139:C144)-1,3)</f>
        <v>7.2999999999999995E-2</v>
      </c>
      <c r="D145" s="1102"/>
      <c r="E145" s="1102"/>
      <c r="F145" s="2655" t="s">
        <v>2636</v>
      </c>
      <c r="G145" s="2656"/>
      <c r="H145" s="2657"/>
      <c r="I145" s="2658" t="s">
        <v>2633</v>
      </c>
      <c r="J145" s="1103">
        <v>8</v>
      </c>
      <c r="K145" s="1104">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2639</v>
      </c>
      <c r="C1" s="1636" t="s">
        <v>2527</v>
      </c>
      <c r="D1" s="1623"/>
      <c r="E1" s="2659"/>
      <c r="F1" s="2586"/>
      <c r="G1" s="1633" t="s">
        <v>2640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2324</v>
      </c>
      <c r="B2" s="1420" t="e">
        <f ca="1">IF(C2="——",ROUND(C49*D3/10000,0),ROUND(C49*D3/10000,0)-D2)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2326</v>
      </c>
      <c r="B3" s="608" t="e">
        <f ca="1">IF(C2="——",C49,ROUND(B2*10000/D3,0))</f>
        <v>#DIV/0!</v>
      </c>
      <c r="C3" s="400" t="s">
        <v>2641</v>
      </c>
      <c r="D3" s="399">
        <f>IF(D1="",'数据-汇总表'!E3,SUMIF('数据-汇总表'!$C19:$C33,D1,'数据-汇总表'!$E19:$E33))</f>
        <v>4824.4600000000037</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214" t="s">
        <v>2645</v>
      </c>
      <c r="AC4" s="3195" t="s">
        <v>2646</v>
      </c>
    </row>
    <row r="5" spans="1:29"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214"/>
      <c r="AC5" s="3196"/>
    </row>
    <row r="6" spans="1:29" ht="15.75" thickBot="1">
      <c r="A6" s="406"/>
      <c r="B6" s="407"/>
      <c r="C6" s="3215" t="s">
        <v>2543</v>
      </c>
      <c r="D6" s="3216"/>
      <c r="E6" s="3222" t="s">
        <v>2543</v>
      </c>
      <c r="F6" s="3223"/>
      <c r="G6" s="3215" t="s">
        <v>2543</v>
      </c>
      <c r="H6" s="3216"/>
      <c r="I6" s="3215" t="s">
        <v>2543</v>
      </c>
      <c r="J6" s="3216"/>
      <c r="K6" s="609" t="s">
        <v>2544</v>
      </c>
      <c r="L6" s="1132"/>
      <c r="M6" s="1133"/>
      <c r="N6" s="1133"/>
      <c r="O6" s="1133"/>
      <c r="P6" s="3206"/>
      <c r="Q6" s="3207"/>
      <c r="R6" s="3210"/>
      <c r="S6" s="3211"/>
      <c r="T6" s="3212"/>
      <c r="U6" s="3213"/>
      <c r="V6" s="3214"/>
      <c r="W6" s="3214"/>
      <c r="X6" s="1815"/>
      <c r="Y6" s="3212"/>
      <c r="Z6" s="3213"/>
      <c r="AA6" s="3197"/>
      <c r="AB6" s="3214"/>
      <c r="AC6" s="3197"/>
    </row>
    <row r="7" spans="1:29" s="117" customFormat="1" ht="15.75" thickBot="1">
      <c r="A7" s="408" t="s">
        <v>2545</v>
      </c>
      <c r="B7" s="409"/>
      <c r="C7" s="410">
        <f>'数据-取费表'!B2</f>
        <v>43286</v>
      </c>
      <c r="D7" s="411">
        <v>100</v>
      </c>
      <c r="E7" s="412"/>
      <c r="F7" s="413">
        <f>SUMIF(58:58,YEAR(E7)&amp;"-"&amp;MONTH(E7),59:59)</f>
        <v>0</v>
      </c>
      <c r="G7" s="412"/>
      <c r="H7" s="411">
        <f>SUMIF(58:58,YEAR(G7)&amp;"-"&amp;MONTH(G7),59:59)</f>
        <v>0</v>
      </c>
      <c r="I7" s="412"/>
      <c r="J7" s="411">
        <f>SUMIF(58:58,YEAR(I7)&amp;"-"&amp;MONTH(I7),59:59)</f>
        <v>0</v>
      </c>
      <c r="K7" s="610"/>
      <c r="L7" s="1134"/>
      <c r="M7" s="1135"/>
      <c r="N7" s="1135"/>
      <c r="O7" s="1135"/>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94"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772">
        <f t="shared" si="5"/>
        <v>1</v>
      </c>
    </row>
    <row r="10" spans="1:29" s="426" customFormat="1" ht="27">
      <c r="A10" s="420"/>
      <c r="B10" s="421" t="s">
        <v>2554</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4"/>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4"/>
      <c r="Q11" s="1797"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4"/>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4"/>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4"/>
      <c r="Q14" s="1797">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85.5">
      <c r="A15" s="439" t="s">
        <v>2556</v>
      </c>
      <c r="B15" s="69" t="s">
        <v>2650</v>
      </c>
      <c r="C15" s="2605" t="str">
        <f>估价对象房地状况!C4</f>
        <v>估价对象位于五棵松卓展商圈，周边商业氛围较成熟，人流量较大，商业繁华度较好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2" t="s">
        <v>2557</v>
      </c>
      <c r="Q15" s="1812" t="str">
        <f t="shared" si="6"/>
        <v>商业繁华度</v>
      </c>
      <c r="R15" s="773" t="s">
        <v>17</v>
      </c>
      <c r="S15" s="774">
        <f t="shared" si="0"/>
        <v>100</v>
      </c>
      <c r="T15" s="773" t="s">
        <v>17</v>
      </c>
      <c r="U15" s="774">
        <f t="shared" si="1"/>
        <v>100</v>
      </c>
      <c r="V15" s="773" t="s">
        <v>17</v>
      </c>
      <c r="W15" s="774">
        <f t="shared" si="2"/>
        <v>100</v>
      </c>
      <c r="X15" s="1815"/>
      <c r="Y15" s="3185" t="s">
        <v>2557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3"/>
      <c r="Q16" s="1812"/>
      <c r="R16" s="773"/>
      <c r="S16" s="774"/>
      <c r="T16" s="773"/>
      <c r="U16" s="774"/>
      <c r="V16" s="773"/>
      <c r="W16" s="774"/>
      <c r="X16" s="1815"/>
      <c r="Y16" s="3186"/>
      <c r="Z16" s="1816"/>
      <c r="AA16" s="1813">
        <v>1</v>
      </c>
      <c r="AB16" s="1813">
        <v>1</v>
      </c>
      <c r="AC16" s="1813">
        <v>1</v>
      </c>
    </row>
    <row r="17" spans="1:29" ht="128.25">
      <c r="A17" s="427"/>
      <c r="B17" s="450" t="s">
        <v>2096</v>
      </c>
      <c r="C17" s="2609" t="str">
        <f>估价对象房地状况!C6</f>
        <v>估价对象周边有634、78、436路等公交线路及地铁1号线经过、公共交通通达情况较好、停车便捷程度较好，综合评价交通便捷度较好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3"/>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193"/>
      <c r="Q18" s="1812"/>
      <c r="R18" s="773"/>
      <c r="S18" s="774"/>
      <c r="T18" s="773"/>
      <c r="U18" s="774"/>
      <c r="V18" s="773"/>
      <c r="W18" s="774"/>
      <c r="X18" s="1815"/>
      <c r="Y18" s="3186"/>
      <c r="Z18" s="1816"/>
      <c r="AA18" s="1813">
        <v>1</v>
      </c>
      <c r="AB18" s="1813">
        <v>1</v>
      </c>
      <c r="AC18" s="1813">
        <v>1</v>
      </c>
    </row>
    <row r="19" spans="1:29" ht="57">
      <c r="A19" s="427"/>
      <c r="B19" s="450" t="s">
        <v>2651</v>
      </c>
      <c r="C19" s="2609" t="str">
        <f>估价对象房地状况!C7</f>
        <v>估价对象所在区域有医院、商场、学校等公共配套设施较齐备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3"/>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193"/>
      <c r="Q20" s="1812"/>
      <c r="R20" s="773"/>
      <c r="S20" s="774"/>
      <c r="T20" s="773"/>
      <c r="U20" s="774"/>
      <c r="V20" s="773"/>
      <c r="W20" s="774"/>
      <c r="X20" s="1815"/>
      <c r="Y20" s="3186"/>
      <c r="Z20" s="1816"/>
      <c r="AA20" s="1813">
        <v>1</v>
      </c>
      <c r="AB20" s="1813">
        <v>1</v>
      </c>
      <c r="AC20" s="1813">
        <v>1</v>
      </c>
    </row>
    <row r="21" spans="1:29" ht="42.75">
      <c r="A21" s="427"/>
      <c r="B21" s="1386" t="s">
        <v>2652</v>
      </c>
      <c r="C21" s="2609" t="str">
        <f>估价对象房地状况!C8</f>
        <v>估价对象所在区域基础设施水平达七通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193"/>
      <c r="Q22" s="1812"/>
      <c r="R22" s="773"/>
      <c r="S22" s="774"/>
      <c r="T22" s="773"/>
      <c r="U22" s="774"/>
      <c r="V22" s="773"/>
      <c r="W22" s="774"/>
      <c r="X22" s="1815"/>
      <c r="Y22" s="3186"/>
      <c r="Z22" s="1816"/>
      <c r="AA22" s="1813">
        <v>1</v>
      </c>
      <c r="AB22" s="1813">
        <v>1</v>
      </c>
      <c r="AC22" s="1813">
        <v>1</v>
      </c>
    </row>
    <row r="23" spans="1:29" ht="99.75">
      <c r="A23" s="427"/>
      <c r="B23" s="450" t="s">
        <v>2101</v>
      </c>
      <c r="C23" s="2666" t="str">
        <f>估价对象房地状况!C9</f>
        <v>区域自然环境：有五棵松公园、定慧公园等；人文环境：国家开放大学(五棵松校区)等；综合评价环境状况较好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3"/>
      <c r="Q23" s="1812" t="str">
        <f>B23</f>
        <v>自然及人文环境</v>
      </c>
      <c r="R23" s="773" t="s">
        <v>17</v>
      </c>
      <c r="S23" s="774">
        <f>F23</f>
        <v>100</v>
      </c>
      <c r="T23" s="773" t="s">
        <v>17</v>
      </c>
      <c r="U23" s="774">
        <f>H23</f>
        <v>100</v>
      </c>
      <c r="V23" s="773" t="s">
        <v>17</v>
      </c>
      <c r="W23" s="774">
        <f>J23</f>
        <v>100</v>
      </c>
      <c r="X23" s="1815"/>
      <c r="Y23" s="3186"/>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193"/>
      <c r="Q24" s="1812"/>
      <c r="R24" s="773"/>
      <c r="S24" s="774"/>
      <c r="T24" s="773"/>
      <c r="U24" s="774"/>
      <c r="V24" s="773"/>
      <c r="W24" s="774"/>
      <c r="X24" s="1815"/>
      <c r="Y24" s="3186"/>
      <c r="Z24" s="1816"/>
      <c r="AA24" s="1813">
        <v>1</v>
      </c>
      <c r="AB24" s="1813">
        <v>1</v>
      </c>
      <c r="AC24" s="1813">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3"/>
      <c r="Q25" s="1812" t="str">
        <f t="shared" ref="Q25:Q46" si="11">B25</f>
        <v>临街状况</v>
      </c>
      <c r="R25" s="773" t="s">
        <v>17</v>
      </c>
      <c r="S25" s="774">
        <f>F25</f>
        <v>100</v>
      </c>
      <c r="T25" s="773" t="s">
        <v>17</v>
      </c>
      <c r="U25" s="774">
        <f>H25</f>
        <v>100</v>
      </c>
      <c r="V25" s="773" t="s">
        <v>17</v>
      </c>
      <c r="W25" s="774">
        <f>J25</f>
        <v>100</v>
      </c>
      <c r="X25" s="1815"/>
      <c r="Y25" s="3186"/>
      <c r="Z25" s="1816" t="str">
        <f>Q25</f>
        <v>临街状况</v>
      </c>
      <c r="AA25" s="1813">
        <f t="shared" si="3"/>
        <v>1</v>
      </c>
      <c r="AB25" s="1813">
        <f t="shared" si="4"/>
        <v>1</v>
      </c>
      <c r="AC25" s="1813">
        <f t="shared" si="5"/>
        <v>1</v>
      </c>
    </row>
    <row r="26" spans="1:29" ht="15">
      <c r="A26" s="427"/>
      <c r="B26" s="1388" t="s">
        <v>2654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3"/>
      <c r="Q26" s="1812" t="str">
        <f t="shared" si="11"/>
        <v>平面位置/可视性</v>
      </c>
      <c r="R26" s="773" t="s">
        <v>17</v>
      </c>
      <c r="S26" s="774">
        <f>F26</f>
        <v>100</v>
      </c>
      <c r="T26" s="773" t="s">
        <v>17</v>
      </c>
      <c r="U26" s="774">
        <f>H26</f>
        <v>100</v>
      </c>
      <c r="V26" s="773" t="s">
        <v>17</v>
      </c>
      <c r="W26" s="774">
        <f>J26</f>
        <v>100</v>
      </c>
      <c r="X26" s="1815"/>
      <c r="Y26" s="3186"/>
      <c r="Z26" s="1816" t="str">
        <f>Q26</f>
        <v>平面位置/可视性</v>
      </c>
      <c r="AA26" s="1813">
        <f t="shared" si="3"/>
        <v>1</v>
      </c>
      <c r="AB26" s="1813">
        <f t="shared" si="4"/>
        <v>1</v>
      </c>
      <c r="AC26" s="1813">
        <f t="shared" si="5"/>
        <v>1</v>
      </c>
    </row>
    <row r="27" spans="1:29" s="117" customFormat="1" ht="15">
      <c r="A27" s="430"/>
      <c r="B27" s="450" t="s">
        <v>2655</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193"/>
      <c r="Q27" s="1797" t="str">
        <f t="shared" si="11"/>
        <v>人流量</v>
      </c>
      <c r="R27" s="769" t="s">
        <v>17</v>
      </c>
      <c r="S27" s="770">
        <f>F27</f>
        <v>100</v>
      </c>
      <c r="T27" s="769" t="s">
        <v>17</v>
      </c>
      <c r="U27" s="770">
        <f>H27</f>
        <v>100</v>
      </c>
      <c r="V27" s="769" t="s">
        <v>17</v>
      </c>
      <c r="W27" s="770">
        <f>J27</f>
        <v>100</v>
      </c>
      <c r="X27" s="771"/>
      <c r="Y27" s="3186"/>
      <c r="Z27" s="55" t="str">
        <f>Q27</f>
        <v>人流量</v>
      </c>
      <c r="AA27" s="1813">
        <f>D27/F27</f>
        <v>1</v>
      </c>
      <c r="AB27" s="1813">
        <f>D27/H27</f>
        <v>1</v>
      </c>
      <c r="AC27" s="1813">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6"/>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3"/>
      <c r="Q29" s="1812">
        <f t="shared" si="11"/>
        <v>111</v>
      </c>
      <c r="R29" s="773" t="s">
        <v>17</v>
      </c>
      <c r="S29" s="774">
        <f t="shared" si="12"/>
        <v>100</v>
      </c>
      <c r="T29" s="773" t="s">
        <v>17</v>
      </c>
      <c r="U29" s="774">
        <f t="shared" si="13"/>
        <v>100</v>
      </c>
      <c r="V29" s="773" t="s">
        <v>17</v>
      </c>
      <c r="W29" s="774">
        <f t="shared" si="14"/>
        <v>100</v>
      </c>
      <c r="X29" s="1815"/>
      <c r="Y29" s="3186"/>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3"/>
      <c r="Q30" s="1812">
        <f t="shared" si="11"/>
        <v>111</v>
      </c>
      <c r="R30" s="773" t="s">
        <v>17</v>
      </c>
      <c r="S30" s="774">
        <f t="shared" si="12"/>
        <v>100</v>
      </c>
      <c r="T30" s="773" t="s">
        <v>17</v>
      </c>
      <c r="U30" s="774">
        <f t="shared" si="13"/>
        <v>100</v>
      </c>
      <c r="V30" s="773" t="s">
        <v>17</v>
      </c>
      <c r="W30" s="774">
        <f t="shared" si="14"/>
        <v>100</v>
      </c>
      <c r="X30" s="1815"/>
      <c r="Y30" s="3186"/>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3"/>
      <c r="Q31" s="1812">
        <f t="shared" si="11"/>
        <v>111</v>
      </c>
      <c r="R31" s="773" t="s">
        <v>17</v>
      </c>
      <c r="S31" s="774">
        <f t="shared" si="12"/>
        <v>100</v>
      </c>
      <c r="T31" s="773" t="s">
        <v>17</v>
      </c>
      <c r="U31" s="774">
        <f t="shared" si="13"/>
        <v>100</v>
      </c>
      <c r="V31" s="773" t="s">
        <v>17</v>
      </c>
      <c r="W31" s="774">
        <f t="shared" si="14"/>
        <v>100</v>
      </c>
      <c r="X31" s="1815"/>
      <c r="Y31" s="3186"/>
      <c r="Z31" s="1816">
        <f t="shared" si="15"/>
        <v>111</v>
      </c>
      <c r="AA31" s="1813">
        <f t="shared" si="3"/>
        <v>1</v>
      </c>
      <c r="AB31" s="1813">
        <f t="shared" si="4"/>
        <v>1</v>
      </c>
      <c r="AC31" s="1813">
        <f t="shared" si="5"/>
        <v>1</v>
      </c>
    </row>
    <row r="32" spans="1:29" ht="15">
      <c r="A32" s="439" t="s">
        <v>2560</v>
      </c>
      <c r="B32" s="71" t="s">
        <v>2657</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187" t="s">
        <v>2562</v>
      </c>
      <c r="Q32" s="1812" t="str">
        <f t="shared" si="11"/>
        <v>商业类型</v>
      </c>
      <c r="R32" s="773" t="s">
        <v>17</v>
      </c>
      <c r="S32" s="774">
        <f t="shared" si="12"/>
        <v>100</v>
      </c>
      <c r="T32" s="773" t="s">
        <v>17</v>
      </c>
      <c r="U32" s="774">
        <f t="shared" si="13"/>
        <v>100</v>
      </c>
      <c r="V32" s="773" t="s">
        <v>17</v>
      </c>
      <c r="W32" s="774">
        <f t="shared" si="14"/>
        <v>100</v>
      </c>
      <c r="X32" s="1815"/>
      <c r="Y32" s="3190" t="s">
        <v>2562</v>
      </c>
      <c r="Z32" s="1816" t="str">
        <f t="shared" si="15"/>
        <v>商业类型</v>
      </c>
      <c r="AA32" s="1813">
        <f t="shared" si="3"/>
        <v>1</v>
      </c>
      <c r="AB32" s="1813">
        <f t="shared" si="4"/>
        <v>1</v>
      </c>
      <c r="AC32" s="1813">
        <f t="shared" si="5"/>
        <v>1</v>
      </c>
    </row>
    <row r="33" spans="1:29" s="470" customFormat="1" ht="15">
      <c r="A33" s="467"/>
      <c r="B33" s="421" t="s">
        <v>2563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88"/>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3" t="e">
        <f t="shared" si="3"/>
        <v>#N/A</v>
      </c>
      <c r="AB33" s="1813" t="e">
        <f t="shared" si="4"/>
        <v>#N/A</v>
      </c>
      <c r="AC33" s="1813" t="e">
        <f t="shared" si="5"/>
        <v>#N/A</v>
      </c>
    </row>
    <row r="34" spans="1:29" ht="15">
      <c r="A34" s="471"/>
      <c r="B34" s="421" t="s">
        <v>2564</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188"/>
      <c r="Q34" s="1812" t="str">
        <f t="shared" si="11"/>
        <v>建筑结构</v>
      </c>
      <c r="R34" s="773" t="s">
        <v>17</v>
      </c>
      <c r="S34" s="774">
        <f t="shared" si="12"/>
        <v>100</v>
      </c>
      <c r="T34" s="773" t="s">
        <v>17</v>
      </c>
      <c r="U34" s="774">
        <f t="shared" si="13"/>
        <v>100</v>
      </c>
      <c r="V34" s="773" t="s">
        <v>17</v>
      </c>
      <c r="W34" s="774">
        <f t="shared" si="14"/>
        <v>100</v>
      </c>
      <c r="X34" s="1815"/>
      <c r="Y34" s="3190"/>
      <c r="Z34" s="1816" t="str">
        <f t="shared" si="15"/>
        <v>建筑结构</v>
      </c>
      <c r="AA34" s="1813">
        <f t="shared" si="3"/>
        <v>1</v>
      </c>
      <c r="AB34" s="1813">
        <f t="shared" si="4"/>
        <v>1</v>
      </c>
      <c r="AC34" s="1813">
        <f t="shared" si="5"/>
        <v>1</v>
      </c>
    </row>
    <row r="35" spans="1:29" ht="15">
      <c r="A35" s="471"/>
      <c r="B35" s="421" t="s">
        <v>2658</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188"/>
      <c r="Q35" s="1812" t="str">
        <f t="shared" si="11"/>
        <v>公共部分装修</v>
      </c>
      <c r="R35" s="773" t="s">
        <v>17</v>
      </c>
      <c r="S35" s="774">
        <f t="shared" si="12"/>
        <v>100</v>
      </c>
      <c r="T35" s="773" t="s">
        <v>17</v>
      </c>
      <c r="U35" s="774">
        <f t="shared" si="13"/>
        <v>100</v>
      </c>
      <c r="V35" s="773" t="s">
        <v>17</v>
      </c>
      <c r="W35" s="774">
        <f t="shared" si="14"/>
        <v>100</v>
      </c>
      <c r="X35" s="1815"/>
      <c r="Y35" s="3190"/>
      <c r="Z35" s="1816" t="str">
        <f t="shared" si="15"/>
        <v>公共部分装修</v>
      </c>
      <c r="AA35" s="1813">
        <f t="shared" si="3"/>
        <v>1</v>
      </c>
      <c r="AB35" s="1813">
        <f t="shared" si="4"/>
        <v>1</v>
      </c>
      <c r="AC35" s="1813">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8"/>
      <c r="Q36" s="1812" t="str">
        <f t="shared" si="11"/>
        <v>成新度</v>
      </c>
      <c r="R36" s="773" t="s">
        <v>17</v>
      </c>
      <c r="S36" s="774" t="e">
        <f t="shared" si="12"/>
        <v>#N/A</v>
      </c>
      <c r="T36" s="773" t="s">
        <v>17</v>
      </c>
      <c r="U36" s="774" t="e">
        <f t="shared" si="13"/>
        <v>#N/A</v>
      </c>
      <c r="V36" s="773" t="s">
        <v>17</v>
      </c>
      <c r="W36" s="774" t="e">
        <f t="shared" si="14"/>
        <v>#N/A</v>
      </c>
      <c r="X36" s="1815"/>
      <c r="Y36" s="3190"/>
      <c r="Z36" s="1816" t="str">
        <f t="shared" si="15"/>
        <v>成新度</v>
      </c>
      <c r="AA36" s="1813" t="e">
        <f t="shared" si="3"/>
        <v>#N/A</v>
      </c>
      <c r="AB36" s="1813" t="e">
        <f t="shared" si="4"/>
        <v>#N/A</v>
      </c>
      <c r="AC36" s="1813" t="e">
        <f t="shared" si="5"/>
        <v>#N/A</v>
      </c>
    </row>
    <row r="37" spans="1:29" s="117" customFormat="1" ht="15">
      <c r="A37" s="472"/>
      <c r="B37" s="421" t="s">
        <v>2660</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188"/>
      <c r="Q37" s="1797"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1"/>
      <c r="B38" s="421" t="s">
        <v>2661</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188" t="s">
        <v>2562</v>
      </c>
      <c r="Q38" s="1812" t="str">
        <f t="shared" si="11"/>
        <v>业态</v>
      </c>
      <c r="R38" s="773" t="s">
        <v>17</v>
      </c>
      <c r="S38" s="774">
        <f t="shared" si="12"/>
        <v>100</v>
      </c>
      <c r="T38" s="773" t="s">
        <v>17</v>
      </c>
      <c r="U38" s="774">
        <f t="shared" si="13"/>
        <v>100</v>
      </c>
      <c r="V38" s="773" t="s">
        <v>17</v>
      </c>
      <c r="W38" s="774">
        <f t="shared" si="14"/>
        <v>100</v>
      </c>
      <c r="X38" s="1815"/>
      <c r="Y38" s="3190" t="s">
        <v>2562</v>
      </c>
      <c r="Z38" s="1816" t="str">
        <f t="shared" si="15"/>
        <v>业态</v>
      </c>
      <c r="AA38" s="1813">
        <f t="shared" si="3"/>
        <v>1</v>
      </c>
      <c r="AB38" s="1813">
        <f t="shared" si="4"/>
        <v>1</v>
      </c>
      <c r="AC38" s="1813">
        <f t="shared" si="5"/>
        <v>1</v>
      </c>
    </row>
    <row r="39" spans="1:29" ht="15">
      <c r="A39" s="471"/>
      <c r="B39" s="421" t="s">
        <v>2662</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188"/>
      <c r="Q39" s="1812" t="str">
        <f t="shared" si="11"/>
        <v>层高</v>
      </c>
      <c r="R39" s="773" t="s">
        <v>17</v>
      </c>
      <c r="S39" s="774">
        <f t="shared" si="12"/>
        <v>100</v>
      </c>
      <c r="T39" s="773" t="s">
        <v>17</v>
      </c>
      <c r="U39" s="774">
        <f t="shared" si="13"/>
        <v>100</v>
      </c>
      <c r="V39" s="773" t="s">
        <v>17</v>
      </c>
      <c r="W39" s="774">
        <f t="shared" si="14"/>
        <v>100</v>
      </c>
      <c r="X39" s="1815"/>
      <c r="Y39" s="3190"/>
      <c r="Z39" s="1816" t="str">
        <f t="shared" si="15"/>
        <v>层高</v>
      </c>
      <c r="AA39" s="1813">
        <f t="shared" si="3"/>
        <v>1</v>
      </c>
      <c r="AB39" s="1813">
        <f t="shared" si="4"/>
        <v>1</v>
      </c>
      <c r="AC39" s="1813">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8"/>
      <c r="Q40" s="1812" t="str">
        <f t="shared" si="11"/>
        <v>单套建筑面积</v>
      </c>
      <c r="R40" s="773" t="s">
        <v>17</v>
      </c>
      <c r="S40" s="774">
        <f t="shared" si="12"/>
        <v>100</v>
      </c>
      <c r="T40" s="773" t="s">
        <v>17</v>
      </c>
      <c r="U40" s="774">
        <f t="shared" si="13"/>
        <v>100</v>
      </c>
      <c r="V40" s="773" t="s">
        <v>17</v>
      </c>
      <c r="W40" s="774">
        <f t="shared" si="14"/>
        <v>100</v>
      </c>
      <c r="X40" s="1815"/>
      <c r="Y40" s="3190"/>
      <c r="Z40" s="1816" t="str">
        <f t="shared" si="15"/>
        <v>单套建筑面积</v>
      </c>
      <c r="AA40" s="1813">
        <f t="shared" si="3"/>
        <v>1</v>
      </c>
      <c r="AB40" s="1813">
        <f t="shared" si="4"/>
        <v>1</v>
      </c>
      <c r="AC40" s="1813">
        <f t="shared" si="5"/>
        <v>1</v>
      </c>
    </row>
    <row r="41" spans="1:29" s="470" customFormat="1" ht="15">
      <c r="A41" s="467"/>
      <c r="B41" s="1814"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3">
        <f t="shared" si="3"/>
        <v>1</v>
      </c>
      <c r="AB41" s="1813">
        <f t="shared" si="4"/>
        <v>1</v>
      </c>
      <c r="AC41" s="1813">
        <f t="shared" si="5"/>
        <v>1</v>
      </c>
    </row>
    <row r="42" spans="1:29" ht="15">
      <c r="A42" s="471"/>
      <c r="B42" s="421" t="s">
        <v>2665</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188"/>
      <c r="Q42" s="1812" t="str">
        <f t="shared" si="11"/>
        <v>内部装修</v>
      </c>
      <c r="R42" s="773" t="s">
        <v>17</v>
      </c>
      <c r="S42" s="774">
        <f t="shared" si="12"/>
        <v>100</v>
      </c>
      <c r="T42" s="773" t="s">
        <v>17</v>
      </c>
      <c r="U42" s="774">
        <f t="shared" si="13"/>
        <v>100</v>
      </c>
      <c r="V42" s="773" t="s">
        <v>17</v>
      </c>
      <c r="W42" s="774">
        <f t="shared" si="14"/>
        <v>100</v>
      </c>
      <c r="X42" s="1815"/>
      <c r="Y42" s="3190"/>
      <c r="Z42" s="1816" t="str">
        <f t="shared" si="15"/>
        <v>内部装修</v>
      </c>
      <c r="AA42" s="1813">
        <f t="shared" si="3"/>
        <v>1</v>
      </c>
      <c r="AB42" s="1813">
        <f t="shared" si="4"/>
        <v>1</v>
      </c>
      <c r="AC42" s="1813">
        <f t="shared" si="5"/>
        <v>1</v>
      </c>
    </row>
    <row r="43" spans="1:29" ht="15">
      <c r="A43" s="471"/>
      <c r="B43" s="421" t="s">
        <v>2573</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188"/>
      <c r="Q43" s="1812" t="str">
        <f t="shared" si="11"/>
        <v>内部装修维护情况</v>
      </c>
      <c r="R43" s="773" t="s">
        <v>17</v>
      </c>
      <c r="S43" s="774">
        <f t="shared" si="12"/>
        <v>100</v>
      </c>
      <c r="T43" s="773" t="s">
        <v>17</v>
      </c>
      <c r="U43" s="774">
        <f t="shared" si="13"/>
        <v>100</v>
      </c>
      <c r="V43" s="773" t="s">
        <v>17</v>
      </c>
      <c r="W43" s="774">
        <f t="shared" si="14"/>
        <v>100</v>
      </c>
      <c r="X43" s="1815"/>
      <c r="Y43" s="3190"/>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88"/>
      <c r="Q44" s="1797">
        <f t="shared" si="11"/>
        <v>111</v>
      </c>
      <c r="R44" s="769" t="s">
        <v>17</v>
      </c>
      <c r="S44" s="770">
        <f t="shared" si="12"/>
        <v>100</v>
      </c>
      <c r="T44" s="769" t="s">
        <v>17</v>
      </c>
      <c r="U44" s="770">
        <f t="shared" si="13"/>
        <v>100</v>
      </c>
      <c r="V44" s="769" t="s">
        <v>17</v>
      </c>
      <c r="W44" s="770">
        <f t="shared" si="14"/>
        <v>100</v>
      </c>
      <c r="X44" s="771"/>
      <c r="Y44" s="319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8"/>
      <c r="Q45" s="1812">
        <f t="shared" si="11"/>
        <v>111</v>
      </c>
      <c r="R45" s="773" t="s">
        <v>17</v>
      </c>
      <c r="S45" s="774">
        <f t="shared" si="12"/>
        <v>100</v>
      </c>
      <c r="T45" s="773" t="s">
        <v>17</v>
      </c>
      <c r="U45" s="774">
        <f t="shared" si="13"/>
        <v>100</v>
      </c>
      <c r="V45" s="773" t="s">
        <v>17</v>
      </c>
      <c r="W45" s="774">
        <f t="shared" si="14"/>
        <v>100</v>
      </c>
      <c r="X45" s="1815"/>
      <c r="Y45" s="3190"/>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9"/>
      <c r="Q46" s="1812">
        <f t="shared" si="11"/>
        <v>111</v>
      </c>
      <c r="R46" s="773" t="s">
        <v>17</v>
      </c>
      <c r="S46" s="774">
        <f t="shared" si="12"/>
        <v>100</v>
      </c>
      <c r="T46" s="773" t="s">
        <v>17</v>
      </c>
      <c r="U46" s="774">
        <f t="shared" si="13"/>
        <v>100</v>
      </c>
      <c r="V46" s="773" t="s">
        <v>17</v>
      </c>
      <c r="W46" s="774">
        <f t="shared" si="14"/>
        <v>100</v>
      </c>
      <c r="X46" s="1815"/>
      <c r="Y46" s="3191"/>
      <c r="Z46" s="1816">
        <f t="shared" si="15"/>
        <v>111</v>
      </c>
      <c r="AA46" s="1813">
        <f t="shared" si="3"/>
        <v>1</v>
      </c>
      <c r="AB46" s="1813">
        <f t="shared" si="4"/>
        <v>1</v>
      </c>
      <c r="AC46" s="1813">
        <f t="shared" si="5"/>
        <v>1</v>
      </c>
    </row>
    <row r="47" spans="1:29" ht="15">
      <c r="A47" s="478" t="s">
        <v>2574</v>
      </c>
      <c r="B47" s="479"/>
      <c r="C47" s="1409" t="s">
        <v>1</v>
      </c>
      <c r="D47" s="1410"/>
      <c r="E47" s="1411"/>
      <c r="F47" s="1412"/>
      <c r="G47" s="1413"/>
      <c r="H47" s="1414"/>
      <c r="I47" s="1411"/>
      <c r="J47" s="1414"/>
      <c r="K47" s="782"/>
      <c r="L47" s="1145"/>
      <c r="M47" s="1146"/>
      <c r="N47" s="1133"/>
      <c r="O47" s="1146"/>
      <c r="P47" s="3183" t="str">
        <f>A47</f>
        <v>成交单价（元/平方米）</v>
      </c>
      <c r="Q47" s="3183"/>
      <c r="R47" s="3214">
        <f>E47</f>
        <v>0</v>
      </c>
      <c r="S47" s="3214"/>
      <c r="T47" s="3214">
        <f>G47</f>
        <v>0</v>
      </c>
      <c r="U47" s="3214"/>
      <c r="V47" s="3214">
        <f>I47</f>
        <v>0</v>
      </c>
      <c r="W47" s="3214"/>
      <c r="X47" s="758"/>
      <c r="Y47" s="780"/>
      <c r="Z47" s="758"/>
      <c r="AA47" s="758"/>
      <c r="AB47" s="758"/>
      <c r="AC47" s="758"/>
    </row>
    <row r="48" spans="1:29" ht="15.75" thickBot="1">
      <c r="A48" s="485" t="s">
        <v>2666</v>
      </c>
      <c r="B48" s="486"/>
      <c r="C48" s="1415" t="e">
        <f>R49</f>
        <v>#DIV/0!</v>
      </c>
      <c r="D48" s="1416"/>
      <c r="E48" s="1417" t="e">
        <f>R48</f>
        <v>#DIV/0!</v>
      </c>
      <c r="F48" s="1417"/>
      <c r="G48" s="1415" t="e">
        <f>T48</f>
        <v>#DIV/0!</v>
      </c>
      <c r="H48" s="1416"/>
      <c r="I48" s="1417" t="e">
        <f>V48</f>
        <v>#DIV/0!</v>
      </c>
      <c r="J48" s="1416"/>
      <c r="K48" s="783"/>
      <c r="L48" s="1145"/>
      <c r="M48" s="1146"/>
      <c r="N48" s="1133"/>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1" t="s">
        <v>2667</v>
      </c>
      <c r="B49" s="492"/>
      <c r="C49" s="1419" t="e">
        <f>R49</f>
        <v>#DIV/0!</v>
      </c>
      <c r="D49" s="1419"/>
      <c r="E49" s="1419"/>
      <c r="F49" s="1419"/>
      <c r="G49" s="1419"/>
      <c r="H49" s="1419"/>
      <c r="I49" s="1419"/>
      <c r="J49" s="1419"/>
      <c r="K49" s="784"/>
      <c r="L49" s="1145"/>
      <c r="M49" s="1146"/>
      <c r="N49" s="1133"/>
      <c r="O49" s="1146"/>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2545</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8"/>
      <c r="B59" s="509"/>
      <c r="C59" s="1575">
        <v>100</v>
      </c>
      <c r="D59" s="511"/>
      <c r="E59" s="511"/>
      <c r="F59" s="511"/>
      <c r="G59" s="511"/>
      <c r="H59" s="511"/>
      <c r="I59" s="511"/>
      <c r="J59" s="511"/>
      <c r="K59" s="511"/>
      <c r="L59" s="511"/>
      <c r="M59" s="512"/>
      <c r="N59" s="511"/>
      <c r="O59" s="512"/>
      <c r="P59" s="2630"/>
    </row>
    <row r="60" spans="1:29" s="117" customFormat="1" ht="15.75" thickBot="1">
      <c r="A60" s="514" t="s">
        <v>2582</v>
      </c>
      <c r="B60" s="515"/>
      <c r="C60" s="516"/>
      <c r="D60" s="517"/>
      <c r="E60" s="517"/>
      <c r="F60" s="517"/>
      <c r="G60" s="517"/>
      <c r="H60" s="517"/>
      <c r="I60" s="517"/>
      <c r="J60" s="517"/>
      <c r="K60" s="517"/>
      <c r="L60" s="517"/>
      <c r="M60" s="518"/>
      <c r="N60" s="517"/>
      <c r="O60" s="518"/>
      <c r="P60" s="2630"/>
      <c r="Q60" s="503"/>
    </row>
    <row r="61" spans="1:29" s="117" customFormat="1" ht="15">
      <c r="A61" s="520" t="s">
        <v>2547</v>
      </c>
      <c r="B61" s="509"/>
      <c r="C61" s="521" t="s">
        <v>2649</v>
      </c>
      <c r="D61" s="522"/>
      <c r="E61" s="522"/>
      <c r="F61" s="522"/>
      <c r="G61" s="522"/>
      <c r="H61" s="522"/>
      <c r="I61" s="522"/>
      <c r="J61" s="522"/>
      <c r="K61" s="522"/>
      <c r="L61" s="523"/>
      <c r="M61" s="524"/>
      <c r="N61" s="1153"/>
      <c r="O61" s="1153"/>
      <c r="P61" s="2631"/>
      <c r="Q61" s="503"/>
    </row>
    <row r="62" spans="1:29" s="117"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2585</v>
      </c>
      <c r="B63" s="527" t="s">
        <v>2551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2652</v>
      </c>
      <c r="C82" s="659" t="s">
        <v>2672</v>
      </c>
      <c r="D82" s="659" t="s">
        <v>2673</v>
      </c>
      <c r="E82" s="659" t="s">
        <v>2674</v>
      </c>
      <c r="F82" s="659" t="s">
        <v>2675</v>
      </c>
      <c r="G82" s="659" t="s">
        <v>2676</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7" customFormat="1" ht="15.75" thickTop="1">
      <c r="A86" s="578"/>
      <c r="B86" s="537" t="s">
        <v>2677</v>
      </c>
      <c r="C86" s="553"/>
      <c r="D86" s="553"/>
      <c r="E86" s="553"/>
      <c r="F86" s="553"/>
      <c r="G86" s="553"/>
      <c r="H86" s="553"/>
      <c r="I86" s="553"/>
      <c r="J86" s="553"/>
      <c r="K86" s="553"/>
      <c r="L86" s="579"/>
      <c r="M86" s="580"/>
      <c r="N86" s="1153"/>
      <c r="O86" s="1153"/>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7"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2560</v>
      </c>
      <c r="B100" s="527" t="s">
        <v>2678</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2613</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2615</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2679</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2680</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2681</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2682</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2617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T35" sqref="T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2683</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IF(C2="——",ROUND(C50*D3/10000,0),ROUND(C50*D3/10000,0)-D2)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 ca="1">IF(C2="——",C50,ROUND(B2*10000/D3,0))</f>
        <v>#DIV/0!</v>
      </c>
      <c r="C3" s="400" t="s">
        <v>2641</v>
      </c>
      <c r="D3" s="399">
        <f>IF(D1="",'数据-汇总表'!E3,SUMIF('数据-汇总表'!$C19:$C33,D1,'数据-汇总表'!$E19:$E33))</f>
        <v>4824.4600000000037</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32" t="s">
        <v>2648</v>
      </c>
      <c r="Q4" s="3233"/>
      <c r="R4" s="3236" t="s">
        <v>2644</v>
      </c>
      <c r="S4" s="3237"/>
      <c r="T4" s="3236" t="s">
        <v>2645</v>
      </c>
      <c r="U4" s="3237"/>
      <c r="V4" s="3238" t="s">
        <v>2646</v>
      </c>
      <c r="W4" s="3238"/>
      <c r="X4" s="2672"/>
      <c r="Y4" s="3236" t="s">
        <v>2648</v>
      </c>
      <c r="Z4" s="3237"/>
      <c r="AA4" s="3240" t="s">
        <v>2644</v>
      </c>
      <c r="AB4" s="3240" t="s">
        <v>2645</v>
      </c>
      <c r="AC4" s="3229" t="s">
        <v>2646</v>
      </c>
    </row>
    <row r="5" spans="1:29" ht="15">
      <c r="A5" s="404"/>
      <c r="B5" s="405"/>
      <c r="C5" s="3217" t="s">
        <v>2539</v>
      </c>
      <c r="D5" s="3218"/>
      <c r="E5" s="3224" t="s">
        <v>2540</v>
      </c>
      <c r="F5" s="3225"/>
      <c r="G5" s="3217" t="s">
        <v>2541</v>
      </c>
      <c r="H5" s="3218"/>
      <c r="I5" s="3217" t="s">
        <v>2542</v>
      </c>
      <c r="J5" s="3218"/>
      <c r="K5" s="609"/>
      <c r="L5" s="1132"/>
      <c r="M5" s="1133"/>
      <c r="N5" s="1133"/>
      <c r="O5" s="1133"/>
      <c r="P5" s="3234"/>
      <c r="Q5" s="3205"/>
      <c r="R5" s="3210"/>
      <c r="S5" s="3211"/>
      <c r="T5" s="3210"/>
      <c r="U5" s="3211"/>
      <c r="V5" s="3214"/>
      <c r="W5" s="3214"/>
      <c r="X5" s="1815"/>
      <c r="Y5" s="3210"/>
      <c r="Z5" s="3211"/>
      <c r="AA5" s="3196"/>
      <c r="AB5" s="3196"/>
      <c r="AC5" s="3230"/>
    </row>
    <row r="6" spans="1:29" ht="15.75" thickBot="1">
      <c r="A6" s="406"/>
      <c r="B6" s="407"/>
      <c r="C6" s="3215" t="s">
        <v>2543</v>
      </c>
      <c r="D6" s="3216"/>
      <c r="E6" s="3222" t="s">
        <v>2543</v>
      </c>
      <c r="F6" s="3223"/>
      <c r="G6" s="3215" t="s">
        <v>2543</v>
      </c>
      <c r="H6" s="3216"/>
      <c r="I6" s="3215" t="s">
        <v>2543</v>
      </c>
      <c r="J6" s="3216"/>
      <c r="K6" s="609" t="s">
        <v>2544</v>
      </c>
      <c r="L6" s="1132"/>
      <c r="M6" s="1133"/>
      <c r="N6" s="1133"/>
      <c r="O6" s="1133"/>
      <c r="P6" s="3235"/>
      <c r="Q6" s="3207"/>
      <c r="R6" s="3210"/>
      <c r="S6" s="3211"/>
      <c r="T6" s="3212"/>
      <c r="U6" s="3213"/>
      <c r="V6" s="3214"/>
      <c r="W6" s="3214"/>
      <c r="X6" s="1815"/>
      <c r="Y6" s="3212"/>
      <c r="Z6" s="3213"/>
      <c r="AA6" s="3197"/>
      <c r="AB6" s="3197"/>
      <c r="AC6" s="3231"/>
    </row>
    <row r="7" spans="1:29" s="117" customFormat="1" ht="15.75" thickBot="1">
      <c r="A7" s="408" t="s">
        <v>2545</v>
      </c>
      <c r="B7" s="409"/>
      <c r="C7" s="410">
        <f>'数据-取费表'!B2</f>
        <v>43286</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3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39" t="s">
        <v>2549</v>
      </c>
      <c r="Q8" s="3220"/>
      <c r="R8" s="769" t="s">
        <v>17</v>
      </c>
      <c r="S8" s="770">
        <f t="shared" si="0"/>
        <v>0</v>
      </c>
      <c r="T8" s="769" t="s">
        <v>17</v>
      </c>
      <c r="U8" s="770">
        <f t="shared" si="1"/>
        <v>0</v>
      </c>
      <c r="V8" s="769" t="s">
        <v>17</v>
      </c>
      <c r="W8" s="770">
        <f t="shared" si="2"/>
        <v>0</v>
      </c>
      <c r="X8" s="771"/>
      <c r="Y8" s="3219" t="s">
        <v>2549</v>
      </c>
      <c r="Z8" s="3220"/>
      <c r="AA8" s="772" t="e">
        <f t="shared" ref="AA8:AA47" si="3">D8/F8</f>
        <v>#DIV/0!</v>
      </c>
      <c r="AB8" s="772"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94"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2673">
        <f t="shared" si="5"/>
        <v>1</v>
      </c>
    </row>
    <row r="10" spans="1:29" s="426" customFormat="1" ht="27">
      <c r="A10" s="420"/>
      <c r="B10" s="421" t="s">
        <v>2554</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94"/>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73">
        <f t="shared" si="5"/>
        <v>1</v>
      </c>
    </row>
    <row r="11" spans="1:29" ht="15">
      <c r="A11" s="427"/>
      <c r="B11" s="421" t="s">
        <v>2555</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94"/>
      <c r="Q11" s="1797"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4"/>
      <c r="M12" s="1135"/>
      <c r="N12" s="1135"/>
      <c r="O12" s="1135"/>
      <c r="P12" s="3194"/>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73">
        <f>D12/J12</f>
        <v>1</v>
      </c>
    </row>
    <row r="13" spans="1:29" ht="15">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2"/>
      <c r="M13" s="1133"/>
      <c r="N13" s="1133"/>
      <c r="O13" s="1133"/>
      <c r="P13" s="3194"/>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194"/>
      <c r="Q14" s="1797">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73">
        <f t="shared" si="5"/>
        <v>1</v>
      </c>
    </row>
    <row r="15" spans="1:29" ht="15">
      <c r="A15" s="439" t="s">
        <v>2556</v>
      </c>
      <c r="B15" s="628" t="s">
        <v>2684</v>
      </c>
      <c r="C15" s="2675"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2" t="s">
        <v>2557</v>
      </c>
      <c r="Q15" s="1812" t="str">
        <f t="shared" si="6"/>
        <v>办公集聚程度</v>
      </c>
      <c r="R15" s="773" t="s">
        <v>17</v>
      </c>
      <c r="S15" s="774">
        <f t="shared" si="0"/>
        <v>100</v>
      </c>
      <c r="T15" s="773" t="s">
        <v>17</v>
      </c>
      <c r="U15" s="774">
        <f t="shared" si="1"/>
        <v>100</v>
      </c>
      <c r="V15" s="773" t="s">
        <v>17</v>
      </c>
      <c r="W15" s="774">
        <f t="shared" si="2"/>
        <v>100</v>
      </c>
      <c r="X15" s="1815"/>
      <c r="Y15" s="3185" t="s">
        <v>2557</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193"/>
      <c r="Q16" s="1812"/>
      <c r="R16" s="773"/>
      <c r="S16" s="774"/>
      <c r="T16" s="773"/>
      <c r="U16" s="774"/>
      <c r="V16" s="773"/>
      <c r="W16" s="774"/>
      <c r="X16" s="1815"/>
      <c r="Y16" s="3186"/>
      <c r="Z16" s="1816"/>
      <c r="AA16" s="1813">
        <v>1</v>
      </c>
      <c r="AB16" s="1813">
        <v>1</v>
      </c>
      <c r="AC16" s="2676">
        <v>1</v>
      </c>
    </row>
    <row r="17" spans="1:29" ht="114">
      <c r="A17" s="427"/>
      <c r="B17" s="630" t="s">
        <v>2096</v>
      </c>
      <c r="C17" s="2677" t="str">
        <f>估价对象房地状况!C6</f>
        <v>估价对象周边有634、78、436路等公交线路及地铁1号线经过、公共交通通达情况较好、停车便捷程度较好，综合评价交通便捷度较好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3"/>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193"/>
      <c r="Q18" s="1812"/>
      <c r="R18" s="773"/>
      <c r="S18" s="774"/>
      <c r="T18" s="773"/>
      <c r="U18" s="774"/>
      <c r="V18" s="773"/>
      <c r="W18" s="774"/>
      <c r="X18" s="1815"/>
      <c r="Y18" s="3186"/>
      <c r="Z18" s="1816"/>
      <c r="AA18" s="1813">
        <v>1</v>
      </c>
      <c r="AB18" s="1813">
        <v>1</v>
      </c>
      <c r="AC18" s="2676">
        <v>1</v>
      </c>
    </row>
    <row r="19" spans="1:29" ht="57">
      <c r="A19" s="427"/>
      <c r="B19" s="630" t="s">
        <v>2685</v>
      </c>
      <c r="C19" s="2677" t="str">
        <f>估价对象房地状况!C7</f>
        <v>估价对象所在区域有医院、商场、学校等公共配套设施较齐备</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3"/>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193"/>
      <c r="Q20" s="1812"/>
      <c r="R20" s="773"/>
      <c r="S20" s="774"/>
      <c r="T20" s="773"/>
      <c r="U20" s="774"/>
      <c r="V20" s="773"/>
      <c r="W20" s="774"/>
      <c r="X20" s="1815"/>
      <c r="Y20" s="3186"/>
      <c r="Z20" s="1816"/>
      <c r="AA20" s="1813">
        <v>1</v>
      </c>
      <c r="AB20" s="1813">
        <v>1</v>
      </c>
      <c r="AC20" s="2676">
        <v>1</v>
      </c>
    </row>
    <row r="21" spans="1:29" ht="42.75">
      <c r="A21" s="427"/>
      <c r="B21" s="632" t="s">
        <v>2686</v>
      </c>
      <c r="C21" s="2677"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3"/>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193"/>
      <c r="Q22" s="1812"/>
      <c r="R22" s="773"/>
      <c r="S22" s="774"/>
      <c r="T22" s="773"/>
      <c r="U22" s="774"/>
      <c r="V22" s="773"/>
      <c r="W22" s="774"/>
      <c r="X22" s="1815"/>
      <c r="Y22" s="3186"/>
      <c r="Z22" s="1816"/>
      <c r="AA22" s="1813">
        <v>1</v>
      </c>
      <c r="AB22" s="1813">
        <v>1</v>
      </c>
      <c r="AC22" s="2676">
        <v>1</v>
      </c>
    </row>
    <row r="23" spans="1:29" ht="99.75">
      <c r="A23" s="427"/>
      <c r="B23" s="630" t="s">
        <v>2687</v>
      </c>
      <c r="C23" s="2677" t="str">
        <f>估价对象房地状况!C9</f>
        <v>区域自然环境：有五棵松公园、定慧公园等；人文环境：国家开放大学(五棵松校区)等；综合评价环境状况较好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3"/>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193"/>
      <c r="Q24" s="1812"/>
      <c r="R24" s="773"/>
      <c r="S24" s="774"/>
      <c r="T24" s="773"/>
      <c r="U24" s="774"/>
      <c r="V24" s="773"/>
      <c r="W24" s="774"/>
      <c r="X24" s="1815"/>
      <c r="Y24" s="3186"/>
      <c r="Z24" s="1816"/>
      <c r="AA24" s="1813">
        <v>1</v>
      </c>
      <c r="AB24" s="1813">
        <v>1</v>
      </c>
      <c r="AC24" s="2676">
        <v>1</v>
      </c>
    </row>
    <row r="25" spans="1:29" ht="27">
      <c r="A25" s="404"/>
      <c r="B25" s="630" t="s">
        <v>2688</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193"/>
      <c r="Q25" s="1812" t="str">
        <f>B25</f>
        <v>毗邻道路的类型与等级</v>
      </c>
      <c r="R25" s="773" t="s">
        <v>17</v>
      </c>
      <c r="S25" s="774">
        <f>F25</f>
        <v>100</v>
      </c>
      <c r="T25" s="773" t="s">
        <v>17</v>
      </c>
      <c r="U25" s="774">
        <f>H25</f>
        <v>100</v>
      </c>
      <c r="V25" s="773" t="s">
        <v>17</v>
      </c>
      <c r="W25" s="774">
        <f>J25</f>
        <v>100</v>
      </c>
      <c r="X25" s="1815"/>
      <c r="Y25" s="3186"/>
      <c r="Z25" s="1816" t="str">
        <f>Q25</f>
        <v>毗邻道路的类型与等级</v>
      </c>
      <c r="AA25" s="1813">
        <f t="shared" si="3"/>
        <v>1</v>
      </c>
      <c r="AB25" s="1813">
        <f t="shared" si="4"/>
        <v>1</v>
      </c>
      <c r="AC25" s="2676">
        <f t="shared" si="5"/>
        <v>1</v>
      </c>
    </row>
    <row r="26" spans="1:29" ht="15">
      <c r="A26" s="404"/>
      <c r="B26" s="631"/>
      <c r="C26" s="633"/>
      <c r="D26" s="434"/>
      <c r="E26" s="615"/>
      <c r="F26" s="434"/>
      <c r="G26" s="633"/>
      <c r="H26" s="434"/>
      <c r="I26" s="615"/>
      <c r="J26" s="434"/>
      <c r="K26" s="614"/>
      <c r="L26" s="1142"/>
      <c r="M26" s="1133"/>
      <c r="N26" s="1133"/>
      <c r="O26" s="1133"/>
      <c r="P26" s="3193"/>
      <c r="Q26" s="1812"/>
      <c r="R26" s="773"/>
      <c r="S26" s="774"/>
      <c r="T26" s="773"/>
      <c r="U26" s="774"/>
      <c r="V26" s="773"/>
      <c r="W26" s="774"/>
      <c r="X26" s="1815"/>
      <c r="Y26" s="3186"/>
      <c r="Z26" s="1816"/>
      <c r="AA26" s="1813">
        <v>1</v>
      </c>
      <c r="AB26" s="1813">
        <v>1</v>
      </c>
      <c r="AC26" s="2676">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3"/>
      <c r="Q27" s="1812" t="str">
        <f t="shared" ref="Q27:Q47" si="11">B27</f>
        <v>楼层</v>
      </c>
      <c r="R27" s="773" t="s">
        <v>17</v>
      </c>
      <c r="S27" s="774">
        <f>F27</f>
        <v>100</v>
      </c>
      <c r="T27" s="773" t="s">
        <v>17</v>
      </c>
      <c r="U27" s="774">
        <f>H27</f>
        <v>100</v>
      </c>
      <c r="V27" s="773" t="s">
        <v>17</v>
      </c>
      <c r="W27" s="774">
        <f>J27</f>
        <v>100</v>
      </c>
      <c r="X27" s="1815"/>
      <c r="Y27" s="3186"/>
      <c r="Z27" s="1816" t="str">
        <f>Q27</f>
        <v>楼层</v>
      </c>
      <c r="AA27" s="1813">
        <f t="shared" si="3"/>
        <v>1</v>
      </c>
      <c r="AB27" s="1813">
        <f t="shared" si="4"/>
        <v>1</v>
      </c>
      <c r="AC27" s="2676">
        <f t="shared" si="5"/>
        <v>1</v>
      </c>
    </row>
    <row r="28" spans="1:29" s="117" customFormat="1" ht="15">
      <c r="A28" s="430"/>
      <c r="B28" s="630" t="s">
        <v>2689</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193"/>
      <c r="Q28" s="1797" t="str">
        <f t="shared" si="11"/>
        <v>朝向</v>
      </c>
      <c r="R28" s="769" t="s">
        <v>17</v>
      </c>
      <c r="S28" s="770">
        <f>F28</f>
        <v>100</v>
      </c>
      <c r="T28" s="769" t="s">
        <v>17</v>
      </c>
      <c r="U28" s="770">
        <f>H28</f>
        <v>100</v>
      </c>
      <c r="V28" s="769" t="s">
        <v>17</v>
      </c>
      <c r="W28" s="770">
        <f>J28</f>
        <v>100</v>
      </c>
      <c r="X28" s="771"/>
      <c r="Y28" s="3186"/>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193"/>
      <c r="Q29" s="1812">
        <f t="shared" si="11"/>
        <v>111</v>
      </c>
      <c r="R29" s="773" t="s">
        <v>17</v>
      </c>
      <c r="S29" s="774">
        <f t="shared" ref="S29:S47" si="12">F29</f>
        <v>100</v>
      </c>
      <c r="T29" s="773" t="s">
        <v>17</v>
      </c>
      <c r="U29" s="774">
        <f t="shared" ref="U29:U47" si="13">H29</f>
        <v>100</v>
      </c>
      <c r="V29" s="773" t="s">
        <v>17</v>
      </c>
      <c r="W29" s="774">
        <f t="shared" ref="W29:W47" si="14">J29</f>
        <v>100</v>
      </c>
      <c r="X29" s="1815"/>
      <c r="Y29" s="3186"/>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193"/>
      <c r="Q30" s="1812">
        <f t="shared" si="11"/>
        <v>111</v>
      </c>
      <c r="R30" s="773" t="s">
        <v>17</v>
      </c>
      <c r="S30" s="774">
        <f t="shared" si="12"/>
        <v>100</v>
      </c>
      <c r="T30" s="773" t="s">
        <v>17</v>
      </c>
      <c r="U30" s="774">
        <f t="shared" si="13"/>
        <v>100</v>
      </c>
      <c r="V30" s="773" t="s">
        <v>17</v>
      </c>
      <c r="W30" s="774">
        <f t="shared" si="14"/>
        <v>100</v>
      </c>
      <c r="X30" s="1815"/>
      <c r="Y30" s="3186"/>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193"/>
      <c r="Q31" s="1812">
        <f t="shared" si="11"/>
        <v>111</v>
      </c>
      <c r="R31" s="773" t="s">
        <v>17</v>
      </c>
      <c r="S31" s="774">
        <f t="shared" si="12"/>
        <v>100</v>
      </c>
      <c r="T31" s="773" t="s">
        <v>17</v>
      </c>
      <c r="U31" s="774">
        <f t="shared" si="13"/>
        <v>100</v>
      </c>
      <c r="V31" s="773" t="s">
        <v>17</v>
      </c>
      <c r="W31" s="774">
        <f t="shared" si="14"/>
        <v>100</v>
      </c>
      <c r="X31" s="1815"/>
      <c r="Y31" s="3186"/>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193"/>
      <c r="Q32" s="1812">
        <f t="shared" si="11"/>
        <v>111</v>
      </c>
      <c r="R32" s="773" t="s">
        <v>17</v>
      </c>
      <c r="S32" s="774">
        <f t="shared" si="12"/>
        <v>100</v>
      </c>
      <c r="T32" s="773" t="s">
        <v>17</v>
      </c>
      <c r="U32" s="774">
        <f t="shared" si="13"/>
        <v>100</v>
      </c>
      <c r="V32" s="773" t="s">
        <v>17</v>
      </c>
      <c r="W32" s="774">
        <f t="shared" si="14"/>
        <v>100</v>
      </c>
      <c r="X32" s="1815"/>
      <c r="Y32" s="3186"/>
      <c r="Z32" s="1816">
        <f t="shared" si="15"/>
        <v>111</v>
      </c>
      <c r="AA32" s="1813">
        <f t="shared" si="3"/>
        <v>1</v>
      </c>
      <c r="AB32" s="1813">
        <f t="shared" si="4"/>
        <v>1</v>
      </c>
      <c r="AC32" s="2676">
        <f t="shared" si="5"/>
        <v>1</v>
      </c>
    </row>
    <row r="33" spans="1:29" ht="15">
      <c r="A33" s="439" t="s">
        <v>2560</v>
      </c>
      <c r="B33" s="71" t="s">
        <v>2690</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187" t="s">
        <v>2562</v>
      </c>
      <c r="Q33" s="1812" t="str">
        <f t="shared" si="11"/>
        <v>建筑类型</v>
      </c>
      <c r="R33" s="773" t="s">
        <v>17</v>
      </c>
      <c r="S33" s="774">
        <f t="shared" si="12"/>
        <v>100</v>
      </c>
      <c r="T33" s="773" t="s">
        <v>17</v>
      </c>
      <c r="U33" s="774">
        <f t="shared" si="13"/>
        <v>100</v>
      </c>
      <c r="V33" s="773" t="s">
        <v>17</v>
      </c>
      <c r="W33" s="774">
        <f t="shared" si="14"/>
        <v>100</v>
      </c>
      <c r="X33" s="1815"/>
      <c r="Y33" s="3190" t="s">
        <v>2562</v>
      </c>
      <c r="Z33" s="1816" t="str">
        <f t="shared" si="15"/>
        <v>建筑类型</v>
      </c>
      <c r="AA33" s="1813">
        <f t="shared" si="3"/>
        <v>1</v>
      </c>
      <c r="AB33" s="1813">
        <f t="shared" si="4"/>
        <v>1</v>
      </c>
      <c r="AC33" s="2676">
        <f t="shared" si="5"/>
        <v>1</v>
      </c>
    </row>
    <row r="34" spans="1:29" s="470" customFormat="1" ht="15">
      <c r="A34" s="467"/>
      <c r="B34" s="421" t="s">
        <v>2563</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88"/>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13" t="e">
        <f t="shared" si="3"/>
        <v>#N/A</v>
      </c>
      <c r="AB34" s="1813" t="e">
        <f t="shared" si="4"/>
        <v>#N/A</v>
      </c>
      <c r="AC34" s="2676"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8"/>
      <c r="Q35" s="1812" t="str">
        <f t="shared" si="11"/>
        <v>建筑结构</v>
      </c>
      <c r="R35" s="773" t="s">
        <v>17</v>
      </c>
      <c r="S35" s="774">
        <f t="shared" si="12"/>
        <v>100</v>
      </c>
      <c r="T35" s="773" t="s">
        <v>17</v>
      </c>
      <c r="U35" s="774">
        <f t="shared" si="13"/>
        <v>100</v>
      </c>
      <c r="V35" s="773" t="s">
        <v>17</v>
      </c>
      <c r="W35" s="774">
        <f t="shared" si="14"/>
        <v>100</v>
      </c>
      <c r="X35" s="1815"/>
      <c r="Y35" s="3190"/>
      <c r="Z35" s="1816" t="str">
        <f t="shared" si="15"/>
        <v>建筑结构</v>
      </c>
      <c r="AA35" s="1813">
        <f t="shared" si="3"/>
        <v>1</v>
      </c>
      <c r="AB35" s="1813">
        <f t="shared" si="4"/>
        <v>1</v>
      </c>
      <c r="AC35" s="2676">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8"/>
      <c r="Q36" s="1812" t="str">
        <f t="shared" si="11"/>
        <v>公共部分装修</v>
      </c>
      <c r="R36" s="773" t="s">
        <v>17</v>
      </c>
      <c r="S36" s="774">
        <f t="shared" si="12"/>
        <v>100</v>
      </c>
      <c r="T36" s="773" t="s">
        <v>17</v>
      </c>
      <c r="U36" s="774">
        <f t="shared" si="13"/>
        <v>100</v>
      </c>
      <c r="V36" s="773" t="s">
        <v>17</v>
      </c>
      <c r="W36" s="774">
        <f t="shared" si="14"/>
        <v>100</v>
      </c>
      <c r="X36" s="1815"/>
      <c r="Y36" s="3190"/>
      <c r="Z36" s="1816" t="str">
        <f t="shared" si="15"/>
        <v>公共部分装修</v>
      </c>
      <c r="AA36" s="1813">
        <f t="shared" si="3"/>
        <v>1</v>
      </c>
      <c r="AB36" s="1813">
        <f t="shared" si="4"/>
        <v>1</v>
      </c>
      <c r="AC36" s="2676">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8"/>
      <c r="Q37" s="1812" t="str">
        <f t="shared" si="11"/>
        <v>成新度</v>
      </c>
      <c r="R37" s="773" t="s">
        <v>17</v>
      </c>
      <c r="S37" s="774" t="e">
        <f t="shared" si="12"/>
        <v>#N/A</v>
      </c>
      <c r="T37" s="773" t="s">
        <v>17</v>
      </c>
      <c r="U37" s="774" t="e">
        <f t="shared" si="13"/>
        <v>#N/A</v>
      </c>
      <c r="V37" s="773" t="s">
        <v>17</v>
      </c>
      <c r="W37" s="774" t="e">
        <f t="shared" si="14"/>
        <v>#N/A</v>
      </c>
      <c r="X37" s="1815"/>
      <c r="Y37" s="3190"/>
      <c r="Z37" s="1816" t="str">
        <f t="shared" si="15"/>
        <v>成新度</v>
      </c>
      <c r="AA37" s="1813" t="e">
        <f t="shared" si="3"/>
        <v>#N/A</v>
      </c>
      <c r="AB37" s="1813" t="e">
        <f t="shared" si="4"/>
        <v>#N/A</v>
      </c>
      <c r="AC37" s="2676" t="e">
        <f t="shared" si="5"/>
        <v>#N/A</v>
      </c>
    </row>
    <row r="38" spans="1:29" s="117" customFormat="1" ht="15">
      <c r="A38" s="472"/>
      <c r="B38" s="421" t="s">
        <v>2691</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8"/>
      <c r="Q38" s="1797" t="str">
        <f t="shared" si="11"/>
        <v>写字楼等级</v>
      </c>
      <c r="R38" s="769" t="s">
        <v>17</v>
      </c>
      <c r="S38" s="770">
        <f t="shared" si="12"/>
        <v>100</v>
      </c>
      <c r="T38" s="769" t="s">
        <v>17</v>
      </c>
      <c r="U38" s="770">
        <f t="shared" si="13"/>
        <v>100</v>
      </c>
      <c r="V38" s="769" t="s">
        <v>17</v>
      </c>
      <c r="W38" s="770">
        <f t="shared" si="14"/>
        <v>100</v>
      </c>
      <c r="X38" s="771"/>
      <c r="Y38" s="3190"/>
      <c r="Z38" s="55" t="str">
        <f t="shared" si="15"/>
        <v>写字楼等级</v>
      </c>
      <c r="AA38" s="772">
        <f t="shared" si="3"/>
        <v>1</v>
      </c>
      <c r="AB38" s="772">
        <f t="shared" si="4"/>
        <v>1</v>
      </c>
      <c r="AC38" s="2673">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8" t="s">
        <v>2562</v>
      </c>
      <c r="Q39" s="1812" t="str">
        <f t="shared" si="11"/>
        <v>物业管理</v>
      </c>
      <c r="R39" s="773" t="s">
        <v>17</v>
      </c>
      <c r="S39" s="774">
        <f t="shared" si="12"/>
        <v>100</v>
      </c>
      <c r="T39" s="773" t="s">
        <v>17</v>
      </c>
      <c r="U39" s="774">
        <f t="shared" si="13"/>
        <v>100</v>
      </c>
      <c r="V39" s="773" t="s">
        <v>17</v>
      </c>
      <c r="W39" s="774">
        <f t="shared" si="14"/>
        <v>100</v>
      </c>
      <c r="X39" s="1815"/>
      <c r="Y39" s="3190" t="s">
        <v>2562</v>
      </c>
      <c r="Z39" s="1816" t="str">
        <f t="shared" si="15"/>
        <v>物业管理</v>
      </c>
      <c r="AA39" s="1813">
        <f t="shared" si="3"/>
        <v>1</v>
      </c>
      <c r="AB39" s="1813">
        <f t="shared" si="4"/>
        <v>1</v>
      </c>
      <c r="AC39" s="2676">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8"/>
      <c r="Q40" s="1812" t="str">
        <f t="shared" si="11"/>
        <v>市政基础设施</v>
      </c>
      <c r="R40" s="773" t="s">
        <v>17</v>
      </c>
      <c r="S40" s="774">
        <f t="shared" si="12"/>
        <v>100</v>
      </c>
      <c r="T40" s="773" t="s">
        <v>17</v>
      </c>
      <c r="U40" s="774">
        <f t="shared" si="13"/>
        <v>100</v>
      </c>
      <c r="V40" s="773" t="s">
        <v>17</v>
      </c>
      <c r="W40" s="774">
        <f t="shared" si="14"/>
        <v>100</v>
      </c>
      <c r="X40" s="1815"/>
      <c r="Y40" s="3190"/>
      <c r="Z40" s="1816" t="str">
        <f t="shared" si="15"/>
        <v>市政基础设施</v>
      </c>
      <c r="AA40" s="1813">
        <f t="shared" si="3"/>
        <v>1</v>
      </c>
      <c r="AB40" s="1813">
        <f t="shared" si="4"/>
        <v>1</v>
      </c>
      <c r="AC40" s="2676">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8"/>
      <c r="Q41" s="1812" t="str">
        <f t="shared" si="11"/>
        <v>层高</v>
      </c>
      <c r="R41" s="773" t="s">
        <v>17</v>
      </c>
      <c r="S41" s="774">
        <f t="shared" si="12"/>
        <v>100</v>
      </c>
      <c r="T41" s="773" t="s">
        <v>17</v>
      </c>
      <c r="U41" s="774">
        <f t="shared" si="13"/>
        <v>100</v>
      </c>
      <c r="V41" s="773" t="s">
        <v>17</v>
      </c>
      <c r="W41" s="774">
        <f t="shared" si="14"/>
        <v>100</v>
      </c>
      <c r="X41" s="1815"/>
      <c r="Y41" s="3190"/>
      <c r="Z41" s="1816" t="str">
        <f t="shared" si="15"/>
        <v>层高</v>
      </c>
      <c r="AA41" s="1813">
        <f t="shared" si="3"/>
        <v>1</v>
      </c>
      <c r="AB41" s="1813">
        <f t="shared" si="4"/>
        <v>1</v>
      </c>
      <c r="AC41" s="2676">
        <f t="shared" si="5"/>
        <v>1</v>
      </c>
    </row>
    <row r="42" spans="1:29" s="470" customFormat="1" ht="15">
      <c r="A42" s="467"/>
      <c r="B42" s="1814"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3">
        <f t="shared" si="3"/>
        <v>1</v>
      </c>
      <c r="AB42" s="1813">
        <f t="shared" si="4"/>
        <v>1</v>
      </c>
      <c r="AC42" s="2676">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8"/>
      <c r="Q43" s="1812" t="str">
        <f t="shared" si="11"/>
        <v>内部装修</v>
      </c>
      <c r="R43" s="773" t="s">
        <v>17</v>
      </c>
      <c r="S43" s="774">
        <f t="shared" si="12"/>
        <v>100</v>
      </c>
      <c r="T43" s="773" t="s">
        <v>17</v>
      </c>
      <c r="U43" s="774">
        <f t="shared" si="13"/>
        <v>100</v>
      </c>
      <c r="V43" s="773" t="s">
        <v>17</v>
      </c>
      <c r="W43" s="774">
        <f t="shared" si="14"/>
        <v>100</v>
      </c>
      <c r="X43" s="1815"/>
      <c r="Y43" s="3190"/>
      <c r="Z43" s="1816" t="str">
        <f t="shared" si="15"/>
        <v>内部装修</v>
      </c>
      <c r="AA43" s="1813">
        <f t="shared" si="3"/>
        <v>1</v>
      </c>
      <c r="AB43" s="1813">
        <f t="shared" si="4"/>
        <v>1</v>
      </c>
      <c r="AC43" s="2676">
        <f t="shared" si="5"/>
        <v>1</v>
      </c>
    </row>
    <row r="44" spans="1:29" ht="15">
      <c r="A44" s="471"/>
      <c r="B44" s="421" t="s">
        <v>2573</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188"/>
      <c r="Q44" s="1812" t="str">
        <f t="shared" si="11"/>
        <v>内部装修维护情况</v>
      </c>
      <c r="R44" s="773" t="s">
        <v>17</v>
      </c>
      <c r="S44" s="774">
        <f t="shared" si="12"/>
        <v>100</v>
      </c>
      <c r="T44" s="773" t="s">
        <v>17</v>
      </c>
      <c r="U44" s="774">
        <f t="shared" si="13"/>
        <v>100</v>
      </c>
      <c r="V44" s="773" t="s">
        <v>17</v>
      </c>
      <c r="W44" s="774">
        <f t="shared" si="14"/>
        <v>100</v>
      </c>
      <c r="X44" s="1815"/>
      <c r="Y44" s="3190"/>
      <c r="Z44" s="1816" t="str">
        <f t="shared" si="15"/>
        <v>内部装修维护情况</v>
      </c>
      <c r="AA44" s="1813">
        <f t="shared" si="3"/>
        <v>1</v>
      </c>
      <c r="AB44" s="1813">
        <f t="shared" si="4"/>
        <v>1</v>
      </c>
      <c r="AC44" s="2676">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88"/>
      <c r="Q45" s="1797">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8"/>
      <c r="Q46" s="1812">
        <f t="shared" si="11"/>
        <v>111</v>
      </c>
      <c r="R46" s="773" t="s">
        <v>17</v>
      </c>
      <c r="S46" s="774">
        <f t="shared" si="12"/>
        <v>100</v>
      </c>
      <c r="T46" s="773" t="s">
        <v>17</v>
      </c>
      <c r="U46" s="774">
        <f t="shared" si="13"/>
        <v>100</v>
      </c>
      <c r="V46" s="773" t="s">
        <v>17</v>
      </c>
      <c r="W46" s="774">
        <f t="shared" si="14"/>
        <v>100</v>
      </c>
      <c r="X46" s="1815"/>
      <c r="Y46" s="3190"/>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9"/>
      <c r="Q47" s="1812">
        <f t="shared" si="11"/>
        <v>111</v>
      </c>
      <c r="R47" s="773" t="s">
        <v>17</v>
      </c>
      <c r="S47" s="774">
        <f t="shared" si="12"/>
        <v>100</v>
      </c>
      <c r="T47" s="773" t="s">
        <v>17</v>
      </c>
      <c r="U47" s="774">
        <f t="shared" si="13"/>
        <v>100</v>
      </c>
      <c r="V47" s="773" t="s">
        <v>17</v>
      </c>
      <c r="W47" s="774">
        <f t="shared" si="14"/>
        <v>100</v>
      </c>
      <c r="X47" s="1815"/>
      <c r="Y47" s="3191"/>
      <c r="Z47" s="1816">
        <f t="shared" si="15"/>
        <v>111</v>
      </c>
      <c r="AA47" s="1813">
        <f t="shared" si="3"/>
        <v>1</v>
      </c>
      <c r="AB47" s="1813">
        <f t="shared" si="4"/>
        <v>1</v>
      </c>
      <c r="AC47" s="2676">
        <f t="shared" si="5"/>
        <v>1</v>
      </c>
    </row>
    <row r="48" spans="1:29" ht="15">
      <c r="A48" s="478" t="s">
        <v>2574</v>
      </c>
      <c r="B48" s="479"/>
      <c r="C48" s="1409" t="s">
        <v>1</v>
      </c>
      <c r="D48" s="1410"/>
      <c r="E48" s="1411"/>
      <c r="F48" s="1412"/>
      <c r="G48" s="1413"/>
      <c r="H48" s="1414"/>
      <c r="I48" s="1411"/>
      <c r="J48" s="484"/>
      <c r="K48" s="782"/>
      <c r="L48" s="1145"/>
      <c r="M48" s="1133"/>
      <c r="N48" s="1133"/>
      <c r="O48" s="1133"/>
      <c r="P48" s="3194" t="str">
        <f>A48</f>
        <v>成交单价（元/平方米）</v>
      </c>
      <c r="Q48" s="3183"/>
      <c r="R48" s="3184">
        <f>E48</f>
        <v>0</v>
      </c>
      <c r="S48" s="3184"/>
      <c r="T48" s="3184">
        <f>G48</f>
        <v>0</v>
      </c>
      <c r="U48" s="3184"/>
      <c r="V48" s="3184">
        <f>I48</f>
        <v>0</v>
      </c>
      <c r="W48" s="3184"/>
      <c r="X48" s="445"/>
      <c r="Y48" s="780"/>
      <c r="Z48" s="445"/>
      <c r="AA48" s="445"/>
      <c r="AB48" s="445"/>
      <c r="AC48" s="629"/>
    </row>
    <row r="49" spans="1:29" ht="15.75" thickBot="1">
      <c r="A49" s="485" t="s">
        <v>2666</v>
      </c>
      <c r="B49" s="486"/>
      <c r="C49" s="1415" t="e">
        <f>R50</f>
        <v>#DIV/0!</v>
      </c>
      <c r="D49" s="1416"/>
      <c r="E49" s="1417" t="e">
        <f>R49</f>
        <v>#DIV/0!</v>
      </c>
      <c r="F49" s="1417"/>
      <c r="G49" s="1415" t="e">
        <f>T49</f>
        <v>#DIV/0!</v>
      </c>
      <c r="H49" s="1416"/>
      <c r="I49" s="1417" t="e">
        <f>V49</f>
        <v>#DIV/0!</v>
      </c>
      <c r="J49" s="488"/>
      <c r="K49" s="783"/>
      <c r="L49" s="1145"/>
      <c r="M49" s="1133"/>
      <c r="N49" s="1133"/>
      <c r="O49" s="1133"/>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5"/>
      <c r="Y49" s="445"/>
      <c r="Z49" s="445"/>
      <c r="AA49" s="445"/>
      <c r="AB49" s="445"/>
      <c r="AC49" s="629"/>
    </row>
    <row r="50" spans="1:29" ht="15.75" thickBot="1">
      <c r="A50" s="491" t="s">
        <v>2667</v>
      </c>
      <c r="B50" s="492"/>
      <c r="C50" s="1419" t="e">
        <f>R50</f>
        <v>#DIV/0!</v>
      </c>
      <c r="D50" s="1419"/>
      <c r="E50" s="1419"/>
      <c r="F50" s="1419"/>
      <c r="G50" s="1419"/>
      <c r="H50" s="1419"/>
      <c r="I50" s="1419"/>
      <c r="J50" s="493"/>
      <c r="K50" s="784"/>
      <c r="L50" s="1145"/>
      <c r="M50" s="1133"/>
      <c r="N50" s="1133"/>
      <c r="O50" s="1133"/>
      <c r="P50" s="3226" t="str">
        <f>A50</f>
        <v>估价对象XX用房的比较价值（楼面单价，元/平方米）</v>
      </c>
      <c r="Q50" s="3227"/>
      <c r="R50" s="3228" t="e">
        <f>IF(F1="售价",ROUND(AVERAGE(R49:V49),0),ROUND(AVERAGE(R49:V49),1))</f>
        <v>#DIV/0!</v>
      </c>
      <c r="S50" s="3228"/>
      <c r="T50" s="3228"/>
      <c r="U50" s="3228"/>
      <c r="V50" s="3228"/>
      <c r="W50" s="3228"/>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3"/>
      <c r="Q58" s="503"/>
    </row>
    <row r="59" spans="1:29" s="507" customFormat="1" ht="15">
      <c r="A59" s="504" t="s">
        <v>2545</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8"/>
      <c r="B60" s="509"/>
      <c r="C60" s="1575">
        <v>100</v>
      </c>
      <c r="D60" s="511"/>
      <c r="E60" s="511"/>
      <c r="F60" s="511"/>
      <c r="G60" s="511"/>
      <c r="H60" s="511"/>
      <c r="I60" s="511"/>
      <c r="J60" s="511"/>
      <c r="K60" s="511"/>
      <c r="L60" s="511"/>
      <c r="M60" s="512"/>
      <c r="N60" s="511"/>
      <c r="O60" s="512"/>
      <c r="P60" s="2684"/>
    </row>
    <row r="61" spans="1:29" s="117" customFormat="1" ht="15.75" thickBot="1">
      <c r="A61" s="514" t="s">
        <v>2582</v>
      </c>
      <c r="B61" s="515"/>
      <c r="C61" s="516"/>
      <c r="D61" s="517"/>
      <c r="E61" s="517"/>
      <c r="F61" s="517"/>
      <c r="G61" s="517"/>
      <c r="H61" s="517"/>
      <c r="I61" s="517"/>
      <c r="J61" s="517"/>
      <c r="K61" s="517"/>
      <c r="L61" s="517"/>
      <c r="M61" s="518"/>
      <c r="N61" s="517"/>
      <c r="O61" s="518"/>
      <c r="P61" s="2684"/>
      <c r="Q61" s="503"/>
    </row>
    <row r="62" spans="1:29" s="117" customFormat="1" ht="15">
      <c r="A62" s="520" t="s">
        <v>2547</v>
      </c>
      <c r="B62" s="509"/>
      <c r="C62" s="521" t="s">
        <v>2649</v>
      </c>
      <c r="D62" s="522"/>
      <c r="E62" s="522"/>
      <c r="F62" s="522"/>
      <c r="G62" s="522"/>
      <c r="H62" s="522"/>
      <c r="I62" s="522"/>
      <c r="J62" s="522"/>
      <c r="K62" s="522"/>
      <c r="L62" s="523"/>
      <c r="M62" s="524"/>
      <c r="N62" s="1153"/>
      <c r="O62" s="1153"/>
      <c r="P62" s="2685"/>
      <c r="Q62" s="503"/>
    </row>
    <row r="63" spans="1:29" s="117"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2585</v>
      </c>
      <c r="B64" s="527" t="s">
        <v>2551</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2686</v>
      </c>
      <c r="C83" s="659" t="s">
        <v>2672</v>
      </c>
      <c r="D83" s="659" t="s">
        <v>2673</v>
      </c>
      <c r="E83" s="659" t="s">
        <v>2674</v>
      </c>
      <c r="F83" s="659" t="s">
        <v>2675</v>
      </c>
      <c r="G83" s="659" t="s">
        <v>2676</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7" customFormat="1" ht="27.75" thickTop="1">
      <c r="A87" s="578"/>
      <c r="B87" s="537" t="s">
        <v>2696</v>
      </c>
      <c r="C87" s="553"/>
      <c r="D87" s="553"/>
      <c r="E87" s="553"/>
      <c r="F87" s="553"/>
      <c r="G87" s="553"/>
      <c r="H87" s="553"/>
      <c r="I87" s="553"/>
      <c r="J87" s="553"/>
      <c r="K87" s="553"/>
      <c r="L87" s="579"/>
      <c r="M87" s="580"/>
      <c r="N87" s="1153"/>
      <c r="O87" s="1153"/>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7"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2560</v>
      </c>
      <c r="B101" s="527" t="s">
        <v>2609</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2611</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2613</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2697</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2614</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2615</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2698</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2681</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2617</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T35" sqref="T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2699</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IF(C2="——",ROUND(C43*D3/10000,0),ROUND(C43*D3/10000,0)-D2)</f>
        <v>#DIV/0!</v>
      </c>
      <c r="C2" s="2588"/>
      <c r="D2" s="1126" t="e">
        <f ca="1">SUMIF(INDIRECT("'"&amp;F2&amp;"'"&amp;"!A:A"),"承租人权益价值",INDIRECT("'"&amp;F2&amp;"'"&amp;"!c:c"))</f>
        <v>#REF!</v>
      </c>
      <c r="E2" s="2589" t="s">
        <v>2325</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2326</v>
      </c>
      <c r="B3" s="608" t="e">
        <f ca="1">IF(C2="——",C43,ROUND(B2*10000/D3,0))</f>
        <v>#DIV/0!</v>
      </c>
      <c r="C3" s="400" t="s">
        <v>2641</v>
      </c>
      <c r="D3" s="399">
        <f>IF(D1="",'数据-汇总表'!E3,SUMIF('数据-汇总表'!$C19:$C33,D1,'数据-汇总表'!$E19:$E33))</f>
        <v>4824.4600000000037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196"/>
      <c r="AC5" s="3196"/>
    </row>
    <row r="6" spans="1:29" ht="15.75" thickBot="1">
      <c r="A6" s="406"/>
      <c r="B6" s="407"/>
      <c r="C6" s="3215" t="s">
        <v>2543</v>
      </c>
      <c r="D6" s="3216"/>
      <c r="E6" s="3222" t="s">
        <v>2543</v>
      </c>
      <c r="F6" s="3223"/>
      <c r="G6" s="3215" t="s">
        <v>2543</v>
      </c>
      <c r="H6" s="3216"/>
      <c r="I6" s="3215" t="s">
        <v>2543</v>
      </c>
      <c r="J6" s="3216"/>
      <c r="K6" s="609" t="s">
        <v>2544</v>
      </c>
      <c r="L6" s="1132"/>
      <c r="M6" s="1133"/>
      <c r="N6" s="1133"/>
      <c r="O6" s="1133"/>
      <c r="P6" s="3206"/>
      <c r="Q6" s="3207"/>
      <c r="R6" s="3210"/>
      <c r="S6" s="3211"/>
      <c r="T6" s="3212"/>
      <c r="U6" s="3213"/>
      <c r="V6" s="3214"/>
      <c r="W6" s="3214"/>
      <c r="X6" s="1815"/>
      <c r="Y6" s="3212"/>
      <c r="Z6" s="3213"/>
      <c r="AA6" s="3197"/>
      <c r="AB6" s="3197"/>
      <c r="AC6" s="3197"/>
    </row>
    <row r="7" spans="1:29" s="117" customFormat="1" ht="15.75" thickBot="1">
      <c r="A7" s="408" t="s">
        <v>2545</v>
      </c>
      <c r="B7" s="409"/>
      <c r="C7" s="410">
        <f>'数据-取费表'!B2</f>
        <v>43286</v>
      </c>
      <c r="D7" s="411">
        <v>100</v>
      </c>
      <c r="E7" s="412"/>
      <c r="F7" s="413">
        <f>SUMIF(52:52,YEAR(E7)&amp;"-"&amp;MONTH(E7),53:53)</f>
        <v>0</v>
      </c>
      <c r="G7" s="412"/>
      <c r="H7" s="411">
        <f>SUMIF(52:52,YEAR(G7)&amp;"-"&amp;MONTH(G7),53:53)</f>
        <v>0</v>
      </c>
      <c r="I7" s="412"/>
      <c r="J7" s="411">
        <f>SUMIF(52:52,YEAR(I7)&amp;"-"&amp;MONTH(I7),53:53)</f>
        <v>0</v>
      </c>
      <c r="K7" s="610"/>
      <c r="L7" s="1134"/>
      <c r="M7" s="1135"/>
      <c r="N7" s="1135"/>
      <c r="O7" s="1135"/>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83"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772">
        <f t="shared" si="5"/>
        <v>1</v>
      </c>
    </row>
    <row r="10" spans="1:29" s="426" customFormat="1" ht="27">
      <c r="A10" s="420"/>
      <c r="B10" s="421" t="s">
        <v>2554</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83"/>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83"/>
      <c r="Q11" s="1797"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2556</v>
      </c>
      <c r="B15" s="69" t="s">
        <v>2700</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5" t="s">
        <v>2557</v>
      </c>
      <c r="Q15" s="1812" t="str">
        <f t="shared" si="6"/>
        <v>产业集聚程度</v>
      </c>
      <c r="R15" s="773" t="s">
        <v>17</v>
      </c>
      <c r="S15" s="774">
        <f t="shared" si="0"/>
        <v>100</v>
      </c>
      <c r="T15" s="773" t="s">
        <v>17</v>
      </c>
      <c r="U15" s="774">
        <f t="shared" si="1"/>
        <v>100</v>
      </c>
      <c r="V15" s="773" t="s">
        <v>17</v>
      </c>
      <c r="W15" s="774">
        <f t="shared" si="2"/>
        <v>100</v>
      </c>
      <c r="X15" s="1815"/>
      <c r="Y15" s="3185" t="s">
        <v>2557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6"/>
      <c r="Q16" s="1812"/>
      <c r="R16" s="773"/>
      <c r="S16" s="774"/>
      <c r="T16" s="773"/>
      <c r="U16" s="774"/>
      <c r="V16" s="773"/>
      <c r="W16" s="774"/>
      <c r="X16" s="1815"/>
      <c r="Y16" s="3186"/>
      <c r="Z16" s="1816"/>
      <c r="AA16" s="1813">
        <v>1</v>
      </c>
      <c r="AB16" s="1813">
        <v>1</v>
      </c>
      <c r="AC16" s="1813">
        <v>1</v>
      </c>
    </row>
    <row r="17" spans="1:29" ht="85.5">
      <c r="A17" s="427"/>
      <c r="B17" s="450" t="s">
        <v>2096</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186"/>
      <c r="Q18" s="1812"/>
      <c r="R18" s="773"/>
      <c r="S18" s="774"/>
      <c r="T18" s="773"/>
      <c r="U18" s="774"/>
      <c r="V18" s="773"/>
      <c r="W18" s="774"/>
      <c r="X18" s="1815"/>
      <c r="Y18" s="3186"/>
      <c r="Z18" s="1816"/>
      <c r="AA18" s="1813">
        <v>1</v>
      </c>
      <c r="AB18" s="1813">
        <v>1</v>
      </c>
      <c r="AC18" s="1813">
        <v>1</v>
      </c>
    </row>
    <row r="19" spans="1:29" ht="42.75">
      <c r="A19" s="427"/>
      <c r="B19" s="450" t="s">
        <v>2685</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6"/>
      <c r="Q19" s="1812" t="str">
        <f>B19</f>
        <v>公共配套设施</v>
      </c>
      <c r="R19" s="773" t="s">
        <v>17</v>
      </c>
      <c r="S19" s="774">
        <f>F19</f>
        <v>100</v>
      </c>
      <c r="T19" s="773" t="s">
        <v>17</v>
      </c>
      <c r="U19" s="774">
        <f>H19</f>
        <v>100</v>
      </c>
      <c r="V19" s="773" t="s">
        <v>17</v>
      </c>
      <c r="W19" s="774">
        <f>J19</f>
        <v>100</v>
      </c>
      <c r="X19" s="1815"/>
      <c r="Y19" s="3186"/>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186"/>
      <c r="Q20" s="1812"/>
      <c r="R20" s="773"/>
      <c r="S20" s="774"/>
      <c r="T20" s="773"/>
      <c r="U20" s="774"/>
      <c r="V20" s="773"/>
      <c r="W20" s="774"/>
      <c r="X20" s="1815"/>
      <c r="Y20" s="3186"/>
      <c r="Z20" s="1816"/>
      <c r="AA20" s="1813">
        <v>1</v>
      </c>
      <c r="AB20" s="1813">
        <v>1</v>
      </c>
      <c r="AC20" s="1813">
        <v>1</v>
      </c>
    </row>
    <row r="21" spans="1:29" ht="28.5">
      <c r="A21" s="427"/>
      <c r="B21" s="1386" t="s">
        <v>2686</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6"/>
      <c r="Q21" s="1812" t="str">
        <f>B21</f>
        <v>基础设施水平</v>
      </c>
      <c r="R21" s="773" t="s">
        <v>17</v>
      </c>
      <c r="S21" s="774">
        <f>F21</f>
        <v>100</v>
      </c>
      <c r="T21" s="773" t="s">
        <v>17</v>
      </c>
      <c r="U21" s="774">
        <f>H21</f>
        <v>100</v>
      </c>
      <c r="V21" s="773" t="s">
        <v>17</v>
      </c>
      <c r="W21" s="774">
        <f>J21</f>
        <v>100</v>
      </c>
      <c r="X21" s="1815"/>
      <c r="Y21" s="3186"/>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186"/>
      <c r="Q22" s="1812"/>
      <c r="R22" s="773"/>
      <c r="S22" s="774"/>
      <c r="T22" s="773"/>
      <c r="U22" s="774"/>
      <c r="V22" s="773"/>
      <c r="W22" s="774"/>
      <c r="X22" s="1815"/>
      <c r="Y22" s="3186"/>
      <c r="Z22" s="1816"/>
      <c r="AA22" s="1813">
        <v>1</v>
      </c>
      <c r="AB22" s="1813">
        <v>1</v>
      </c>
      <c r="AC22" s="1813">
        <v>1</v>
      </c>
    </row>
    <row r="23" spans="1:29" ht="71.25">
      <c r="A23" s="427"/>
      <c r="B23" s="450" t="s">
        <v>2687</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6"/>
      <c r="Q23" s="1812" t="str">
        <f>B23</f>
        <v>环境质量</v>
      </c>
      <c r="R23" s="773" t="s">
        <v>17</v>
      </c>
      <c r="S23" s="774">
        <f>F23</f>
        <v>100</v>
      </c>
      <c r="T23" s="773" t="s">
        <v>17</v>
      </c>
      <c r="U23" s="774">
        <f>H23</f>
        <v>100</v>
      </c>
      <c r="V23" s="773" t="s">
        <v>17</v>
      </c>
      <c r="W23" s="774">
        <f>J23</f>
        <v>100</v>
      </c>
      <c r="X23" s="1815"/>
      <c r="Y23" s="3186"/>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186"/>
      <c r="Q24" s="1812"/>
      <c r="R24" s="773"/>
      <c r="S24" s="774"/>
      <c r="T24" s="773"/>
      <c r="U24" s="774"/>
      <c r="V24" s="773"/>
      <c r="W24" s="774"/>
      <c r="X24" s="1815"/>
      <c r="Y24" s="3186"/>
      <c r="Z24" s="1816"/>
      <c r="AA24" s="1813">
        <v>1</v>
      </c>
      <c r="AB24" s="1813">
        <v>1</v>
      </c>
      <c r="AC24" s="1813">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6"/>
      <c r="Q25" s="1812">
        <f>B25</f>
        <v>111</v>
      </c>
      <c r="R25" s="773" t="s">
        <v>17</v>
      </c>
      <c r="S25" s="774">
        <f>F25</f>
        <v>100</v>
      </c>
      <c r="T25" s="773" t="s">
        <v>17</v>
      </c>
      <c r="U25" s="774">
        <f>H25</f>
        <v>100</v>
      </c>
      <c r="V25" s="773" t="s">
        <v>17</v>
      </c>
      <c r="W25" s="774">
        <f>J25</f>
        <v>100</v>
      </c>
      <c r="X25" s="1815"/>
      <c r="Y25" s="3186"/>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6"/>
      <c r="Q26" s="1812">
        <f t="shared" ref="Q26:Q40" si="11">B26</f>
        <v>111</v>
      </c>
      <c r="R26" s="773" t="s">
        <v>17</v>
      </c>
      <c r="S26" s="774">
        <f>F26</f>
        <v>100</v>
      </c>
      <c r="T26" s="773" t="s">
        <v>17</v>
      </c>
      <c r="U26" s="774">
        <f>H26</f>
        <v>100</v>
      </c>
      <c r="V26" s="773" t="s">
        <v>17</v>
      </c>
      <c r="W26" s="774">
        <f>J26</f>
        <v>100</v>
      </c>
      <c r="X26" s="1815"/>
      <c r="Y26" s="3186"/>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6"/>
      <c r="Q27" s="1797">
        <f t="shared" si="11"/>
        <v>111</v>
      </c>
      <c r="R27" s="769" t="s">
        <v>17</v>
      </c>
      <c r="S27" s="770">
        <f>F27</f>
        <v>100</v>
      </c>
      <c r="T27" s="769" t="s">
        <v>17</v>
      </c>
      <c r="U27" s="770">
        <f>H27</f>
        <v>100</v>
      </c>
      <c r="V27" s="769" t="s">
        <v>17</v>
      </c>
      <c r="W27" s="770">
        <f>J27</f>
        <v>100</v>
      </c>
      <c r="X27" s="771"/>
      <c r="Y27" s="3186"/>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6"/>
      <c r="Q28" s="1812">
        <f t="shared" si="11"/>
        <v>111</v>
      </c>
      <c r="R28" s="773" t="s">
        <v>17</v>
      </c>
      <c r="S28" s="774">
        <f t="shared" ref="S28:S40" si="12">F28</f>
        <v>100</v>
      </c>
      <c r="T28" s="773" t="s">
        <v>17</v>
      </c>
      <c r="U28" s="774">
        <f t="shared" ref="U28:U40" si="13">H28</f>
        <v>100</v>
      </c>
      <c r="V28" s="773" t="s">
        <v>17</v>
      </c>
      <c r="W28" s="774">
        <f t="shared" ref="W28:W40" si="14">J28</f>
        <v>100</v>
      </c>
      <c r="X28" s="1815"/>
      <c r="Y28" s="3186"/>
      <c r="Z28" s="1816">
        <f t="shared" ref="Z28:Z40" si="15">Q28</f>
        <v>111</v>
      </c>
      <c r="AA28" s="1813">
        <f t="shared" si="3"/>
        <v>1</v>
      </c>
      <c r="AB28" s="1813">
        <f t="shared" si="4"/>
        <v>1</v>
      </c>
      <c r="AC28" s="1813">
        <f t="shared" si="5"/>
        <v>1</v>
      </c>
    </row>
    <row r="29" spans="1:29" ht="28.5">
      <c r="A29" s="465" t="s">
        <v>2560</v>
      </c>
      <c r="B29" s="71" t="s">
        <v>2690</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41" t="s">
        <v>2562</v>
      </c>
      <c r="Q29" s="1812" t="str">
        <f t="shared" si="11"/>
        <v>建筑类型</v>
      </c>
      <c r="R29" s="773" t="s">
        <v>17</v>
      </c>
      <c r="S29" s="774">
        <f t="shared" si="12"/>
        <v>100</v>
      </c>
      <c r="T29" s="773" t="s">
        <v>17</v>
      </c>
      <c r="U29" s="774">
        <f t="shared" si="13"/>
        <v>100</v>
      </c>
      <c r="V29" s="773" t="s">
        <v>17</v>
      </c>
      <c r="W29" s="774">
        <f t="shared" si="14"/>
        <v>100</v>
      </c>
      <c r="X29" s="1815"/>
      <c r="Y29" s="3190" t="s">
        <v>2562</v>
      </c>
      <c r="Z29" s="1816" t="str">
        <f t="shared" si="15"/>
        <v>建筑类型</v>
      </c>
      <c r="AA29" s="1813">
        <f t="shared" si="3"/>
        <v>1</v>
      </c>
      <c r="AB29" s="1813">
        <f t="shared" si="4"/>
        <v>1</v>
      </c>
      <c r="AC29" s="1813">
        <f t="shared" si="5"/>
        <v>1</v>
      </c>
    </row>
    <row r="30" spans="1:29" s="470" customFormat="1" ht="15">
      <c r="A30" s="467"/>
      <c r="B30" s="421" t="s">
        <v>2563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3" t="e">
        <f t="shared" si="3"/>
        <v>#N/A</v>
      </c>
      <c r="AB30" s="1813" t="e">
        <f t="shared" si="4"/>
        <v>#N/A</v>
      </c>
      <c r="AC30" s="1813"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0"/>
      <c r="Q31" s="1812" t="str">
        <f t="shared" si="11"/>
        <v>建筑结构</v>
      </c>
      <c r="R31" s="773" t="s">
        <v>17</v>
      </c>
      <c r="S31" s="774">
        <f t="shared" si="12"/>
        <v>100</v>
      </c>
      <c r="T31" s="773" t="s">
        <v>17</v>
      </c>
      <c r="U31" s="774">
        <f t="shared" si="13"/>
        <v>100</v>
      </c>
      <c r="V31" s="773" t="s">
        <v>17</v>
      </c>
      <c r="W31" s="774">
        <f t="shared" si="14"/>
        <v>100</v>
      </c>
      <c r="X31" s="1815"/>
      <c r="Y31" s="3190"/>
      <c r="Z31" s="1816" t="str">
        <f t="shared" si="15"/>
        <v>建筑结构</v>
      </c>
      <c r="AA31" s="1813">
        <f t="shared" si="3"/>
        <v>1</v>
      </c>
      <c r="AB31" s="1813">
        <f t="shared" si="4"/>
        <v>1</v>
      </c>
      <c r="AC31" s="1813">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0"/>
      <c r="Q32" s="1812" t="str">
        <f t="shared" si="11"/>
        <v>公共部分装修</v>
      </c>
      <c r="R32" s="773" t="s">
        <v>17</v>
      </c>
      <c r="S32" s="774">
        <f t="shared" si="12"/>
        <v>100</v>
      </c>
      <c r="T32" s="773" t="s">
        <v>17</v>
      </c>
      <c r="U32" s="774">
        <f t="shared" si="13"/>
        <v>100</v>
      </c>
      <c r="V32" s="773" t="s">
        <v>17</v>
      </c>
      <c r="W32" s="774">
        <f t="shared" si="14"/>
        <v>100</v>
      </c>
      <c r="X32" s="1815"/>
      <c r="Y32" s="3190"/>
      <c r="Z32" s="1816" t="str">
        <f t="shared" si="15"/>
        <v>公共部分装修</v>
      </c>
      <c r="AA32" s="1813">
        <f t="shared" si="3"/>
        <v>1</v>
      </c>
      <c r="AB32" s="1813">
        <f t="shared" si="4"/>
        <v>1</v>
      </c>
      <c r="AC32" s="1813">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0"/>
      <c r="Q33" s="1812" t="str">
        <f t="shared" si="11"/>
        <v>成新度</v>
      </c>
      <c r="R33" s="773" t="s">
        <v>17</v>
      </c>
      <c r="S33" s="774" t="e">
        <f t="shared" si="12"/>
        <v>#N/A</v>
      </c>
      <c r="T33" s="773" t="s">
        <v>17</v>
      </c>
      <c r="U33" s="774" t="e">
        <f t="shared" si="13"/>
        <v>#N/A</v>
      </c>
      <c r="V33" s="773" t="s">
        <v>17</v>
      </c>
      <c r="W33" s="774" t="e">
        <f t="shared" si="14"/>
        <v>#N/A</v>
      </c>
      <c r="X33" s="1815"/>
      <c r="Y33" s="3190"/>
      <c r="Z33" s="1816" t="str">
        <f t="shared" si="15"/>
        <v>成新度</v>
      </c>
      <c r="AA33" s="1813" t="e">
        <f t="shared" si="3"/>
        <v>#N/A</v>
      </c>
      <c r="AB33" s="1813" t="e">
        <f t="shared" si="4"/>
        <v>#N/A</v>
      </c>
      <c r="AC33" s="1813" t="e">
        <f t="shared" si="5"/>
        <v>#N/A</v>
      </c>
    </row>
    <row r="34" spans="1:29" s="117" customFormat="1" ht="15">
      <c r="A34" s="472"/>
      <c r="B34" s="421" t="s">
        <v>2692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0"/>
      <c r="Q34" s="1797"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0" t="s">
        <v>2562</v>
      </c>
      <c r="Q35" s="1812" t="str">
        <f t="shared" si="11"/>
        <v>市政基础设施</v>
      </c>
      <c r="R35" s="773" t="s">
        <v>17</v>
      </c>
      <c r="S35" s="774">
        <f t="shared" si="12"/>
        <v>100</v>
      </c>
      <c r="T35" s="773" t="s">
        <v>17</v>
      </c>
      <c r="U35" s="774">
        <f t="shared" si="13"/>
        <v>100</v>
      </c>
      <c r="V35" s="773" t="s">
        <v>17</v>
      </c>
      <c r="W35" s="774">
        <f t="shared" si="14"/>
        <v>100</v>
      </c>
      <c r="X35" s="1815"/>
      <c r="Y35" s="3190" t="s">
        <v>2562</v>
      </c>
      <c r="Z35" s="1816" t="str">
        <f t="shared" si="15"/>
        <v>市政基础设施</v>
      </c>
      <c r="AA35" s="1813">
        <f t="shared" si="3"/>
        <v>1</v>
      </c>
      <c r="AB35" s="1813">
        <f t="shared" si="4"/>
        <v>1</v>
      </c>
      <c r="AC35" s="1813">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0"/>
      <c r="Q36" s="1812" t="str">
        <f t="shared" si="11"/>
        <v>内部装修</v>
      </c>
      <c r="R36" s="773" t="s">
        <v>17</v>
      </c>
      <c r="S36" s="774">
        <f t="shared" si="12"/>
        <v>100</v>
      </c>
      <c r="T36" s="773" t="s">
        <v>17</v>
      </c>
      <c r="U36" s="774">
        <f t="shared" si="13"/>
        <v>100</v>
      </c>
      <c r="V36" s="773" t="s">
        <v>17</v>
      </c>
      <c r="W36" s="774">
        <f t="shared" si="14"/>
        <v>100</v>
      </c>
      <c r="X36" s="1815"/>
      <c r="Y36" s="3190"/>
      <c r="Z36" s="1816" t="str">
        <f t="shared" si="15"/>
        <v>内部装修</v>
      </c>
      <c r="AA36" s="1813">
        <f t="shared" si="3"/>
        <v>1</v>
      </c>
      <c r="AB36" s="1813">
        <f t="shared" si="4"/>
        <v>1</v>
      </c>
      <c r="AC36" s="1813">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0"/>
      <c r="Q37" s="1812" t="str">
        <f t="shared" si="11"/>
        <v>内部装修状况</v>
      </c>
      <c r="R37" s="773" t="s">
        <v>17</v>
      </c>
      <c r="S37" s="774">
        <f t="shared" si="12"/>
        <v>100</v>
      </c>
      <c r="T37" s="773" t="s">
        <v>17</v>
      </c>
      <c r="U37" s="774">
        <f t="shared" si="13"/>
        <v>100</v>
      </c>
      <c r="V37" s="773" t="s">
        <v>17</v>
      </c>
      <c r="W37" s="774">
        <f t="shared" si="14"/>
        <v>100</v>
      </c>
      <c r="X37" s="1815"/>
      <c r="Y37" s="319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0"/>
      <c r="Q39" s="1812">
        <f t="shared" si="11"/>
        <v>111</v>
      </c>
      <c r="R39" s="773" t="s">
        <v>17</v>
      </c>
      <c r="S39" s="774">
        <f t="shared" si="12"/>
        <v>100</v>
      </c>
      <c r="T39" s="773" t="s">
        <v>17</v>
      </c>
      <c r="U39" s="774">
        <f t="shared" si="13"/>
        <v>100</v>
      </c>
      <c r="V39" s="773" t="s">
        <v>17</v>
      </c>
      <c r="W39" s="774">
        <f t="shared" si="14"/>
        <v>100</v>
      </c>
      <c r="X39" s="1815"/>
      <c r="Y39" s="3190"/>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1"/>
      <c r="Q40" s="1812">
        <f t="shared" si="11"/>
        <v>111</v>
      </c>
      <c r="R40" s="773" t="s">
        <v>17</v>
      </c>
      <c r="S40" s="774">
        <f t="shared" si="12"/>
        <v>100</v>
      </c>
      <c r="T40" s="773" t="s">
        <v>17</v>
      </c>
      <c r="U40" s="774">
        <f t="shared" si="13"/>
        <v>100</v>
      </c>
      <c r="V40" s="773" t="s">
        <v>17</v>
      </c>
      <c r="W40" s="774">
        <f t="shared" si="14"/>
        <v>100</v>
      </c>
      <c r="X40" s="1815"/>
      <c r="Y40" s="3191"/>
      <c r="Z40" s="1816">
        <f t="shared" si="15"/>
        <v>111</v>
      </c>
      <c r="AA40" s="1813">
        <f t="shared" si="3"/>
        <v>1</v>
      </c>
      <c r="AB40" s="1813">
        <f t="shared" si="4"/>
        <v>1</v>
      </c>
      <c r="AC40" s="1813">
        <f t="shared" si="5"/>
        <v>1</v>
      </c>
    </row>
    <row r="41" spans="1:29" ht="15">
      <c r="A41" s="478" t="s">
        <v>2574</v>
      </c>
      <c r="B41" s="479"/>
      <c r="C41" s="1409" t="s">
        <v>1</v>
      </c>
      <c r="D41" s="1410"/>
      <c r="E41" s="1411"/>
      <c r="F41" s="1412"/>
      <c r="G41" s="1413"/>
      <c r="H41" s="1414"/>
      <c r="I41" s="1411"/>
      <c r="J41" s="1414"/>
      <c r="K41" s="782"/>
      <c r="L41" s="1145"/>
      <c r="M41" s="1146"/>
      <c r="N41" s="1133"/>
      <c r="O41" s="1146"/>
      <c r="P41" s="3183" t="str">
        <f>A41</f>
        <v>成交单价（元/平方米）</v>
      </c>
      <c r="Q41" s="3183"/>
      <c r="R41" s="3184">
        <f>E41</f>
        <v>0</v>
      </c>
      <c r="S41" s="3184"/>
      <c r="T41" s="3184">
        <f>G41</f>
        <v>0</v>
      </c>
      <c r="U41" s="3184"/>
      <c r="V41" s="3184">
        <f>I41</f>
        <v>0</v>
      </c>
      <c r="W41" s="3184"/>
      <c r="X41" s="758"/>
      <c r="Y41" s="780"/>
      <c r="Z41" s="758"/>
      <c r="AA41" s="758"/>
      <c r="AB41" s="758"/>
      <c r="AC41" s="758"/>
    </row>
    <row r="42" spans="1:29" ht="15.75" thickBot="1">
      <c r="A42" s="485" t="s">
        <v>2666</v>
      </c>
      <c r="B42" s="486"/>
      <c r="C42" s="1415" t="e">
        <f>R43</f>
        <v>#DIV/0!</v>
      </c>
      <c r="D42" s="1416"/>
      <c r="E42" s="1417" t="e">
        <f>R42</f>
        <v>#DIV/0!</v>
      </c>
      <c r="F42" s="1417"/>
      <c r="G42" s="1415" t="e">
        <f>T42</f>
        <v>#DIV/0!</v>
      </c>
      <c r="H42" s="1416"/>
      <c r="I42" s="1417" t="e">
        <f>V42</f>
        <v>#DIV/0!</v>
      </c>
      <c r="J42" s="1416"/>
      <c r="K42" s="783"/>
      <c r="L42" s="1145"/>
      <c r="M42" s="1146"/>
      <c r="N42" s="1133"/>
      <c r="O42" s="1146"/>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8"/>
      <c r="Y42" s="758"/>
      <c r="Z42" s="758"/>
      <c r="AA42" s="758"/>
      <c r="AB42" s="758"/>
      <c r="AC42" s="758"/>
    </row>
    <row r="43" spans="1:29" ht="15.75" thickBot="1">
      <c r="A43" s="491" t="s">
        <v>2667</v>
      </c>
      <c r="B43" s="492"/>
      <c r="C43" s="1419" t="e">
        <f>R43</f>
        <v>#DIV/0!</v>
      </c>
      <c r="D43" s="1419"/>
      <c r="E43" s="1419"/>
      <c r="F43" s="1419"/>
      <c r="G43" s="1419"/>
      <c r="H43" s="1419"/>
      <c r="I43" s="1419"/>
      <c r="J43" s="1419"/>
      <c r="K43" s="784"/>
      <c r="L43" s="1145"/>
      <c r="M43" s="1146"/>
      <c r="N43" s="1146"/>
      <c r="O43" s="1146"/>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2"/>
      <c r="Q51" s="503"/>
    </row>
    <row r="52" spans="1:17" s="507" customFormat="1" ht="15">
      <c r="A52" s="504" t="s">
        <v>2545</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2582</v>
      </c>
      <c r="B54" s="515"/>
      <c r="C54" s="516"/>
      <c r="D54" s="517"/>
      <c r="E54" s="517"/>
      <c r="F54" s="517"/>
      <c r="G54" s="517"/>
      <c r="H54" s="517"/>
      <c r="I54" s="517"/>
      <c r="J54" s="517"/>
      <c r="K54" s="517"/>
      <c r="L54" s="517"/>
      <c r="M54" s="518"/>
      <c r="N54" s="517"/>
      <c r="O54" s="519"/>
      <c r="P54" s="503"/>
      <c r="Q54" s="503"/>
    </row>
    <row r="55" spans="1:17" s="117" customFormat="1" ht="15">
      <c r="A55" s="520" t="s">
        <v>2547</v>
      </c>
      <c r="B55" s="509"/>
      <c r="C55" s="521" t="s">
        <v>2649</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2585</v>
      </c>
      <c r="B57" s="527" t="s">
        <v>2551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8"/>
      <c r="B87" s="568"/>
      <c r="C87" s="569"/>
      <c r="D87" s="569"/>
      <c r="E87" s="569"/>
      <c r="F87" s="569"/>
      <c r="G87" s="590"/>
      <c r="H87" s="590"/>
      <c r="I87" s="590"/>
      <c r="J87" s="590"/>
      <c r="K87" s="590"/>
      <c r="L87" s="590"/>
      <c r="M87" s="591"/>
      <c r="N87" s="1155"/>
      <c r="O87" s="1155"/>
      <c r="P87" s="45"/>
      <c r="Q87" s="503"/>
    </row>
    <row r="88" spans="1:17">
      <c r="A88" s="526" t="s">
        <v>2560</v>
      </c>
      <c r="B88" s="527" t="s">
        <v>2609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1610</v>
      </c>
    </row>
    <row r="2" spans="1:1">
      <c r="A2" s="1948"/>
    </row>
    <row r="3" spans="1:1" ht="18">
      <c r="A3" s="1949" t="str">
        <f>项目基本情况!B5&amp;"："</f>
        <v>北京华光同创科技有限公司、北京康思敏捷商贸有限公司：</v>
      </c>
    </row>
    <row r="4" spans="1:1" ht="36">
      <c r="A4" s="1950" t="str">
        <f>"受贵公司委托，我公司对"&amp;项目基本情况!S1&amp;"进行了预评估。"</f>
        <v>受贵公司委托，我公司对北京市海淀区西翠路17号院22号楼102号等49套配套用房房地产抵押价值进行了预评估。</v>
      </c>
    </row>
    <row r="5" spans="1:1" ht="18.75">
      <c r="A5" s="1951" t="s">
        <v>1611</v>
      </c>
    </row>
    <row r="6" spans="1:1" ht="18.75">
      <c r="A6" s="1952" t="s">
        <v>1612</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估价对象为北京市海淀区西翠路17号院22号楼102号等49套配套用房房地产，为所有。根据《国有土地使用证》[]，估价对象（分摊）出让国有建设用地使用权面积为0平方米，建筑面积为4824.46平方米。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翠路17号院22号楼102号等49套配套用房房地产,属开发建设的商业项目，该项目尚在开发建设中。根据《国有土地使用证》[]，估价对象（分摊）出让国有建设用地使用权面积为0平方米，规划建筑面积为4824.46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为估价委托人在向华夏银行股份有限公司北京四道口支行办理贷款手续过程中，确定房地产抵押贷款额度提供参考依据而评估房地产抵押价值。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2018年7月5日（评估专业人员实地查勘之日）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T35" sqref="T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6"/>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2324</v>
      </c>
      <c r="B2" s="1420" t="e">
        <f ca="1">IF(C2="——",IF(B37="元/平方米",ROUND(C39*D3/10000,0),ROUND(F3*C39/10000,0)),IF(B37="元/平方米",ROUND(C39*D3/10000,0),ROUND(F3*C39/10000,0))-D2)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2326</v>
      </c>
      <c r="B3" s="608"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196"/>
      <c r="AC5" s="3196"/>
    </row>
    <row r="6" spans="1:29" ht="15.75" thickBot="1">
      <c r="A6" s="406"/>
      <c r="B6" s="407"/>
      <c r="C6" s="3215" t="s">
        <v>2543</v>
      </c>
      <c r="D6" s="3216"/>
      <c r="E6" s="3222" t="s">
        <v>2543</v>
      </c>
      <c r="F6" s="3223"/>
      <c r="G6" s="3215" t="s">
        <v>2543</v>
      </c>
      <c r="H6" s="3216"/>
      <c r="I6" s="3215" t="s">
        <v>2543</v>
      </c>
      <c r="J6" s="3216"/>
      <c r="K6" s="609" t="s">
        <v>2544</v>
      </c>
      <c r="L6" s="1132"/>
      <c r="M6" s="1133"/>
      <c r="N6" s="1133"/>
      <c r="O6" s="1133"/>
      <c r="P6" s="3206"/>
      <c r="Q6" s="3207"/>
      <c r="R6" s="3210"/>
      <c r="S6" s="3211"/>
      <c r="T6" s="3212"/>
      <c r="U6" s="3213"/>
      <c r="V6" s="3214"/>
      <c r="W6" s="3214"/>
      <c r="X6" s="1815"/>
      <c r="Y6" s="3212"/>
      <c r="Z6" s="3213"/>
      <c r="AA6" s="3197"/>
      <c r="AB6" s="3197"/>
      <c r="AC6" s="3197"/>
    </row>
    <row r="7" spans="1:29" s="117" customFormat="1" ht="15.75" thickBot="1">
      <c r="A7" s="408" t="s">
        <v>2545</v>
      </c>
      <c r="B7" s="409"/>
      <c r="C7" s="410">
        <f>'数据-取费表'!B2</f>
        <v>43286</v>
      </c>
      <c r="D7" s="411">
        <v>100</v>
      </c>
      <c r="E7" s="412"/>
      <c r="F7" s="413">
        <f>SUMIF(48:48,YEAR(E7)&amp;"-"&amp;MONTH(E7),49:49)</f>
        <v>0</v>
      </c>
      <c r="G7" s="412"/>
      <c r="H7" s="411">
        <f>SUMIF(48:48,YEAR(G7)&amp;"-"&amp;MONTH(G7),49:49)</f>
        <v>0</v>
      </c>
      <c r="I7" s="412"/>
      <c r="J7" s="411">
        <f>SUMIF(48:48,YEAR(I7)&amp;"-"&amp;MONTH(I7),49:49)</f>
        <v>0</v>
      </c>
      <c r="K7" s="610"/>
      <c r="L7" s="1134"/>
      <c r="M7" s="1135"/>
      <c r="N7" s="1135"/>
      <c r="O7" s="1135"/>
      <c r="P7" s="3219" t="s">
        <v>2546</v>
      </c>
      <c r="Q7" s="3221"/>
      <c r="R7" s="769" t="s">
        <v>17</v>
      </c>
      <c r="S7" s="770">
        <f t="shared" ref="S7:S14" si="0">F7</f>
        <v>0</v>
      </c>
      <c r="T7" s="769" t="s">
        <v>17</v>
      </c>
      <c r="U7" s="770">
        <f t="shared" ref="U7:U14" si="1">H7</f>
        <v>0</v>
      </c>
      <c r="V7" s="769" t="s">
        <v>17</v>
      </c>
      <c r="W7" s="770">
        <f t="shared" ref="W7:W14" si="2">J7</f>
        <v>0</v>
      </c>
      <c r="X7" s="771"/>
      <c r="Y7" s="3219" t="s">
        <v>2546</v>
      </c>
      <c r="Z7" s="3220"/>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36" si="3">D8/F8</f>
        <v>#DIV/0!</v>
      </c>
      <c r="AB8" s="772" t="e">
        <f t="shared" ref="AB8:AB36" si="4">D8/H8</f>
        <v>#DIV/0!</v>
      </c>
      <c r="AC8" s="772" t="e">
        <f t="shared" ref="AC8:AC36" si="5">D8/J8</f>
        <v>#DIV/0!</v>
      </c>
    </row>
    <row r="9" spans="1:29" s="117" customFormat="1">
      <c r="A9" s="68" t="s">
        <v>2550</v>
      </c>
      <c r="B9" s="639" t="s">
        <v>2551</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83" t="s">
        <v>2552</v>
      </c>
      <c r="Q9" s="1797" t="str">
        <f t="shared" ref="Q9:Q14" si="6">B9</f>
        <v>用途</v>
      </c>
      <c r="R9" s="769" t="s">
        <v>17</v>
      </c>
      <c r="S9" s="770">
        <f t="shared" si="0"/>
        <v>100</v>
      </c>
      <c r="T9" s="769" t="s">
        <v>17</v>
      </c>
      <c r="U9" s="770">
        <f t="shared" si="1"/>
        <v>100</v>
      </c>
      <c r="V9" s="769" t="s">
        <v>17</v>
      </c>
      <c r="W9" s="770">
        <f t="shared" si="2"/>
        <v>100</v>
      </c>
      <c r="X9" s="771"/>
      <c r="Y9" s="3008" t="s">
        <v>2553</v>
      </c>
      <c r="Z9" s="55" t="str">
        <f t="shared" ref="Z9:Z14" si="7">Q9</f>
        <v>用途</v>
      </c>
      <c r="AA9" s="772">
        <f t="shared" si="3"/>
        <v>1</v>
      </c>
      <c r="AB9" s="772">
        <f t="shared" si="4"/>
        <v>1</v>
      </c>
      <c r="AC9" s="772">
        <f t="shared" si="5"/>
        <v>1</v>
      </c>
    </row>
    <row r="10" spans="1:29" s="426" customFormat="1" ht="27">
      <c r="A10" s="640"/>
      <c r="B10" s="641" t="s">
        <v>2554</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83"/>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83"/>
      <c r="Q11" s="1797">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83"/>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83"/>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28.25">
      <c r="A14" s="401" t="s">
        <v>2556</v>
      </c>
      <c r="B14" s="628" t="s">
        <v>2706</v>
      </c>
      <c r="C14" s="2695" t="str">
        <f>IF(B1="工业",估价对象房地状况!G4,估价对象房地状况!C6)</f>
        <v>估价对象周边有634、78、436路等公交线路及地铁1号线经过、公共交通通达情况较好、停车便捷程度较好，综合评价交通便捷度较好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5" t="s">
        <v>2557</v>
      </c>
      <c r="Q14" s="1812" t="str">
        <f t="shared" si="6"/>
        <v>交通便捷度</v>
      </c>
      <c r="R14" s="773" t="s">
        <v>17</v>
      </c>
      <c r="S14" s="774">
        <f t="shared" si="0"/>
        <v>100</v>
      </c>
      <c r="T14" s="773" t="s">
        <v>17</v>
      </c>
      <c r="U14" s="774">
        <f t="shared" si="1"/>
        <v>100</v>
      </c>
      <c r="V14" s="773" t="s">
        <v>17</v>
      </c>
      <c r="W14" s="774">
        <f t="shared" si="2"/>
        <v>100</v>
      </c>
      <c r="X14" s="1815"/>
      <c r="Y14" s="3185" t="s">
        <v>2557</v>
      </c>
      <c r="Z14" s="1816" t="str">
        <f t="shared" si="7"/>
        <v>交通便捷度</v>
      </c>
      <c r="AA14" s="1813">
        <f t="shared" si="3"/>
        <v>1</v>
      </c>
      <c r="AB14" s="1813">
        <f t="shared" si="4"/>
        <v>1</v>
      </c>
      <c r="AC14" s="1813">
        <f t="shared" si="5"/>
        <v>1</v>
      </c>
    </row>
    <row r="15" spans="1:29" ht="15">
      <c r="A15" s="404"/>
      <c r="B15" s="646"/>
      <c r="C15" s="446"/>
      <c r="D15" s="447"/>
      <c r="E15" s="446"/>
      <c r="F15" s="448"/>
      <c r="G15" s="446"/>
      <c r="H15" s="449"/>
      <c r="I15" s="446"/>
      <c r="J15" s="447"/>
      <c r="K15" s="614"/>
      <c r="L15" s="1142"/>
      <c r="M15" s="1133"/>
      <c r="N15" s="1133"/>
      <c r="O15" s="1133"/>
      <c r="P15" s="3186"/>
      <c r="Q15" s="1812"/>
      <c r="R15" s="773"/>
      <c r="S15" s="774"/>
      <c r="T15" s="773"/>
      <c r="U15" s="774"/>
      <c r="V15" s="773"/>
      <c r="W15" s="774"/>
      <c r="X15" s="1815"/>
      <c r="Y15" s="3186"/>
      <c r="Z15" s="1816"/>
      <c r="AA15" s="1813">
        <v>1</v>
      </c>
      <c r="AB15" s="1813">
        <v>1</v>
      </c>
      <c r="AC15" s="1813">
        <v>1</v>
      </c>
    </row>
    <row r="16" spans="1:29" ht="57">
      <c r="A16" s="404"/>
      <c r="B16" s="630" t="s">
        <v>2685</v>
      </c>
      <c r="C16" s="2609" t="str">
        <f>IF(B1="工业",估价对象房地状况!G5,估价对象房地状况!C7)</f>
        <v>估价对象所在区域有医院、商场、学校等公共配套设施较齐备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04"/>
      <c r="B17" s="631"/>
      <c r="C17" s="2610"/>
      <c r="D17" s="447"/>
      <c r="E17" s="446"/>
      <c r="F17" s="448"/>
      <c r="G17" s="446"/>
      <c r="H17" s="447"/>
      <c r="I17" s="446"/>
      <c r="J17" s="447"/>
      <c r="K17" s="614"/>
      <c r="L17" s="1142"/>
      <c r="M17" s="1133"/>
      <c r="N17" s="1133"/>
      <c r="O17" s="1133"/>
      <c r="P17" s="3186"/>
      <c r="Q17" s="1812"/>
      <c r="R17" s="773"/>
      <c r="S17" s="774"/>
      <c r="T17" s="773"/>
      <c r="U17" s="774"/>
      <c r="V17" s="773"/>
      <c r="W17" s="774"/>
      <c r="X17" s="1815"/>
      <c r="Y17" s="3186"/>
      <c r="Z17" s="1816"/>
      <c r="AA17" s="1813">
        <v>1</v>
      </c>
      <c r="AB17" s="1813">
        <v>1</v>
      </c>
      <c r="AC17" s="1813">
        <v>1</v>
      </c>
    </row>
    <row r="18" spans="1:29" ht="42.75">
      <c r="A18" s="404"/>
      <c r="B18" s="632" t="s">
        <v>2686</v>
      </c>
      <c r="C18" s="2609"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2"/>
      <c r="C19" s="2610"/>
      <c r="D19" s="449"/>
      <c r="E19" s="2610"/>
      <c r="F19" s="452"/>
      <c r="G19" s="2610"/>
      <c r="H19" s="447"/>
      <c r="I19" s="446"/>
      <c r="J19" s="447"/>
      <c r="K19" s="1385"/>
      <c r="L19" s="1142"/>
      <c r="M19" s="1133"/>
      <c r="N19" s="1133"/>
      <c r="O19" s="1133"/>
      <c r="P19" s="3186"/>
      <c r="Q19" s="1812"/>
      <c r="R19" s="773"/>
      <c r="S19" s="774"/>
      <c r="T19" s="773"/>
      <c r="U19" s="774"/>
      <c r="V19" s="773"/>
      <c r="W19" s="774"/>
      <c r="X19" s="1815"/>
      <c r="Y19" s="3186"/>
      <c r="Z19" s="1816"/>
      <c r="AA19" s="1813">
        <v>1</v>
      </c>
      <c r="AB19" s="1813">
        <v>1</v>
      </c>
      <c r="AC19" s="1813">
        <v>1</v>
      </c>
    </row>
    <row r="20" spans="1:29" ht="99.75">
      <c r="A20" s="404"/>
      <c r="B20" s="630" t="s">
        <v>2707</v>
      </c>
      <c r="C20" s="2609" t="str">
        <f>IF(B1="工业",估价对象房地状况!G7,估价对象房地状况!C9)</f>
        <v>区域自然环境：有五棵松公园、定慧公园等；人文环境：国家开放大学(五棵松校区)等；综合评价环境状况较好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04"/>
      <c r="B21" s="631"/>
      <c r="C21" s="446"/>
      <c r="D21" s="447"/>
      <c r="E21" s="446"/>
      <c r="F21" s="448"/>
      <c r="G21" s="446"/>
      <c r="H21" s="447"/>
      <c r="I21" s="446"/>
      <c r="J21" s="447"/>
      <c r="K21" s="614"/>
      <c r="L21" s="1142"/>
      <c r="M21" s="1133"/>
      <c r="N21" s="1133"/>
      <c r="O21" s="1133"/>
      <c r="P21" s="3186"/>
      <c r="Q21" s="1812"/>
      <c r="R21" s="773"/>
      <c r="S21" s="774"/>
      <c r="T21" s="773"/>
      <c r="U21" s="774"/>
      <c r="V21" s="773"/>
      <c r="W21" s="774"/>
      <c r="X21" s="1815"/>
      <c r="Y21" s="3186"/>
      <c r="Z21" s="1816"/>
      <c r="AA21" s="1813">
        <v>1</v>
      </c>
      <c r="AB21" s="1813">
        <v>1</v>
      </c>
      <c r="AC21" s="1813">
        <v>1</v>
      </c>
    </row>
    <row r="22" spans="1:29" ht="15">
      <c r="A22" s="404"/>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6"/>
      <c r="Q24" s="1812">
        <f t="shared" ref="Q24:Q36"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6"/>
      <c r="Q25" s="1797">
        <f t="shared" si="11"/>
        <v>111</v>
      </c>
      <c r="R25" s="769" t="s">
        <v>17</v>
      </c>
      <c r="S25" s="770">
        <f>F25</f>
        <v>100</v>
      </c>
      <c r="T25" s="769" t="s">
        <v>17</v>
      </c>
      <c r="U25" s="770">
        <f>H25</f>
        <v>100</v>
      </c>
      <c r="V25" s="769" t="s">
        <v>17</v>
      </c>
      <c r="W25" s="770">
        <f>J25</f>
        <v>100</v>
      </c>
      <c r="X25" s="771"/>
      <c r="Y25" s="3186"/>
      <c r="Z25" s="55">
        <f>Q25</f>
        <v>111</v>
      </c>
      <c r="AA25" s="1813">
        <f>D25/F25</f>
        <v>1</v>
      </c>
      <c r="AB25" s="1813">
        <f>D25/H25</f>
        <v>1</v>
      </c>
      <c r="AC25" s="1813">
        <f>D25/J25</f>
        <v>1</v>
      </c>
    </row>
    <row r="26" spans="1:29" ht="28.5">
      <c r="A26" s="651" t="s">
        <v>2560</v>
      </c>
      <c r="B26" s="70" t="s">
        <v>2709</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1"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0" t="s">
        <v>2562</v>
      </c>
      <c r="Z26" s="1816" t="str">
        <f t="shared" ref="Z26:Z36" si="15">Q26</f>
        <v>配套类型</v>
      </c>
      <c r="AA26" s="1813">
        <f t="shared" si="3"/>
        <v>1</v>
      </c>
      <c r="AB26" s="1813">
        <f t="shared" si="4"/>
        <v>1</v>
      </c>
      <c r="AC26" s="1813">
        <f t="shared" si="5"/>
        <v>1</v>
      </c>
    </row>
    <row r="27" spans="1:29" s="470" customFormat="1" ht="15">
      <c r="A27" s="652"/>
      <c r="B27" s="653" t="s">
        <v>2710</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3">
        <f t="shared" si="3"/>
        <v>1</v>
      </c>
      <c r="AB27" s="1813">
        <f t="shared" si="4"/>
        <v>1</v>
      </c>
      <c r="AC27" s="1813">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0"/>
      <c r="Q28" s="1812" t="str">
        <f t="shared" si="11"/>
        <v>公共部分装修</v>
      </c>
      <c r="R28" s="773" t="s">
        <v>17</v>
      </c>
      <c r="S28" s="774">
        <f t="shared" si="12"/>
        <v>100</v>
      </c>
      <c r="T28" s="773" t="s">
        <v>17</v>
      </c>
      <c r="U28" s="774">
        <f t="shared" si="13"/>
        <v>100</v>
      </c>
      <c r="V28" s="773" t="s">
        <v>17</v>
      </c>
      <c r="W28" s="774">
        <f t="shared" si="14"/>
        <v>100</v>
      </c>
      <c r="X28" s="1815"/>
      <c r="Y28" s="3190"/>
      <c r="Z28" s="1816" t="str">
        <f t="shared" si="15"/>
        <v>公共部分装修</v>
      </c>
      <c r="AA28" s="1813">
        <f t="shared" si="3"/>
        <v>1</v>
      </c>
      <c r="AB28" s="1813">
        <f t="shared" si="4"/>
        <v>1</v>
      </c>
      <c r="AC28" s="1813">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0"/>
      <c r="Q29" s="1812" t="str">
        <f t="shared" si="11"/>
        <v>成新率</v>
      </c>
      <c r="R29" s="773" t="s">
        <v>17</v>
      </c>
      <c r="S29" s="774" t="e">
        <f t="shared" si="12"/>
        <v>#N/A</v>
      </c>
      <c r="T29" s="773" t="s">
        <v>17</v>
      </c>
      <c r="U29" s="774" t="e">
        <f t="shared" si="13"/>
        <v>#N/A</v>
      </c>
      <c r="V29" s="773" t="s">
        <v>17</v>
      </c>
      <c r="W29" s="774" t="e">
        <f t="shared" si="14"/>
        <v>#N/A</v>
      </c>
      <c r="X29" s="1815"/>
      <c r="Y29" s="3190"/>
      <c r="Z29" s="1816" t="str">
        <f t="shared" si="15"/>
        <v>成新率</v>
      </c>
      <c r="AA29" s="1813" t="e">
        <f t="shared" si="3"/>
        <v>#N/A</v>
      </c>
      <c r="AB29" s="1813" t="e">
        <f t="shared" si="4"/>
        <v>#N/A</v>
      </c>
      <c r="AC29" s="1813"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0"/>
      <c r="Q30" s="1812" t="str">
        <f t="shared" si="11"/>
        <v>物业等级</v>
      </c>
      <c r="R30" s="773" t="s">
        <v>17</v>
      </c>
      <c r="S30" s="774">
        <f t="shared" si="12"/>
        <v>100</v>
      </c>
      <c r="T30" s="773" t="s">
        <v>17</v>
      </c>
      <c r="U30" s="774">
        <f t="shared" si="13"/>
        <v>100</v>
      </c>
      <c r="V30" s="773" t="s">
        <v>17</v>
      </c>
      <c r="W30" s="774">
        <f t="shared" si="14"/>
        <v>100</v>
      </c>
      <c r="X30" s="1815"/>
      <c r="Y30" s="3190"/>
      <c r="Z30" s="1816" t="str">
        <f t="shared" si="15"/>
        <v>物业等级</v>
      </c>
      <c r="AA30" s="1813">
        <f t="shared" si="3"/>
        <v>1</v>
      </c>
      <c r="AB30" s="1813">
        <f t="shared" si="4"/>
        <v>1</v>
      </c>
      <c r="AC30" s="1813">
        <f t="shared" si="5"/>
        <v>1</v>
      </c>
    </row>
    <row r="31" spans="1:29" s="117" customFormat="1" ht="15">
      <c r="A31" s="657"/>
      <c r="B31" s="653" t="s">
        <v>2714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0"/>
      <c r="Q31" s="1797" t="str">
        <f t="shared" si="11"/>
        <v>停车位面积</v>
      </c>
      <c r="R31" s="769" t="s">
        <v>17</v>
      </c>
      <c r="S31" s="770" t="e">
        <f t="shared" si="12"/>
        <v>#N/A</v>
      </c>
      <c r="T31" s="769" t="s">
        <v>17</v>
      </c>
      <c r="U31" s="770" t="e">
        <f t="shared" si="13"/>
        <v>#N/A</v>
      </c>
      <c r="V31" s="769" t="s">
        <v>17</v>
      </c>
      <c r="W31" s="770" t="e">
        <f t="shared" si="14"/>
        <v>#N/A</v>
      </c>
      <c r="X31" s="771"/>
      <c r="Y31" s="3190"/>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0" t="s">
        <v>2562</v>
      </c>
      <c r="Q32" s="1812" t="str">
        <f t="shared" si="11"/>
        <v>车位类型</v>
      </c>
      <c r="R32" s="773" t="s">
        <v>17</v>
      </c>
      <c r="S32" s="774">
        <f t="shared" si="12"/>
        <v>100</v>
      </c>
      <c r="T32" s="773" t="s">
        <v>17</v>
      </c>
      <c r="U32" s="774">
        <f t="shared" si="13"/>
        <v>100</v>
      </c>
      <c r="V32" s="773" t="s">
        <v>17</v>
      </c>
      <c r="W32" s="774">
        <f t="shared" si="14"/>
        <v>100</v>
      </c>
      <c r="X32" s="1815"/>
      <c r="Y32" s="3190" t="s">
        <v>2562</v>
      </c>
      <c r="Z32" s="1816" t="str">
        <f t="shared" si="15"/>
        <v>车位类型</v>
      </c>
      <c r="AA32" s="1813">
        <f t="shared" si="3"/>
        <v>1</v>
      </c>
      <c r="AB32" s="1813">
        <f t="shared" si="4"/>
        <v>1</v>
      </c>
      <c r="AC32" s="1813">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0"/>
      <c r="Q33" s="1812" t="str">
        <f t="shared" si="11"/>
        <v>是否直接入户</v>
      </c>
      <c r="R33" s="773" t="s">
        <v>17</v>
      </c>
      <c r="S33" s="774">
        <f t="shared" si="12"/>
        <v>100</v>
      </c>
      <c r="T33" s="773" t="s">
        <v>17</v>
      </c>
      <c r="U33" s="774">
        <f t="shared" si="13"/>
        <v>100</v>
      </c>
      <c r="V33" s="773" t="s">
        <v>17</v>
      </c>
      <c r="W33" s="774">
        <f t="shared" si="14"/>
        <v>100</v>
      </c>
      <c r="X33" s="1815"/>
      <c r="Y33" s="319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0"/>
      <c r="Q36" s="1812">
        <f t="shared" si="11"/>
        <v>111</v>
      </c>
      <c r="R36" s="773" t="s">
        <v>17</v>
      </c>
      <c r="S36" s="774">
        <f t="shared" si="12"/>
        <v>100</v>
      </c>
      <c r="T36" s="773" t="s">
        <v>17</v>
      </c>
      <c r="U36" s="774">
        <f t="shared" si="13"/>
        <v>100</v>
      </c>
      <c r="V36" s="773" t="s">
        <v>17</v>
      </c>
      <c r="W36" s="774">
        <f t="shared" si="14"/>
        <v>100</v>
      </c>
      <c r="X36" s="1815"/>
      <c r="Y36" s="3190"/>
      <c r="Z36" s="1816">
        <f t="shared" si="15"/>
        <v>111</v>
      </c>
      <c r="AA36" s="1813">
        <f t="shared" si="3"/>
        <v>1</v>
      </c>
      <c r="AB36" s="1813">
        <f t="shared" si="4"/>
        <v>1</v>
      </c>
      <c r="AC36" s="1813">
        <f t="shared" si="5"/>
        <v>1</v>
      </c>
    </row>
    <row r="37" spans="1:29" ht="15">
      <c r="A37" s="478" t="s">
        <v>2717</v>
      </c>
      <c r="B37" s="2697" t="s">
        <v>2718</v>
      </c>
      <c r="C37" s="1409" t="s">
        <v>1</v>
      </c>
      <c r="D37" s="1410"/>
      <c r="E37" s="1411"/>
      <c r="F37" s="1412"/>
      <c r="G37" s="1413"/>
      <c r="H37" s="1414"/>
      <c r="I37" s="1411"/>
      <c r="J37" s="1414"/>
      <c r="K37" s="618"/>
      <c r="L37" s="1145"/>
      <c r="M37" s="1146"/>
      <c r="N37" s="1133"/>
      <c r="O37" s="1146"/>
      <c r="P37" s="3183" t="str">
        <f>A37</f>
        <v>成交单价</v>
      </c>
      <c r="Q37" s="3183"/>
      <c r="R37" s="3184">
        <f>E37</f>
        <v>0</v>
      </c>
      <c r="S37" s="3184"/>
      <c r="T37" s="3184">
        <f>G37</f>
        <v>0</v>
      </c>
      <c r="U37" s="3184"/>
      <c r="V37" s="3184">
        <f>I37</f>
        <v>0</v>
      </c>
      <c r="W37" s="3184"/>
      <c r="X37" s="758"/>
      <c r="Y37" s="780"/>
      <c r="Z37" s="758"/>
      <c r="AA37" s="758"/>
      <c r="AB37" s="758"/>
      <c r="AC37" s="758"/>
    </row>
    <row r="38" spans="1:29" ht="15.75" thickBot="1">
      <c r="A38" s="485" t="s">
        <v>2719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8"/>
      <c r="Y38" s="758"/>
      <c r="Z38" s="758"/>
      <c r="AA38" s="758"/>
      <c r="AB38" s="758"/>
      <c r="AC38" s="758"/>
    </row>
    <row r="39" spans="1:29" ht="15.75" thickBot="1">
      <c r="A39" s="491" t="s">
        <v>2720</v>
      </c>
      <c r="B39" s="492"/>
      <c r="C39" s="1419" t="e">
        <f>R39</f>
        <v>#DIV/0!</v>
      </c>
      <c r="D39" s="1419"/>
      <c r="E39" s="1419"/>
      <c r="F39" s="1419"/>
      <c r="G39" s="1419"/>
      <c r="H39" s="1419"/>
      <c r="I39" s="1419"/>
      <c r="J39" s="1419"/>
      <c r="K39" s="620"/>
      <c r="L39" s="1145"/>
      <c r="M39" s="1146"/>
      <c r="N39" s="1146"/>
      <c r="O39" s="1146"/>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2725</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2547</v>
      </c>
      <c r="B51" s="509"/>
      <c r="C51" s="521" t="s">
        <v>2649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2585</v>
      </c>
      <c r="B53" s="527" t="s">
        <v>2551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2600</v>
      </c>
      <c r="C65" s="577" t="s">
        <v>2594</v>
      </c>
      <c r="D65" s="577" t="s">
        <v>2595</v>
      </c>
      <c r="E65" s="577" t="s">
        <v>2596</v>
      </c>
      <c r="F65" s="577" t="s">
        <v>2597</v>
      </c>
      <c r="G65" s="577" t="s">
        <v>2598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2686</v>
      </c>
      <c r="C67" s="659" t="s">
        <v>2672</v>
      </c>
      <c r="D67" s="659" t="s">
        <v>2673</v>
      </c>
      <c r="E67" s="659" t="s">
        <v>2674</v>
      </c>
      <c r="F67" s="659" t="s">
        <v>2675</v>
      </c>
      <c r="G67" s="659" t="s">
        <v>2676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2606</v>
      </c>
      <c r="C69" s="577" t="s">
        <v>2594</v>
      </c>
      <c r="D69" s="577" t="s">
        <v>2595</v>
      </c>
      <c r="E69" s="577" t="s">
        <v>2596</v>
      </c>
      <c r="F69" s="577" t="s">
        <v>2597</v>
      </c>
      <c r="G69" s="577" t="s">
        <v>2598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2560</v>
      </c>
      <c r="B79" s="527" t="s">
        <v>2727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T35" sqref="T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IF(C2="——",ROUND(C37*D3/10000,0),ROUND(C37*D3/10000,0)-D2)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196"/>
      <c r="AC5" s="3196"/>
    </row>
    <row r="6" spans="1:29" ht="15.75" thickBot="1">
      <c r="A6" s="406"/>
      <c r="B6" s="407"/>
      <c r="C6" s="3215" t="s">
        <v>2543</v>
      </c>
      <c r="D6" s="3216"/>
      <c r="E6" s="3222" t="s">
        <v>2543</v>
      </c>
      <c r="F6" s="3223"/>
      <c r="G6" s="3215" t="s">
        <v>2543</v>
      </c>
      <c r="H6" s="3216"/>
      <c r="I6" s="3215" t="s">
        <v>2543</v>
      </c>
      <c r="J6" s="3216"/>
      <c r="K6" s="609" t="s">
        <v>2544</v>
      </c>
      <c r="L6" s="1132"/>
      <c r="M6" s="1133"/>
      <c r="N6" s="1133"/>
      <c r="O6" s="1133"/>
      <c r="P6" s="3206"/>
      <c r="Q6" s="3207"/>
      <c r="R6" s="3210"/>
      <c r="S6" s="3211"/>
      <c r="T6" s="3212"/>
      <c r="U6" s="3213"/>
      <c r="V6" s="3214"/>
      <c r="W6" s="3214"/>
      <c r="X6" s="1815"/>
      <c r="Y6" s="3212"/>
      <c r="Z6" s="3213"/>
      <c r="AA6" s="3197"/>
      <c r="AB6" s="3197"/>
      <c r="AC6" s="3197"/>
    </row>
    <row r="7" spans="1:29" s="117" customFormat="1" ht="15.75" thickBot="1">
      <c r="A7" s="408" t="s">
        <v>2545</v>
      </c>
      <c r="B7" s="409"/>
      <c r="C7" s="410">
        <f>'数据-取费表'!B2</f>
        <v>43286</v>
      </c>
      <c r="D7" s="411">
        <v>100</v>
      </c>
      <c r="E7" s="412"/>
      <c r="F7" s="413">
        <f>SUMIF(46:46,YEAR(E7)&amp;"-"&amp;MONTH(E7),47:47)</f>
        <v>0</v>
      </c>
      <c r="G7" s="2698"/>
      <c r="H7" s="411">
        <f>SUMIF(46:46,YEAR(G7)&amp;"-"&amp;MONTH(G7),47:47)</f>
        <v>0</v>
      </c>
      <c r="I7" s="412"/>
      <c r="J7" s="411">
        <f>SUMIF(46:46,YEAR(I7)&amp;"-"&amp;MONTH(I7),47:47)</f>
        <v>0</v>
      </c>
      <c r="K7" s="610"/>
      <c r="L7" s="1134"/>
      <c r="M7" s="1135"/>
      <c r="N7" s="1135"/>
      <c r="O7" s="1135"/>
      <c r="P7" s="3219" t="s">
        <v>2546</v>
      </c>
      <c r="Q7" s="3221"/>
      <c r="R7" s="769" t="s">
        <v>17</v>
      </c>
      <c r="S7" s="770">
        <f t="shared" ref="S7:S14" si="0">F7</f>
        <v>0</v>
      </c>
      <c r="T7" s="769" t="s">
        <v>17</v>
      </c>
      <c r="U7" s="770">
        <f t="shared" ref="U7:U14" si="1">H7</f>
        <v>0</v>
      </c>
      <c r="V7" s="769" t="s">
        <v>17</v>
      </c>
      <c r="W7" s="770">
        <f t="shared" ref="W7:W14" si="2">J7</f>
        <v>0</v>
      </c>
      <c r="X7" s="771"/>
      <c r="Y7" s="3219" t="s">
        <v>2546</v>
      </c>
      <c r="Z7" s="3220"/>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83" t="s">
        <v>2552</v>
      </c>
      <c r="Q9" s="1797" t="str">
        <f t="shared" ref="Q9:Q14" si="6">B9</f>
        <v>用途</v>
      </c>
      <c r="R9" s="769" t="s">
        <v>17</v>
      </c>
      <c r="S9" s="770">
        <f t="shared" si="0"/>
        <v>100</v>
      </c>
      <c r="T9" s="769" t="s">
        <v>17</v>
      </c>
      <c r="U9" s="770">
        <f t="shared" si="1"/>
        <v>100</v>
      </c>
      <c r="V9" s="769" t="s">
        <v>17</v>
      </c>
      <c r="W9" s="770">
        <f t="shared" si="2"/>
        <v>100</v>
      </c>
      <c r="X9" s="771"/>
      <c r="Y9" s="3008" t="s">
        <v>2553</v>
      </c>
      <c r="Z9" s="55" t="str">
        <f t="shared" ref="Z9:Z14" si="7">Q9</f>
        <v>用途</v>
      </c>
      <c r="AA9" s="772">
        <f t="shared" si="3"/>
        <v>1</v>
      </c>
      <c r="AB9" s="772">
        <f t="shared" si="4"/>
        <v>1</v>
      </c>
      <c r="AC9" s="772">
        <f t="shared" si="5"/>
        <v>1</v>
      </c>
    </row>
    <row r="10" spans="1:29" s="426" customFormat="1" ht="27">
      <c r="A10" s="420"/>
      <c r="B10" s="421" t="s">
        <v>2554</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83"/>
      <c r="Q10" s="1797"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83"/>
      <c r="Q11" s="1797">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28.25">
      <c r="A14" s="439" t="s">
        <v>2556</v>
      </c>
      <c r="B14" s="69" t="s">
        <v>2706</v>
      </c>
      <c r="C14" s="2695" t="str">
        <f>IF(B1="工业",估价对象房地状况!G4,估价对象房地状况!C6)</f>
        <v>估价对象周边有634、78、436路等公交线路及地铁1号线经过、公共交通通达情况较好、停车便捷程度较好，综合评价交通便捷度较好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5" t="s">
        <v>2557</v>
      </c>
      <c r="Q14" s="1812" t="str">
        <f t="shared" si="6"/>
        <v>交通便捷度</v>
      </c>
      <c r="R14" s="773" t="s">
        <v>17</v>
      </c>
      <c r="S14" s="774">
        <f t="shared" si="0"/>
        <v>100</v>
      </c>
      <c r="T14" s="773" t="s">
        <v>17</v>
      </c>
      <c r="U14" s="774">
        <f t="shared" si="1"/>
        <v>100</v>
      </c>
      <c r="V14" s="773" t="s">
        <v>17</v>
      </c>
      <c r="W14" s="774">
        <f t="shared" si="2"/>
        <v>100</v>
      </c>
      <c r="X14" s="1815"/>
      <c r="Y14" s="3185" t="s">
        <v>2557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6"/>
      <c r="Q15" s="1812"/>
      <c r="R15" s="773"/>
      <c r="S15" s="774"/>
      <c r="T15" s="773"/>
      <c r="U15" s="774"/>
      <c r="V15" s="773"/>
      <c r="W15" s="774"/>
      <c r="X15" s="1815"/>
      <c r="Y15" s="3186"/>
      <c r="Z15" s="1816"/>
      <c r="AA15" s="1813">
        <v>1</v>
      </c>
      <c r="AB15" s="1813">
        <v>1</v>
      </c>
      <c r="AC15" s="1813">
        <v>1</v>
      </c>
    </row>
    <row r="16" spans="1:29" ht="57">
      <c r="A16" s="427"/>
      <c r="B16" s="450" t="s">
        <v>2685</v>
      </c>
      <c r="C16" s="2609" t="str">
        <f>IF(B1="工业",估价对象房地状况!G5,估价对象房地状况!C7)</f>
        <v>估价对象所在区域有医院、商场、学校等公共配套设施较齐备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6"/>
      <c r="Q16" s="1812" t="str">
        <f>B16</f>
        <v>公共配套设施</v>
      </c>
      <c r="R16" s="773" t="s">
        <v>17</v>
      </c>
      <c r="S16" s="774">
        <f>F16</f>
        <v>100</v>
      </c>
      <c r="T16" s="773" t="s">
        <v>17</v>
      </c>
      <c r="U16" s="774">
        <f>H16</f>
        <v>100</v>
      </c>
      <c r="V16" s="773" t="s">
        <v>17</v>
      </c>
      <c r="W16" s="774">
        <f>J16</f>
        <v>100</v>
      </c>
      <c r="X16" s="1815"/>
      <c r="Y16" s="3186"/>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186"/>
      <c r="Q17" s="1812"/>
      <c r="R17" s="773"/>
      <c r="S17" s="774"/>
      <c r="T17" s="773"/>
      <c r="U17" s="774"/>
      <c r="V17" s="773"/>
      <c r="W17" s="774"/>
      <c r="X17" s="1815"/>
      <c r="Y17" s="3186"/>
      <c r="Z17" s="1816"/>
      <c r="AA17" s="1813">
        <v>1</v>
      </c>
      <c r="AB17" s="1813">
        <v>1</v>
      </c>
      <c r="AC17" s="1813">
        <v>1</v>
      </c>
    </row>
    <row r="18" spans="1:29" ht="42.75">
      <c r="A18" s="427"/>
      <c r="B18" s="1386" t="s">
        <v>2686</v>
      </c>
      <c r="C18" s="2609"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6"/>
      <c r="Q18" s="1812" t="str">
        <f>B18</f>
        <v>基础设施水平</v>
      </c>
      <c r="R18" s="773" t="s">
        <v>17</v>
      </c>
      <c r="S18" s="774">
        <f>F18</f>
        <v>100</v>
      </c>
      <c r="T18" s="773" t="s">
        <v>17</v>
      </c>
      <c r="U18" s="774">
        <f>H18</f>
        <v>100</v>
      </c>
      <c r="V18" s="773" t="s">
        <v>17</v>
      </c>
      <c r="W18" s="774">
        <f>J18</f>
        <v>100</v>
      </c>
      <c r="X18" s="1815"/>
      <c r="Y18" s="3186"/>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186"/>
      <c r="Q19" s="1812"/>
      <c r="R19" s="773"/>
      <c r="S19" s="774"/>
      <c r="T19" s="773"/>
      <c r="U19" s="774"/>
      <c r="V19" s="773"/>
      <c r="W19" s="774"/>
      <c r="X19" s="1815"/>
      <c r="Y19" s="3186"/>
      <c r="Z19" s="1816"/>
      <c r="AA19" s="1813">
        <v>1</v>
      </c>
      <c r="AB19" s="1813">
        <v>1</v>
      </c>
      <c r="AC19" s="1813">
        <v>1</v>
      </c>
    </row>
    <row r="20" spans="1:29" ht="99.75">
      <c r="A20" s="427"/>
      <c r="B20" s="450" t="s">
        <v>2707</v>
      </c>
      <c r="C20" s="2609" t="str">
        <f>IF(B1="工业",估价对象房地状况!G7,估价对象房地状况!C9)</f>
        <v>区域自然环境：有五棵松公园、定慧公园等；人文环境：国家开放大学(五棵松校区)等；综合评价环境状况较好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6"/>
      <c r="Q20" s="1812" t="str">
        <f>B20</f>
        <v>自然及人文环境</v>
      </c>
      <c r="R20" s="773" t="s">
        <v>17</v>
      </c>
      <c r="S20" s="774">
        <f>F20</f>
        <v>100</v>
      </c>
      <c r="T20" s="773" t="s">
        <v>17</v>
      </c>
      <c r="U20" s="774">
        <f>H20</f>
        <v>100</v>
      </c>
      <c r="V20" s="773" t="s">
        <v>17</v>
      </c>
      <c r="W20" s="774">
        <f>J20</f>
        <v>100</v>
      </c>
      <c r="X20" s="1815"/>
      <c r="Y20" s="318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6"/>
      <c r="Q21" s="1812"/>
      <c r="R21" s="773"/>
      <c r="S21" s="774"/>
      <c r="T21" s="773"/>
      <c r="U21" s="774"/>
      <c r="V21" s="773"/>
      <c r="W21" s="774"/>
      <c r="X21" s="1815"/>
      <c r="Y21" s="3186"/>
      <c r="Z21" s="1816"/>
      <c r="AA21" s="1813">
        <v>1</v>
      </c>
      <c r="AB21" s="1813">
        <v>1</v>
      </c>
      <c r="AC21" s="1813">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6"/>
      <c r="Q22" s="1812" t="str">
        <f>B22</f>
        <v>楼层</v>
      </c>
      <c r="R22" s="773" t="s">
        <v>17</v>
      </c>
      <c r="S22" s="774">
        <f>F22</f>
        <v>100</v>
      </c>
      <c r="T22" s="773" t="s">
        <v>17</v>
      </c>
      <c r="U22" s="774">
        <f>H22</f>
        <v>100</v>
      </c>
      <c r="V22" s="773" t="s">
        <v>17</v>
      </c>
      <c r="W22" s="774">
        <f>J22</f>
        <v>100</v>
      </c>
      <c r="X22" s="1815"/>
      <c r="Y22" s="3186"/>
      <c r="Z22" s="1816" t="str">
        <f>Q22</f>
        <v>楼层</v>
      </c>
      <c r="AA22" s="1813">
        <f t="shared" si="3"/>
        <v>1</v>
      </c>
      <c r="AB22" s="1813">
        <f t="shared" si="4"/>
        <v>1</v>
      </c>
      <c r="AC22" s="1813">
        <f t="shared" si="5"/>
        <v>1</v>
      </c>
    </row>
    <row r="23" spans="1:29" ht="15">
      <c r="A23" s="404"/>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6"/>
      <c r="Q23" s="1812">
        <f>B23</f>
        <v>111</v>
      </c>
      <c r="R23" s="773" t="s">
        <v>17</v>
      </c>
      <c r="S23" s="774">
        <f>F23</f>
        <v>100</v>
      </c>
      <c r="T23" s="773" t="s">
        <v>17</v>
      </c>
      <c r="U23" s="774">
        <f>H23</f>
        <v>100</v>
      </c>
      <c r="V23" s="773" t="s">
        <v>17</v>
      </c>
      <c r="W23" s="774">
        <f>J23</f>
        <v>100</v>
      </c>
      <c r="X23" s="1815"/>
      <c r="Y23" s="3186"/>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6"/>
      <c r="Q24" s="1812">
        <f t="shared" ref="Q24:Q34" si="11">B24</f>
        <v>111</v>
      </c>
      <c r="R24" s="773" t="s">
        <v>17</v>
      </c>
      <c r="S24" s="774">
        <f>F24</f>
        <v>100</v>
      </c>
      <c r="T24" s="773" t="s">
        <v>17</v>
      </c>
      <c r="U24" s="774">
        <f>H24</f>
        <v>100</v>
      </c>
      <c r="V24" s="773" t="s">
        <v>17</v>
      </c>
      <c r="W24" s="774">
        <f>J24</f>
        <v>100</v>
      </c>
      <c r="X24" s="1815"/>
      <c r="Y24" s="3186"/>
      <c r="Z24" s="1816">
        <f>Q24</f>
        <v>111</v>
      </c>
      <c r="AA24" s="1813">
        <f t="shared" si="3"/>
        <v>1</v>
      </c>
      <c r="AB24" s="1813">
        <f t="shared" si="4"/>
        <v>1</v>
      </c>
      <c r="AC24" s="1813">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186"/>
      <c r="Q25" s="1797">
        <f t="shared" si="11"/>
        <v>111</v>
      </c>
      <c r="R25" s="769" t="s">
        <v>17</v>
      </c>
      <c r="S25" s="770">
        <f>F25</f>
        <v>100</v>
      </c>
      <c r="T25" s="769" t="s">
        <v>17</v>
      </c>
      <c r="U25" s="770">
        <f>H25</f>
        <v>100</v>
      </c>
      <c r="V25" s="769" t="s">
        <v>17</v>
      </c>
      <c r="W25" s="770">
        <f>J25</f>
        <v>100</v>
      </c>
      <c r="X25" s="771"/>
      <c r="Y25" s="3186"/>
      <c r="Z25" s="55">
        <f>Q25</f>
        <v>111</v>
      </c>
      <c r="AA25" s="1813">
        <f>D25/F25</f>
        <v>1</v>
      </c>
      <c r="AB25" s="1813">
        <f>D25/H25</f>
        <v>1</v>
      </c>
      <c r="AC25" s="1813">
        <f>D25/J25</f>
        <v>1</v>
      </c>
    </row>
    <row r="26" spans="1:29" ht="28.5">
      <c r="A26" s="465" t="s">
        <v>2560</v>
      </c>
      <c r="B26" s="71" t="s">
        <v>2711</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41"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0" t="s">
        <v>2562</v>
      </c>
      <c r="Z26" s="1816" t="str">
        <f t="shared" ref="Z26:Z34" si="15">Q26</f>
        <v>公共部分装修</v>
      </c>
      <c r="AA26" s="1813">
        <f t="shared" si="3"/>
        <v>1</v>
      </c>
      <c r="AB26" s="1813">
        <f t="shared" si="4"/>
        <v>1</v>
      </c>
      <c r="AC26" s="1813">
        <f t="shared" si="5"/>
        <v>1</v>
      </c>
    </row>
    <row r="27" spans="1:29" s="470" customFormat="1" ht="15">
      <c r="A27" s="467"/>
      <c r="B27" s="421" t="s">
        <v>2712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3" t="e">
        <f t="shared" si="3"/>
        <v>#N/A</v>
      </c>
      <c r="AB27" s="1813" t="e">
        <f t="shared" si="4"/>
        <v>#N/A</v>
      </c>
      <c r="AC27" s="1813"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0"/>
      <c r="Q28" s="1812" t="str">
        <f t="shared" si="11"/>
        <v>物业等级</v>
      </c>
      <c r="R28" s="773" t="s">
        <v>17</v>
      </c>
      <c r="S28" s="774">
        <f t="shared" si="12"/>
        <v>100</v>
      </c>
      <c r="T28" s="773" t="s">
        <v>17</v>
      </c>
      <c r="U28" s="774">
        <f t="shared" si="13"/>
        <v>100</v>
      </c>
      <c r="V28" s="773" t="s">
        <v>17</v>
      </c>
      <c r="W28" s="774">
        <f t="shared" si="14"/>
        <v>100</v>
      </c>
      <c r="X28" s="1815"/>
      <c r="Y28" s="3190"/>
      <c r="Z28" s="1816" t="str">
        <f t="shared" si="15"/>
        <v>物业等级</v>
      </c>
      <c r="AA28" s="1813">
        <f t="shared" si="3"/>
        <v>1</v>
      </c>
      <c r="AB28" s="1813">
        <f t="shared" si="4"/>
        <v>1</v>
      </c>
      <c r="AC28" s="1813">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0"/>
      <c r="Q29" s="1812" t="str">
        <f t="shared" si="11"/>
        <v>有无电梯</v>
      </c>
      <c r="R29" s="773" t="s">
        <v>17</v>
      </c>
      <c r="S29" s="774">
        <f t="shared" si="12"/>
        <v>100</v>
      </c>
      <c r="T29" s="773" t="s">
        <v>17</v>
      </c>
      <c r="U29" s="774">
        <f t="shared" si="13"/>
        <v>100</v>
      </c>
      <c r="V29" s="773" t="s">
        <v>17</v>
      </c>
      <c r="W29" s="774">
        <f t="shared" si="14"/>
        <v>100</v>
      </c>
      <c r="X29" s="1815"/>
      <c r="Y29" s="3190"/>
      <c r="Z29" s="1816" t="str">
        <f t="shared" si="15"/>
        <v>有无电梯</v>
      </c>
      <c r="AA29" s="1813">
        <f t="shared" si="3"/>
        <v>1</v>
      </c>
      <c r="AB29" s="1813">
        <f t="shared" si="4"/>
        <v>1</v>
      </c>
      <c r="AC29" s="1813">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0"/>
      <c r="Q30" s="1812" t="str">
        <f t="shared" si="11"/>
        <v>建筑面积</v>
      </c>
      <c r="R30" s="773" t="s">
        <v>17</v>
      </c>
      <c r="S30" s="774" t="e">
        <f t="shared" si="12"/>
        <v>#N/A</v>
      </c>
      <c r="T30" s="773" t="s">
        <v>17</v>
      </c>
      <c r="U30" s="774" t="e">
        <f t="shared" si="13"/>
        <v>#N/A</v>
      </c>
      <c r="V30" s="773" t="s">
        <v>17</v>
      </c>
      <c r="W30" s="774" t="e">
        <f t="shared" si="14"/>
        <v>#N/A</v>
      </c>
      <c r="X30" s="1815"/>
      <c r="Y30" s="3190"/>
      <c r="Z30" s="1816" t="str">
        <f t="shared" si="15"/>
        <v>建筑面积</v>
      </c>
      <c r="AA30" s="1813" t="e">
        <f t="shared" si="3"/>
        <v>#N/A</v>
      </c>
      <c r="AB30" s="1813" t="e">
        <f t="shared" si="4"/>
        <v>#N/A</v>
      </c>
      <c r="AC30" s="1813" t="e">
        <f t="shared" si="5"/>
        <v>#N/A</v>
      </c>
    </row>
    <row r="31" spans="1:29" s="117" customFormat="1" ht="15">
      <c r="A31" s="472"/>
      <c r="B31" s="421" t="s">
        <v>2736</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0"/>
      <c r="Q31" s="1797"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0" t="s">
        <v>2562</v>
      </c>
      <c r="Q32" s="1812">
        <f t="shared" si="11"/>
        <v>111</v>
      </c>
      <c r="R32" s="773" t="s">
        <v>17</v>
      </c>
      <c r="S32" s="774">
        <f t="shared" si="12"/>
        <v>100</v>
      </c>
      <c r="T32" s="773" t="s">
        <v>17</v>
      </c>
      <c r="U32" s="774">
        <f t="shared" si="13"/>
        <v>100</v>
      </c>
      <c r="V32" s="773" t="s">
        <v>17</v>
      </c>
      <c r="W32" s="774">
        <f t="shared" si="14"/>
        <v>100</v>
      </c>
      <c r="X32" s="1815"/>
      <c r="Y32" s="3190" t="s">
        <v>2562</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0"/>
      <c r="Q33" s="1812">
        <f t="shared" si="11"/>
        <v>111</v>
      </c>
      <c r="R33" s="773" t="s">
        <v>17</v>
      </c>
      <c r="S33" s="774">
        <f t="shared" si="12"/>
        <v>100</v>
      </c>
      <c r="T33" s="773" t="s">
        <v>17</v>
      </c>
      <c r="U33" s="774">
        <f t="shared" si="13"/>
        <v>100</v>
      </c>
      <c r="V33" s="773" t="s">
        <v>17</v>
      </c>
      <c r="W33" s="774">
        <f t="shared" si="14"/>
        <v>100</v>
      </c>
      <c r="X33" s="1815"/>
      <c r="Y33" s="3190"/>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190"/>
      <c r="Q34" s="1812">
        <f t="shared" si="11"/>
        <v>111</v>
      </c>
      <c r="R34" s="773" t="s">
        <v>17</v>
      </c>
      <c r="S34" s="774">
        <f t="shared" si="12"/>
        <v>100</v>
      </c>
      <c r="T34" s="773" t="s">
        <v>17</v>
      </c>
      <c r="U34" s="774">
        <f t="shared" si="13"/>
        <v>100</v>
      </c>
      <c r="V34" s="773" t="s">
        <v>17</v>
      </c>
      <c r="W34" s="774">
        <f t="shared" si="14"/>
        <v>100</v>
      </c>
      <c r="X34" s="1815"/>
      <c r="Y34" s="3190"/>
      <c r="Z34" s="1816">
        <f t="shared" si="15"/>
        <v>111</v>
      </c>
      <c r="AA34" s="1813">
        <f t="shared" si="3"/>
        <v>1</v>
      </c>
      <c r="AB34" s="1813">
        <f t="shared" si="4"/>
        <v>1</v>
      </c>
      <c r="AC34" s="1813">
        <f t="shared" si="5"/>
        <v>1</v>
      </c>
    </row>
    <row r="35" spans="1:29" ht="15">
      <c r="A35" s="478" t="s">
        <v>2574</v>
      </c>
      <c r="B35" s="479"/>
      <c r="C35" s="1409" t="s">
        <v>1</v>
      </c>
      <c r="D35" s="1410"/>
      <c r="E35" s="1411"/>
      <c r="F35" s="1412"/>
      <c r="G35" s="1413"/>
      <c r="H35" s="1414"/>
      <c r="I35" s="1411"/>
      <c r="J35" s="1414"/>
      <c r="K35" s="782"/>
      <c r="L35" s="1145"/>
      <c r="M35" s="1146"/>
      <c r="N35" s="1133"/>
      <c r="O35" s="1146"/>
      <c r="P35" s="3183" t="str">
        <f>A35</f>
        <v>成交单价（元/平方米）</v>
      </c>
      <c r="Q35" s="3183"/>
      <c r="R35" s="3184">
        <f>E35</f>
        <v>0</v>
      </c>
      <c r="S35" s="3184"/>
      <c r="T35" s="3184">
        <f>G35</f>
        <v>0</v>
      </c>
      <c r="U35" s="3184"/>
      <c r="V35" s="3184">
        <f>I35</f>
        <v>0</v>
      </c>
      <c r="W35" s="3184"/>
      <c r="X35" s="758"/>
      <c r="Y35" s="780"/>
      <c r="Z35" s="758"/>
      <c r="AA35" s="758"/>
      <c r="AB35" s="758"/>
      <c r="AC35" s="758"/>
    </row>
    <row r="36" spans="1:29" ht="15.75" thickBot="1">
      <c r="A36" s="485" t="s">
        <v>2666</v>
      </c>
      <c r="B36" s="486"/>
      <c r="C36" s="1415" t="e">
        <f>R37</f>
        <v>#DIV/0!</v>
      </c>
      <c r="D36" s="1416"/>
      <c r="E36" s="1417" t="e">
        <f>R36</f>
        <v>#DIV/0!</v>
      </c>
      <c r="F36" s="1417"/>
      <c r="G36" s="1415" t="e">
        <f>T36</f>
        <v>#DIV/0!</v>
      </c>
      <c r="H36" s="1416"/>
      <c r="I36" s="1417" t="e">
        <f>V36</f>
        <v>#DIV/0!</v>
      </c>
      <c r="J36" s="1416"/>
      <c r="K36" s="783"/>
      <c r="L36" s="1145"/>
      <c r="M36" s="1146"/>
      <c r="N36" s="1133"/>
      <c r="O36" s="1146"/>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8"/>
      <c r="Y36" s="758"/>
      <c r="Z36" s="758"/>
      <c r="AA36" s="758"/>
      <c r="AB36" s="758"/>
      <c r="AC36" s="758"/>
    </row>
    <row r="37" spans="1:29" ht="15.75" thickBot="1">
      <c r="A37" s="491" t="s">
        <v>2667</v>
      </c>
      <c r="B37" s="492"/>
      <c r="C37" s="1419" t="e">
        <f>R37</f>
        <v>#DIV/0!</v>
      </c>
      <c r="D37" s="1419"/>
      <c r="E37" s="1419"/>
      <c r="F37" s="1419"/>
      <c r="G37" s="1419"/>
      <c r="H37" s="1419"/>
      <c r="I37" s="1419"/>
      <c r="J37" s="1419"/>
      <c r="K37" s="784"/>
      <c r="L37" s="1145"/>
      <c r="M37" s="1146"/>
      <c r="N37" s="1146"/>
      <c r="O37" s="1146"/>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2582</v>
      </c>
      <c r="B48" s="515"/>
      <c r="C48" s="516"/>
      <c r="D48" s="517"/>
      <c r="E48" s="517"/>
      <c r="F48" s="517"/>
      <c r="G48" s="517"/>
      <c r="H48" s="517"/>
      <c r="I48" s="517"/>
      <c r="J48" s="517"/>
      <c r="K48" s="517"/>
      <c r="L48" s="517"/>
      <c r="M48" s="518"/>
      <c r="N48" s="517"/>
      <c r="O48" s="519"/>
      <c r="P48" s="503"/>
      <c r="Q48" s="503"/>
    </row>
    <row r="49" spans="1:17" s="117" customFormat="1" ht="15">
      <c r="A49" s="520" t="s">
        <v>2547</v>
      </c>
      <c r="B49" s="509"/>
      <c r="C49" s="521" t="s">
        <v>2649</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2585</v>
      </c>
      <c r="B51" s="527" t="s">
        <v>2551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2560</v>
      </c>
      <c r="B77" s="527" t="s">
        <v>2613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T35" sqref="T3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2326</v>
      </c>
      <c r="B3" s="608"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196" t="s">
        <v>2645</v>
      </c>
      <c r="AC4" s="3195" t="s">
        <v>2646</v>
      </c>
    </row>
    <row r="5" spans="1:30"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196"/>
      <c r="AC5" s="3196"/>
    </row>
    <row r="6" spans="1:30" ht="15.75" thickBot="1">
      <c r="A6" s="406"/>
      <c r="B6" s="407"/>
      <c r="C6" s="3215" t="s">
        <v>2543</v>
      </c>
      <c r="D6" s="3216"/>
      <c r="E6" s="3222" t="s">
        <v>2543</v>
      </c>
      <c r="F6" s="3223"/>
      <c r="G6" s="3215" t="s">
        <v>2543</v>
      </c>
      <c r="H6" s="3216"/>
      <c r="I6" s="3215" t="s">
        <v>2543</v>
      </c>
      <c r="J6" s="3216"/>
      <c r="K6" s="609" t="s">
        <v>2544</v>
      </c>
      <c r="L6" s="1132"/>
      <c r="M6" s="1133"/>
      <c r="N6" s="1133"/>
      <c r="O6" s="1133"/>
      <c r="P6" s="3206"/>
      <c r="Q6" s="3207"/>
      <c r="R6" s="3210"/>
      <c r="S6" s="3211"/>
      <c r="T6" s="3212"/>
      <c r="U6" s="3213"/>
      <c r="V6" s="3214"/>
      <c r="W6" s="3214"/>
      <c r="X6" s="1815"/>
      <c r="Y6" s="3212"/>
      <c r="Z6" s="3213"/>
      <c r="AA6" s="3197"/>
      <c r="AB6" s="3197"/>
      <c r="AC6" s="3197"/>
    </row>
    <row r="7" spans="1:30" s="117" customFormat="1" ht="15.75" thickBot="1">
      <c r="A7" s="408" t="s">
        <v>2545</v>
      </c>
      <c r="B7" s="409"/>
      <c r="C7" s="410">
        <f>'数据-取费表'!B2</f>
        <v>43286</v>
      </c>
      <c r="D7" s="411">
        <v>100</v>
      </c>
      <c r="E7" s="412">
        <v>42309</v>
      </c>
      <c r="F7" s="413">
        <f>SUMIF(70:70,YEAR(E7)&amp;"-"&amp;INT((MONTH(E7)+2)/3),71:71)</f>
        <v>0</v>
      </c>
      <c r="G7" s="2698">
        <v>42309</v>
      </c>
      <c r="H7" s="411">
        <f>SUMIF(70:70,YEAR(G7)&amp;"-"&amp;INT((MONTH(G7)+2)/3),71:71)</f>
        <v>0</v>
      </c>
      <c r="I7" s="2698">
        <v>42036</v>
      </c>
      <c r="J7" s="411">
        <f>SUMIF(70:70,YEAR(I7)&amp;"-"&amp;INT((MONTH(I7)+2)/3),71:71)</f>
        <v>0</v>
      </c>
      <c r="K7" s="610"/>
      <c r="L7" s="1134"/>
      <c r="M7" s="1135"/>
      <c r="N7" s="1135"/>
      <c r="O7" s="1135"/>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45" si="3">D8/F8</f>
        <v>#DIV/0!</v>
      </c>
      <c r="AB8" s="772" t="e">
        <f t="shared" ref="AB8:AB45" si="4">D8/H8</f>
        <v>#DIV/0!</v>
      </c>
      <c r="AC8" s="772"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0"/>
      <c r="L9" s="1134"/>
      <c r="M9" s="1135"/>
      <c r="N9" s="1135"/>
      <c r="O9" s="1136"/>
      <c r="P9" s="3183"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772">
        <f t="shared" si="5"/>
        <v>1</v>
      </c>
    </row>
    <row r="10" spans="1:30" s="426" customFormat="1" ht="27">
      <c r="A10" s="420"/>
      <c r="B10" s="421" t="s">
        <v>2554</v>
      </c>
      <c r="C10" s="431"/>
      <c r="D10" s="136">
        <v>100</v>
      </c>
      <c r="E10" s="464"/>
      <c r="F10" s="136">
        <f>ROUND(100/'数据-取费表'!G16,0)</f>
        <v>120</v>
      </c>
      <c r="G10" s="462"/>
      <c r="H10" s="136">
        <f>ROUND(100/'数据-取费表'!G16,0)</f>
        <v>120</v>
      </c>
      <c r="I10" s="462"/>
      <c r="J10" s="136">
        <f>ROUND(100/'数据-取费表'!G16,0)</f>
        <v>120</v>
      </c>
      <c r="K10" s="671"/>
      <c r="L10" s="1137"/>
      <c r="M10" s="1138"/>
      <c r="N10" s="1138"/>
      <c r="O10" s="1139"/>
      <c r="P10" s="3183"/>
      <c r="Q10" s="1797" t="str">
        <f t="shared" si="6"/>
        <v>土地使用年限（年）</v>
      </c>
      <c r="R10" s="769" t="s">
        <v>17</v>
      </c>
      <c r="S10" s="770">
        <f t="shared" si="0"/>
        <v>120</v>
      </c>
      <c r="T10" s="769" t="s">
        <v>17</v>
      </c>
      <c r="U10" s="770">
        <f t="shared" si="1"/>
        <v>120</v>
      </c>
      <c r="V10" s="769" t="s">
        <v>17</v>
      </c>
      <c r="W10" s="770">
        <f t="shared" si="2"/>
        <v>120</v>
      </c>
      <c r="X10" s="771"/>
      <c r="Y10" s="3008"/>
      <c r="Z10" s="55" t="str">
        <f t="shared" si="7"/>
        <v>土地使用年限（年）</v>
      </c>
      <c r="AA10" s="772">
        <f t="shared" si="3"/>
        <v>0.83333333333333337</v>
      </c>
      <c r="AB10" s="772">
        <f t="shared" si="4"/>
        <v>0.83333333333333337</v>
      </c>
      <c r="AC10" s="772">
        <f t="shared" si="5"/>
        <v>0.83333333333333337</v>
      </c>
    </row>
    <row r="11" spans="1:30" ht="15">
      <c r="A11" s="427"/>
      <c r="B11" s="421" t="s">
        <v>2555</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83"/>
      <c r="Q11" s="1797"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30" s="117" customFormat="1" ht="15">
      <c r="A12" s="430"/>
      <c r="B12" s="2602" t="s">
        <v>2744</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83"/>
      <c r="Q12" s="1797"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15">
      <c r="A15" s="439" t="s">
        <v>2556</v>
      </c>
      <c r="B15" s="69" t="s">
        <v>2087</v>
      </c>
      <c r="C15" s="2605"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5" t="s">
        <v>2557</v>
      </c>
      <c r="Q15" s="1812" t="str">
        <f t="shared" si="6"/>
        <v>居住社区成熟度</v>
      </c>
      <c r="R15" s="773" t="s">
        <v>17</v>
      </c>
      <c r="S15" s="774">
        <f t="shared" si="0"/>
        <v>100</v>
      </c>
      <c r="T15" s="773" t="s">
        <v>17</v>
      </c>
      <c r="U15" s="774">
        <f t="shared" si="1"/>
        <v>100</v>
      </c>
      <c r="V15" s="773" t="s">
        <v>17</v>
      </c>
      <c r="W15" s="774">
        <f t="shared" si="2"/>
        <v>100</v>
      </c>
      <c r="X15" s="1815"/>
      <c r="Y15" s="3185" t="s">
        <v>2557</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186"/>
      <c r="Q16" s="1812"/>
      <c r="R16" s="773"/>
      <c r="S16" s="774"/>
      <c r="T16" s="773"/>
      <c r="U16" s="774"/>
      <c r="V16" s="773"/>
      <c r="W16" s="774"/>
      <c r="X16" s="1815"/>
      <c r="Y16" s="3186"/>
      <c r="Z16" s="1816"/>
      <c r="AA16" s="1813">
        <v>1</v>
      </c>
      <c r="AB16" s="1813">
        <v>1</v>
      </c>
      <c r="AC16" s="1813">
        <v>1</v>
      </c>
    </row>
    <row r="17" spans="1:29" ht="85.5">
      <c r="A17" s="427"/>
      <c r="B17" s="450" t="s">
        <v>2650</v>
      </c>
      <c r="C17" s="2666" t="str">
        <f>估价对象房地状况!C16</f>
        <v>估价对象位于五棵松卓展商圈，周边商业氛围较成熟，人流量较大，商业繁华度较好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6"/>
      <c r="Q17" s="1812" t="str">
        <f>B17</f>
        <v>商业繁华度</v>
      </c>
      <c r="R17" s="773" t="s">
        <v>17</v>
      </c>
      <c r="S17" s="774">
        <f>F17</f>
        <v>100</v>
      </c>
      <c r="T17" s="773" t="s">
        <v>17</v>
      </c>
      <c r="U17" s="774">
        <f>H17</f>
        <v>100</v>
      </c>
      <c r="V17" s="773" t="s">
        <v>17</v>
      </c>
      <c r="W17" s="774">
        <f>J17</f>
        <v>100</v>
      </c>
      <c r="X17" s="1815"/>
      <c r="Y17" s="3186"/>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186"/>
      <c r="Q18" s="1812"/>
      <c r="R18" s="773"/>
      <c r="S18" s="774"/>
      <c r="T18" s="773"/>
      <c r="U18" s="774"/>
      <c r="V18" s="773"/>
      <c r="W18" s="774"/>
      <c r="X18" s="1815"/>
      <c r="Y18" s="3186"/>
      <c r="Z18" s="1816"/>
      <c r="AA18" s="1813">
        <v>1</v>
      </c>
      <c r="AB18" s="1813">
        <v>1</v>
      </c>
      <c r="AC18" s="1813">
        <v>1</v>
      </c>
    </row>
    <row r="19" spans="1:29" ht="15">
      <c r="A19" s="427"/>
      <c r="B19" s="450" t="s">
        <v>2684</v>
      </c>
      <c r="C19" s="2666"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6"/>
      <c r="Q19" s="1812" t="str">
        <f>B19</f>
        <v>办公集聚程度</v>
      </c>
      <c r="R19" s="773" t="s">
        <v>17</v>
      </c>
      <c r="S19" s="774">
        <f>F19</f>
        <v>100</v>
      </c>
      <c r="T19" s="773" t="s">
        <v>17</v>
      </c>
      <c r="U19" s="774">
        <f>H19</f>
        <v>100</v>
      </c>
      <c r="V19" s="773" t="s">
        <v>17</v>
      </c>
      <c r="W19" s="774">
        <f>J19</f>
        <v>100</v>
      </c>
      <c r="X19" s="1815"/>
      <c r="Y19" s="3186"/>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186"/>
      <c r="Q20" s="1812"/>
      <c r="R20" s="773"/>
      <c r="S20" s="774"/>
      <c r="T20" s="773"/>
      <c r="U20" s="774"/>
      <c r="V20" s="773"/>
      <c r="W20" s="774"/>
      <c r="X20" s="1815"/>
      <c r="Y20" s="3186"/>
      <c r="Z20" s="1816"/>
      <c r="AA20" s="1813">
        <v>1</v>
      </c>
      <c r="AB20" s="1813">
        <v>1</v>
      </c>
      <c r="AC20" s="1813">
        <v>1</v>
      </c>
    </row>
    <row r="21" spans="1:29" ht="128.25">
      <c r="A21" s="427"/>
      <c r="B21" s="450" t="s">
        <v>2706</v>
      </c>
      <c r="C21" s="2609" t="str">
        <f>估价对象房地状况!C18</f>
        <v>估价对象周边有634、78、436路等公交线路及地铁1号线经过、公共交通通达情况较好、停车便捷程度较好，综合评价交通便捷度较好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6"/>
      <c r="Q21" s="1812" t="str">
        <f>B21</f>
        <v>交通便捷度</v>
      </c>
      <c r="R21" s="773" t="s">
        <v>17</v>
      </c>
      <c r="S21" s="774">
        <f>F21</f>
        <v>100</v>
      </c>
      <c r="T21" s="773" t="s">
        <v>17</v>
      </c>
      <c r="U21" s="774">
        <f>H21</f>
        <v>100</v>
      </c>
      <c r="V21" s="773" t="s">
        <v>17</v>
      </c>
      <c r="W21" s="774">
        <f>J21</f>
        <v>100</v>
      </c>
      <c r="X21" s="1815"/>
      <c r="Y21" s="3186"/>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186"/>
      <c r="Q22" s="1812"/>
      <c r="R22" s="773"/>
      <c r="S22" s="774"/>
      <c r="T22" s="773"/>
      <c r="U22" s="774"/>
      <c r="V22" s="773"/>
      <c r="W22" s="774"/>
      <c r="X22" s="1815"/>
      <c r="Y22" s="3186"/>
      <c r="Z22" s="1816"/>
      <c r="AA22" s="1813">
        <v>1</v>
      </c>
      <c r="AB22" s="1813">
        <v>1</v>
      </c>
      <c r="AC22" s="1813">
        <v>1</v>
      </c>
    </row>
    <row r="23" spans="1:29" ht="15">
      <c r="A23" s="404"/>
      <c r="B23" s="450" t="s">
        <v>2745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6"/>
      <c r="Q23" s="1812" t="str">
        <f t="shared" ref="Q23:Q37" si="8">B23</f>
        <v>区域土地利用方向</v>
      </c>
      <c r="R23" s="773" t="s">
        <v>17</v>
      </c>
      <c r="S23" s="774">
        <f>F23</f>
        <v>100</v>
      </c>
      <c r="T23" s="773" t="s">
        <v>17</v>
      </c>
      <c r="U23" s="774">
        <f>H23</f>
        <v>100</v>
      </c>
      <c r="V23" s="773" t="s">
        <v>17</v>
      </c>
      <c r="W23" s="774">
        <f>J23</f>
        <v>100</v>
      </c>
      <c r="X23" s="1815"/>
      <c r="Y23" s="3186"/>
      <c r="Z23" s="1816" t="str">
        <f>Q23</f>
        <v>区域土地利用方向</v>
      </c>
      <c r="AA23" s="1813">
        <f t="shared" si="3"/>
        <v>1</v>
      </c>
      <c r="AB23" s="1813">
        <f t="shared" si="4"/>
        <v>1</v>
      </c>
      <c r="AC23" s="1813">
        <f t="shared" si="5"/>
        <v>1</v>
      </c>
    </row>
    <row r="24" spans="1:29" ht="15">
      <c r="A24" s="404"/>
      <c r="B24" s="455"/>
      <c r="C24" s="615"/>
      <c r="D24" s="447"/>
      <c r="E24" s="2607"/>
      <c r="F24" s="447"/>
      <c r="G24" s="2606"/>
      <c r="H24" s="447"/>
      <c r="I24" s="2606"/>
      <c r="J24" s="447"/>
      <c r="K24" s="811"/>
      <c r="L24" s="1142"/>
      <c r="M24" s="1133"/>
      <c r="N24" s="1133"/>
      <c r="O24" s="1141"/>
      <c r="P24" s="3186"/>
      <c r="Q24" s="1812"/>
      <c r="R24" s="773"/>
      <c r="S24" s="774"/>
      <c r="T24" s="773"/>
      <c r="U24" s="774"/>
      <c r="V24" s="773"/>
      <c r="W24" s="774"/>
      <c r="X24" s="1815"/>
      <c r="Y24" s="3186"/>
      <c r="Z24" s="1816"/>
      <c r="AA24" s="1813"/>
      <c r="AB24" s="1813"/>
      <c r="AC24" s="1813"/>
    </row>
    <row r="25" spans="1:29" ht="99.75">
      <c r="A25" s="404"/>
      <c r="B25" s="1386" t="s">
        <v>2746</v>
      </c>
      <c r="C25" s="2666" t="str">
        <f>估价对象房地状况!C20</f>
        <v>区域自然环境：有五棵松公园、定慧公园等；人文环境：国家开放大学(五棵松校区)等；综合评价环境状况较好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6"/>
      <c r="Q25" s="1812" t="str">
        <f t="shared" si="8"/>
        <v>自然及人文环境状况</v>
      </c>
      <c r="R25" s="773" t="s">
        <v>17</v>
      </c>
      <c r="S25" s="774">
        <f>F25</f>
        <v>100</v>
      </c>
      <c r="T25" s="773" t="s">
        <v>17</v>
      </c>
      <c r="U25" s="774">
        <f>H25</f>
        <v>100</v>
      </c>
      <c r="V25" s="773" t="s">
        <v>17</v>
      </c>
      <c r="W25" s="774">
        <f>J25</f>
        <v>100</v>
      </c>
      <c r="X25" s="1815"/>
      <c r="Y25" s="3186"/>
      <c r="Z25" s="1816" t="str">
        <f>Q25</f>
        <v>自然及人文环境状况</v>
      </c>
      <c r="AA25" s="1813">
        <f t="shared" si="3"/>
        <v>1</v>
      </c>
      <c r="AB25" s="1813">
        <f t="shared" si="4"/>
        <v>1</v>
      </c>
      <c r="AC25" s="1813">
        <f t="shared" si="5"/>
        <v>1</v>
      </c>
    </row>
    <row r="26" spans="1:29" ht="15">
      <c r="A26" s="404"/>
      <c r="B26" s="455"/>
      <c r="C26" s="446"/>
      <c r="D26" s="447"/>
      <c r="E26" s="2613"/>
      <c r="F26" s="447"/>
      <c r="G26" s="2613"/>
      <c r="H26" s="447"/>
      <c r="I26" s="446"/>
      <c r="J26" s="447"/>
      <c r="K26" s="671"/>
      <c r="L26" s="1142"/>
      <c r="M26" s="1133"/>
      <c r="N26" s="1133"/>
      <c r="O26" s="1141"/>
      <c r="P26" s="3186"/>
      <c r="Q26" s="1812"/>
      <c r="R26" s="773"/>
      <c r="S26" s="774"/>
      <c r="T26" s="773"/>
      <c r="U26" s="774"/>
      <c r="V26" s="773"/>
      <c r="W26" s="774"/>
      <c r="X26" s="1815"/>
      <c r="Y26" s="3186"/>
      <c r="Z26" s="1816"/>
      <c r="AA26" s="1813">
        <v>1</v>
      </c>
      <c r="AB26" s="1813">
        <v>1</v>
      </c>
      <c r="AC26" s="1813">
        <v>1</v>
      </c>
    </row>
    <row r="27" spans="1:29" s="117" customFormat="1" ht="57">
      <c r="A27" s="648"/>
      <c r="B27" s="1386" t="s">
        <v>2651</v>
      </c>
      <c r="C27" s="2609" t="str">
        <f>估价对象房地状况!C21</f>
        <v>估价对象所在区域有医院、商场、学校等公共配套设施较齐备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6"/>
      <c r="Q27" s="1797" t="str">
        <f t="shared" si="8"/>
        <v>公共配套设施</v>
      </c>
      <c r="R27" s="769" t="s">
        <v>17</v>
      </c>
      <c r="S27" s="770">
        <f>F27</f>
        <v>100</v>
      </c>
      <c r="T27" s="769" t="s">
        <v>17</v>
      </c>
      <c r="U27" s="770">
        <f>H27</f>
        <v>100</v>
      </c>
      <c r="V27" s="769" t="s">
        <v>17</v>
      </c>
      <c r="W27" s="770">
        <f>J27</f>
        <v>100</v>
      </c>
      <c r="X27" s="771"/>
      <c r="Y27" s="3186"/>
      <c r="Z27" s="55" t="str">
        <f>Q27</f>
        <v>公共配套设施</v>
      </c>
      <c r="AA27" s="1813">
        <f>D27/F27</f>
        <v>1</v>
      </c>
      <c r="AB27" s="1813">
        <f>D27/H27</f>
        <v>1</v>
      </c>
      <c r="AC27" s="1813">
        <f>D27/J27</f>
        <v>1</v>
      </c>
    </row>
    <row r="28" spans="1:29" s="117" customFormat="1" ht="15">
      <c r="A28" s="648"/>
      <c r="B28" s="455"/>
      <c r="C28" s="2702"/>
      <c r="D28" s="447"/>
      <c r="E28" s="2613"/>
      <c r="F28" s="447"/>
      <c r="G28" s="2613"/>
      <c r="H28" s="447"/>
      <c r="I28" s="446"/>
      <c r="J28" s="447"/>
      <c r="K28" s="671"/>
      <c r="L28" s="1134"/>
      <c r="M28" s="1135"/>
      <c r="N28" s="1135"/>
      <c r="O28" s="1136"/>
      <c r="P28" s="3186"/>
      <c r="Q28" s="1797"/>
      <c r="R28" s="769"/>
      <c r="S28" s="770"/>
      <c r="T28" s="769"/>
      <c r="U28" s="770"/>
      <c r="V28" s="769"/>
      <c r="W28" s="770"/>
      <c r="X28" s="771"/>
      <c r="Y28" s="3186"/>
      <c r="Z28" s="55"/>
      <c r="AA28" s="1813">
        <v>1</v>
      </c>
      <c r="AB28" s="1813">
        <v>1</v>
      </c>
      <c r="AC28" s="1813">
        <v>1</v>
      </c>
    </row>
    <row r="29" spans="1:29" s="117" customFormat="1" ht="42.75">
      <c r="A29" s="648"/>
      <c r="B29" s="1386" t="s">
        <v>2652</v>
      </c>
      <c r="C29" s="2609"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6"/>
      <c r="Q29" s="1797"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3">
        <f>D29/F29</f>
        <v>1</v>
      </c>
      <c r="AB29" s="1813">
        <f>D29/H29</f>
        <v>1</v>
      </c>
      <c r="AC29" s="1813">
        <f>D29/J29</f>
        <v>1</v>
      </c>
    </row>
    <row r="30" spans="1:29" s="117" customFormat="1" ht="15">
      <c r="A30" s="648"/>
      <c r="B30" s="455"/>
      <c r="C30" s="2702"/>
      <c r="D30" s="447"/>
      <c r="E30" s="2703"/>
      <c r="F30" s="447"/>
      <c r="G30" s="2703"/>
      <c r="H30" s="447"/>
      <c r="I30" s="2703"/>
      <c r="J30" s="447"/>
      <c r="K30" s="671"/>
      <c r="L30" s="1134"/>
      <c r="M30" s="1135"/>
      <c r="N30" s="1135"/>
      <c r="O30" s="1136"/>
      <c r="P30" s="3186"/>
      <c r="Q30" s="1797"/>
      <c r="R30" s="769"/>
      <c r="S30" s="770"/>
      <c r="T30" s="769"/>
      <c r="U30" s="770"/>
      <c r="V30" s="769"/>
      <c r="W30" s="770"/>
      <c r="X30" s="771"/>
      <c r="Y30" s="3186"/>
      <c r="Z30" s="55"/>
      <c r="AA30" s="1813">
        <v>1</v>
      </c>
      <c r="AB30" s="1813">
        <v>1</v>
      </c>
      <c r="AC30" s="1813">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6"/>
      <c r="Z31" s="1816" t="str">
        <f t="shared" ref="Z31:Z45" si="13">Q31</f>
        <v>临街状况</v>
      </c>
      <c r="AA31" s="1813">
        <f t="shared" si="3"/>
        <v>1</v>
      </c>
      <c r="AB31" s="1813">
        <f t="shared" si="4"/>
        <v>1</v>
      </c>
      <c r="AC31" s="1813">
        <f t="shared" si="5"/>
        <v>1</v>
      </c>
    </row>
    <row r="32" spans="1:29" ht="27">
      <c r="A32" s="427"/>
      <c r="B32" s="1386"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6"/>
      <c r="Q32" s="1812" t="str">
        <f t="shared" si="8"/>
        <v>毗邻道路的类型与等级</v>
      </c>
      <c r="R32" s="773" t="s">
        <v>17</v>
      </c>
      <c r="S32" s="774">
        <f t="shared" si="10"/>
        <v>100</v>
      </c>
      <c r="T32" s="773" t="s">
        <v>17</v>
      </c>
      <c r="U32" s="774">
        <f t="shared" si="11"/>
        <v>100</v>
      </c>
      <c r="V32" s="773" t="s">
        <v>17</v>
      </c>
      <c r="W32" s="774">
        <f t="shared" si="12"/>
        <v>100</v>
      </c>
      <c r="X32" s="1815"/>
      <c r="Y32" s="3186"/>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186"/>
      <c r="Q33" s="1812"/>
      <c r="R33" s="773"/>
      <c r="S33" s="774"/>
      <c r="T33" s="773"/>
      <c r="U33" s="774"/>
      <c r="V33" s="773"/>
      <c r="W33" s="774"/>
      <c r="X33" s="1815"/>
      <c r="Y33" s="3186"/>
      <c r="Z33" s="1816"/>
      <c r="AA33" s="1813">
        <v>1</v>
      </c>
      <c r="AB33" s="1813">
        <v>1</v>
      </c>
      <c r="AC33" s="1813">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6"/>
      <c r="Q34" s="1812" t="str">
        <f t="shared" si="8"/>
        <v>土地级别</v>
      </c>
      <c r="R34" s="773" t="s">
        <v>17</v>
      </c>
      <c r="S34" s="774">
        <f t="shared" si="10"/>
        <v>100</v>
      </c>
      <c r="T34" s="773" t="s">
        <v>17</v>
      </c>
      <c r="U34" s="774">
        <f t="shared" si="11"/>
        <v>100</v>
      </c>
      <c r="V34" s="773" t="s">
        <v>17</v>
      </c>
      <c r="W34" s="774">
        <f t="shared" si="12"/>
        <v>100</v>
      </c>
      <c r="X34" s="1815"/>
      <c r="Y34" s="3186"/>
      <c r="Z34" s="1816" t="str">
        <f t="shared" si="13"/>
        <v>土地级别</v>
      </c>
      <c r="AA34" s="1813">
        <f t="shared" si="3"/>
        <v>1</v>
      </c>
      <c r="AB34" s="1813">
        <f t="shared" si="4"/>
        <v>1</v>
      </c>
      <c r="AC34" s="1813">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6"/>
      <c r="Q35" s="1812">
        <f t="shared" si="8"/>
        <v>111</v>
      </c>
      <c r="R35" s="773" t="s">
        <v>17</v>
      </c>
      <c r="S35" s="774">
        <f t="shared" si="10"/>
        <v>100</v>
      </c>
      <c r="T35" s="773" t="s">
        <v>17</v>
      </c>
      <c r="U35" s="774">
        <f t="shared" si="11"/>
        <v>100</v>
      </c>
      <c r="V35" s="773" t="s">
        <v>17</v>
      </c>
      <c r="W35" s="774">
        <f t="shared" si="12"/>
        <v>100</v>
      </c>
      <c r="X35" s="1815"/>
      <c r="Y35" s="3186"/>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1" t="s">
        <v>2562</v>
      </c>
      <c r="Q36" s="1812">
        <f t="shared" si="8"/>
        <v>111</v>
      </c>
      <c r="R36" s="773" t="s">
        <v>17</v>
      </c>
      <c r="S36" s="774">
        <f t="shared" si="10"/>
        <v>100</v>
      </c>
      <c r="T36" s="773" t="s">
        <v>17</v>
      </c>
      <c r="U36" s="774">
        <f t="shared" si="11"/>
        <v>100</v>
      </c>
      <c r="V36" s="773" t="s">
        <v>17</v>
      </c>
      <c r="W36" s="774">
        <f t="shared" si="12"/>
        <v>100</v>
      </c>
      <c r="X36" s="1815"/>
      <c r="Y36" s="3190" t="s">
        <v>2562</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0"/>
      <c r="Q37" s="1812">
        <f t="shared" si="8"/>
        <v>111</v>
      </c>
      <c r="R37" s="776" t="s">
        <v>17</v>
      </c>
      <c r="S37" s="777">
        <f t="shared" si="10"/>
        <v>100</v>
      </c>
      <c r="T37" s="776" t="s">
        <v>17</v>
      </c>
      <c r="U37" s="777">
        <f t="shared" si="11"/>
        <v>100</v>
      </c>
      <c r="V37" s="776" t="s">
        <v>17</v>
      </c>
      <c r="W37" s="777">
        <f t="shared" si="12"/>
        <v>100</v>
      </c>
      <c r="X37" s="778"/>
      <c r="Y37" s="3190"/>
      <c r="Z37" s="779">
        <f t="shared" si="13"/>
        <v>111</v>
      </c>
      <c r="AA37" s="1813">
        <f t="shared" si="3"/>
        <v>1</v>
      </c>
      <c r="AB37" s="1813">
        <f t="shared" si="4"/>
        <v>1</v>
      </c>
      <c r="AC37" s="1813">
        <f t="shared" si="5"/>
        <v>1</v>
      </c>
    </row>
    <row r="38" spans="1:29" ht="15">
      <c r="A38" s="471" t="s">
        <v>2560</v>
      </c>
      <c r="B38" s="455" t="s">
        <v>2748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0"/>
      <c r="Q38" s="1812" t="str">
        <f>B38</f>
        <v>宗地面积</v>
      </c>
      <c r="R38" s="773" t="s">
        <v>17</v>
      </c>
      <c r="S38" s="774" t="e">
        <f t="shared" si="10"/>
        <v>#N/A</v>
      </c>
      <c r="T38" s="773" t="s">
        <v>17</v>
      </c>
      <c r="U38" s="774" t="e">
        <f t="shared" si="11"/>
        <v>#N/A</v>
      </c>
      <c r="V38" s="773" t="s">
        <v>17</v>
      </c>
      <c r="W38" s="774" t="e">
        <f t="shared" si="12"/>
        <v>#N/A</v>
      </c>
      <c r="X38" s="1815"/>
      <c r="Y38" s="3190"/>
      <c r="Z38" s="1816" t="str">
        <f t="shared" si="13"/>
        <v>宗地面积</v>
      </c>
      <c r="AA38" s="1813" t="e">
        <f t="shared" si="3"/>
        <v>#N/A</v>
      </c>
      <c r="AB38" s="1813" t="e">
        <f t="shared" si="4"/>
        <v>#N/A</v>
      </c>
      <c r="AC38" s="1813" t="e">
        <f t="shared" si="5"/>
        <v>#N/A</v>
      </c>
    </row>
    <row r="39" spans="1:29" ht="15">
      <c r="A39" s="471"/>
      <c r="B39" s="421" t="s">
        <v>2749</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190"/>
      <c r="Q39" s="1812" t="str">
        <f t="shared" ref="Q39:Q45" si="14">B39</f>
        <v>宗地形状</v>
      </c>
      <c r="R39" s="773" t="s">
        <v>17</v>
      </c>
      <c r="S39" s="774">
        <f t="shared" si="10"/>
        <v>100</v>
      </c>
      <c r="T39" s="773" t="s">
        <v>17</v>
      </c>
      <c r="U39" s="774">
        <f t="shared" si="11"/>
        <v>100</v>
      </c>
      <c r="V39" s="773" t="s">
        <v>17</v>
      </c>
      <c r="W39" s="774">
        <f t="shared" si="12"/>
        <v>100</v>
      </c>
      <c r="X39" s="1815"/>
      <c r="Y39" s="3190"/>
      <c r="Z39" s="1816" t="str">
        <f t="shared" si="13"/>
        <v>宗地形状</v>
      </c>
      <c r="AA39" s="1813">
        <f t="shared" si="3"/>
        <v>1</v>
      </c>
      <c r="AB39" s="1813">
        <f t="shared" si="4"/>
        <v>1</v>
      </c>
      <c r="AC39" s="1813">
        <f t="shared" si="5"/>
        <v>1</v>
      </c>
    </row>
    <row r="40" spans="1:29" ht="15">
      <c r="A40" s="471"/>
      <c r="B40" s="421" t="s">
        <v>2750</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190"/>
      <c r="Q40" s="1812" t="str">
        <f t="shared" si="14"/>
        <v>临街宽度及深度</v>
      </c>
      <c r="R40" s="773" t="s">
        <v>17</v>
      </c>
      <c r="S40" s="774">
        <f t="shared" si="10"/>
        <v>100</v>
      </c>
      <c r="T40" s="773" t="s">
        <v>17</v>
      </c>
      <c r="U40" s="774">
        <f t="shared" si="11"/>
        <v>100</v>
      </c>
      <c r="V40" s="773" t="s">
        <v>17</v>
      </c>
      <c r="W40" s="774">
        <f t="shared" si="12"/>
        <v>100</v>
      </c>
      <c r="X40" s="1815"/>
      <c r="Y40" s="3190"/>
      <c r="Z40" s="1816" t="str">
        <f t="shared" si="13"/>
        <v>临街宽度及深度</v>
      </c>
      <c r="AA40" s="1813">
        <f t="shared" si="3"/>
        <v>1</v>
      </c>
      <c r="AB40" s="1813">
        <f t="shared" si="4"/>
        <v>1</v>
      </c>
      <c r="AC40" s="1813">
        <f t="shared" si="5"/>
        <v>1</v>
      </c>
    </row>
    <row r="41" spans="1:29" s="117" customFormat="1" ht="15">
      <c r="A41" s="472"/>
      <c r="B41" s="421" t="s">
        <v>2751</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190"/>
      <c r="Q41" s="1812"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1"/>
      <c r="B42" s="421" t="s">
        <v>2752</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190" t="s">
        <v>2562</v>
      </c>
      <c r="Q42" s="1812" t="str">
        <f t="shared" si="14"/>
        <v>工程地质条件</v>
      </c>
      <c r="R42" s="773" t="s">
        <v>17</v>
      </c>
      <c r="S42" s="774">
        <f t="shared" si="10"/>
        <v>100</v>
      </c>
      <c r="T42" s="773" t="s">
        <v>17</v>
      </c>
      <c r="U42" s="774">
        <f t="shared" si="11"/>
        <v>100</v>
      </c>
      <c r="V42" s="773" t="s">
        <v>17</v>
      </c>
      <c r="W42" s="774">
        <f t="shared" si="12"/>
        <v>100</v>
      </c>
      <c r="X42" s="1815"/>
      <c r="Y42" s="3190" t="s">
        <v>2562</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0"/>
      <c r="Q43" s="1812">
        <f t="shared" si="14"/>
        <v>111</v>
      </c>
      <c r="R43" s="773" t="s">
        <v>17</v>
      </c>
      <c r="S43" s="774">
        <f t="shared" si="10"/>
        <v>100</v>
      </c>
      <c r="T43" s="773" t="s">
        <v>17</v>
      </c>
      <c r="U43" s="774">
        <f t="shared" si="11"/>
        <v>100</v>
      </c>
      <c r="V43" s="773" t="s">
        <v>17</v>
      </c>
      <c r="W43" s="774">
        <f t="shared" si="12"/>
        <v>100</v>
      </c>
      <c r="X43" s="1815"/>
      <c r="Y43" s="319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0"/>
      <c r="Q44" s="1812">
        <f t="shared" si="14"/>
        <v>111</v>
      </c>
      <c r="R44" s="773" t="s">
        <v>17</v>
      </c>
      <c r="S44" s="774">
        <f t="shared" si="10"/>
        <v>100</v>
      </c>
      <c r="T44" s="773" t="s">
        <v>17</v>
      </c>
      <c r="U44" s="774">
        <f t="shared" si="11"/>
        <v>100</v>
      </c>
      <c r="V44" s="773" t="s">
        <v>17</v>
      </c>
      <c r="W44" s="774">
        <f t="shared" si="12"/>
        <v>100</v>
      </c>
      <c r="X44" s="1815"/>
      <c r="Y44" s="3190"/>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0"/>
      <c r="Q45" s="1812">
        <f t="shared" si="14"/>
        <v>111</v>
      </c>
      <c r="R45" s="776" t="s">
        <v>17</v>
      </c>
      <c r="S45" s="777">
        <f t="shared" si="10"/>
        <v>100</v>
      </c>
      <c r="T45" s="776" t="s">
        <v>17</v>
      </c>
      <c r="U45" s="777">
        <f t="shared" si="11"/>
        <v>100</v>
      </c>
      <c r="V45" s="776" t="s">
        <v>17</v>
      </c>
      <c r="W45" s="777">
        <f t="shared" si="12"/>
        <v>100</v>
      </c>
      <c r="X45" s="778"/>
      <c r="Y45" s="3190"/>
      <c r="Z45" s="779">
        <f t="shared" si="13"/>
        <v>111</v>
      </c>
      <c r="AA45" s="1813">
        <f t="shared" si="3"/>
        <v>1</v>
      </c>
      <c r="AB45" s="1813">
        <f t="shared" si="4"/>
        <v>1</v>
      </c>
      <c r="AC45" s="1813">
        <f t="shared" si="5"/>
        <v>1</v>
      </c>
    </row>
    <row r="46" spans="1:29" ht="15">
      <c r="A46" s="478" t="s">
        <v>2717</v>
      </c>
      <c r="B46" s="2706" t="s">
        <v>2753</v>
      </c>
      <c r="C46" s="681" t="s">
        <v>1</v>
      </c>
      <c r="D46" s="480"/>
      <c r="E46" s="481"/>
      <c r="F46" s="482"/>
      <c r="G46" s="483"/>
      <c r="H46" s="484"/>
      <c r="I46" s="481"/>
      <c r="J46" s="484"/>
      <c r="K46" s="782"/>
      <c r="L46" s="1145"/>
      <c r="M46" s="1146"/>
      <c r="N46" s="1133"/>
      <c r="O46" s="1146"/>
      <c r="P46" s="3183" t="str">
        <f>A46</f>
        <v>成交单价</v>
      </c>
      <c r="Q46" s="3183"/>
      <c r="R46" s="3214">
        <f>E46</f>
        <v>0</v>
      </c>
      <c r="S46" s="3214"/>
      <c r="T46" s="3214">
        <f>G46</f>
        <v>0</v>
      </c>
      <c r="U46" s="3214"/>
      <c r="V46" s="3214">
        <f>I46</f>
        <v>0</v>
      </c>
      <c r="W46" s="3214"/>
      <c r="X46" s="758"/>
      <c r="Y46" s="780"/>
      <c r="Z46" s="758"/>
      <c r="AA46" s="758"/>
      <c r="AB46" s="758"/>
      <c r="AC46" s="758"/>
    </row>
    <row r="47" spans="1:29" ht="15.75" thickBot="1">
      <c r="A47" s="485" t="s">
        <v>2666</v>
      </c>
      <c r="B47" s="682"/>
      <c r="C47" s="489" t="e">
        <f>R48</f>
        <v>#DIV/0!</v>
      </c>
      <c r="D47" s="488"/>
      <c r="E47" s="489" t="e">
        <f>R47</f>
        <v>#DIV/0!</v>
      </c>
      <c r="F47" s="490"/>
      <c r="G47" s="487" t="e">
        <f>T47</f>
        <v>#DIV/0!</v>
      </c>
      <c r="H47" s="488"/>
      <c r="I47" s="489" t="e">
        <f>V47</f>
        <v>#DIV/0!</v>
      </c>
      <c r="J47" s="488"/>
      <c r="K47" s="783"/>
      <c r="L47" s="1145"/>
      <c r="M47" s="1146"/>
      <c r="N47" s="1146"/>
      <c r="O47" s="1146"/>
      <c r="P47" s="3183" t="str">
        <f>A47</f>
        <v>比较价值（元/平方米）</v>
      </c>
      <c r="Q47" s="3183"/>
      <c r="R47" s="3242" t="e">
        <f>ROUND(PRODUCT(R46,AA7:AA45),0)</f>
        <v>#DIV/0!</v>
      </c>
      <c r="S47" s="3242"/>
      <c r="T47" s="3242" t="e">
        <f>ROUND(PRODUCT(T46,AB7:AB45),0)</f>
        <v>#DIV/0!</v>
      </c>
      <c r="U47" s="3242"/>
      <c r="V47" s="3242" t="e">
        <f>ROUND(PRODUCT(V46,AC7:AC45),0)</f>
        <v>#DIV/0!</v>
      </c>
      <c r="W47" s="3242"/>
      <c r="X47" s="758"/>
      <c r="Y47" s="758"/>
      <c r="Z47" s="758"/>
      <c r="AA47" s="758"/>
      <c r="AB47" s="758"/>
      <c r="AC47" s="758"/>
    </row>
    <row r="48" spans="1:29" ht="15.75" thickBot="1">
      <c r="A48" s="491" t="s">
        <v>2754</v>
      </c>
      <c r="B48" s="492"/>
      <c r="C48" s="493" t="e">
        <f>R48</f>
        <v>#DIV/0!</v>
      </c>
      <c r="D48" s="493"/>
      <c r="E48" s="493"/>
      <c r="F48" s="493"/>
      <c r="G48" s="493"/>
      <c r="H48" s="493"/>
      <c r="I48" s="493"/>
      <c r="J48" s="493"/>
      <c r="K48" s="784"/>
      <c r="L48" s="1145"/>
      <c r="M48" s="1146"/>
      <c r="N48" s="1146"/>
      <c r="O48" s="1146"/>
      <c r="P48" s="3180" t="str">
        <f>A48</f>
        <v>估价对象XX用房的比较价值（楼面单价，元/平方米）</v>
      </c>
      <c r="Q48" s="3181"/>
      <c r="R48" s="3243" t="e">
        <f>ROUND(AVERAGE(R47:V47),0)</f>
        <v>#DIV/0!</v>
      </c>
      <c r="S48" s="3243"/>
      <c r="T48" s="3243"/>
      <c r="U48" s="3243"/>
      <c r="V48" s="3243"/>
      <c r="W48" s="324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2755</v>
      </c>
      <c r="B55" s="684" t="s">
        <v>2756</v>
      </c>
      <c r="C55" s="2707" t="s">
        <v>2757</v>
      </c>
      <c r="D55" s="2708" t="s">
        <v>2758</v>
      </c>
      <c r="E55" s="685" t="s">
        <v>2759</v>
      </c>
      <c r="F55" s="1109" t="s">
        <v>2760</v>
      </c>
      <c r="G55" s="3198" t="s">
        <v>2761</v>
      </c>
      <c r="H55" s="3244"/>
      <c r="I55" s="144" t="s">
        <v>2762</v>
      </c>
      <c r="J55" s="2709">
        <f>项目基本情况!F35</f>
        <v>0</v>
      </c>
      <c r="K55" s="2710" t="s">
        <v>2763</v>
      </c>
      <c r="L55" s="1108"/>
      <c r="M55" s="1146"/>
      <c r="N55" s="1146"/>
      <c r="O55" s="1146"/>
    </row>
    <row r="56" spans="1:15" s="691" customFormat="1">
      <c r="A56" s="687" t="s">
        <v>2764</v>
      </c>
      <c r="B56" s="688" t="e">
        <f>C48</f>
        <v>#DIV/0!</v>
      </c>
      <c r="C56" s="689">
        <v>1</v>
      </c>
      <c r="D56" s="1165">
        <v>1</v>
      </c>
      <c r="E56" s="689">
        <f>'数据-汇总表'!E8+'数据-汇总表'!E9</f>
        <v>4824.4600000000037</v>
      </c>
      <c r="F56" s="1105" t="e">
        <f t="shared" ref="F56:F65" si="15">ROUND(B56*E56/10000,0)</f>
        <v>#DIV/0!</v>
      </c>
      <c r="G56" s="3194"/>
      <c r="H56" s="3183"/>
      <c r="I56" s="1110">
        <v>1</v>
      </c>
      <c r="J56" s="1113">
        <v>1</v>
      </c>
      <c r="K56" s="1147"/>
      <c r="L56" s="943"/>
      <c r="M56" s="943"/>
      <c r="N56" s="943"/>
      <c r="O56" s="943"/>
    </row>
    <row r="57" spans="1:15" s="691" customFormat="1">
      <c r="A57" s="692" t="s">
        <v>2765</v>
      </c>
      <c r="B57" s="262" t="e">
        <f>ROUND($C$48*C57*D57,0)</f>
        <v>#DIV/0!</v>
      </c>
      <c r="C57" s="200">
        <f t="shared" ref="C57:C65" si="16">IF($C$55="北京市系数",I57,J57)</f>
        <v>0.7</v>
      </c>
      <c r="D57" s="1166">
        <v>0.25</v>
      </c>
      <c r="E57" s="693"/>
      <c r="F57" s="1105" t="e">
        <f t="shared" si="15"/>
        <v>#DIV/0!</v>
      </c>
      <c r="G57" s="3245" t="s">
        <v>2766</v>
      </c>
      <c r="H57" s="1106" t="str">
        <f>项目基本情况!B37</f>
        <v>四级</v>
      </c>
      <c r="I57" s="1110">
        <f>SUMIF(修正!A45:A56,H57,修正!B45:B56)</f>
        <v>0.7</v>
      </c>
      <c r="J57" s="1114"/>
      <c r="K57" s="1146"/>
      <c r="L57" s="943"/>
      <c r="M57" s="943"/>
      <c r="N57" s="943"/>
      <c r="O57" s="943"/>
    </row>
    <row r="58" spans="1:15" s="691" customFormat="1">
      <c r="A58" s="692" t="s">
        <v>2767</v>
      </c>
      <c r="B58" s="262" t="e">
        <f t="shared" ref="B58:B65" si="17">ROUND($C$48*C58*D58,0)</f>
        <v>#DIV/0!</v>
      </c>
      <c r="C58" s="200">
        <f t="shared" si="16"/>
        <v>0.4</v>
      </c>
      <c r="D58" s="1166">
        <v>0.25</v>
      </c>
      <c r="E58" s="693"/>
      <c r="F58" s="1105" t="e">
        <f t="shared" si="15"/>
        <v>#DIV/0!</v>
      </c>
      <c r="G58" s="3245"/>
      <c r="H58" s="1106" t="str">
        <f>项目基本情况!B37</f>
        <v>四级</v>
      </c>
      <c r="I58" s="1110">
        <f>SUMIF(修正!A45:A56,H58,修正!C45:C56)</f>
        <v>0.4</v>
      </c>
      <c r="J58" s="1114"/>
      <c r="K58" s="1147"/>
      <c r="L58" s="943"/>
      <c r="M58" s="943"/>
      <c r="N58" s="943"/>
      <c r="O58" s="943"/>
    </row>
    <row r="59" spans="1:15" s="691" customFormat="1">
      <c r="A59" s="692" t="s">
        <v>2768</v>
      </c>
      <c r="B59" s="262" t="e">
        <f t="shared" si="17"/>
        <v>#DIV/0!</v>
      </c>
      <c r="C59" s="200">
        <f t="shared" si="16"/>
        <v>0.28000000000000003</v>
      </c>
      <c r="D59" s="1166">
        <v>0.25</v>
      </c>
      <c r="E59" s="693"/>
      <c r="F59" s="1105" t="e">
        <f t="shared" si="15"/>
        <v>#DIV/0!</v>
      </c>
      <c r="G59" s="3245"/>
      <c r="H59" s="1106" t="str">
        <f>项目基本情况!B37</f>
        <v>四级</v>
      </c>
      <c r="I59" s="1110">
        <f>SUMIF(修正!A45:A56,H59,修正!D45:D56)</f>
        <v>0.28000000000000003</v>
      </c>
      <c r="J59" s="1114"/>
      <c r="K59" s="1146"/>
      <c r="L59" s="943"/>
      <c r="M59" s="943"/>
      <c r="N59" s="943"/>
      <c r="O59" s="943"/>
    </row>
    <row r="60" spans="1:15" s="691" customFormat="1">
      <c r="A60" s="692" t="s">
        <v>2769</v>
      </c>
      <c r="B60" s="262" t="e">
        <f t="shared" si="17"/>
        <v>#DIV/0!</v>
      </c>
      <c r="C60" s="200">
        <f t="shared" si="16"/>
        <v>0.25</v>
      </c>
      <c r="D60" s="1166">
        <v>0.25</v>
      </c>
      <c r="E60" s="693"/>
      <c r="F60" s="1105" t="e">
        <f t="shared" si="15"/>
        <v>#DIV/0!</v>
      </c>
      <c r="G60" s="3245"/>
      <c r="H60" s="1106" t="str">
        <f>项目基本情况!B37</f>
        <v>四级</v>
      </c>
      <c r="I60" s="1110">
        <f>SUMIF(修正!A45:A56,H60,修正!E45:E56)</f>
        <v>0.25</v>
      </c>
      <c r="J60" s="1114"/>
      <c r="K60" s="1147"/>
      <c r="L60" s="943"/>
      <c r="M60" s="943"/>
      <c r="N60" s="943"/>
      <c r="O60" s="943"/>
    </row>
    <row r="61" spans="1:15" s="691" customFormat="1">
      <c r="A61" s="692" t="s">
        <v>2770</v>
      </c>
      <c r="B61" s="262" t="e">
        <f t="shared" si="17"/>
        <v>#DIV/0!</v>
      </c>
      <c r="C61" s="200">
        <f t="shared" si="16"/>
        <v>0</v>
      </c>
      <c r="D61" s="1166">
        <v>0.25</v>
      </c>
      <c r="E61" s="261">
        <f>'数据-汇总表'!E11</f>
        <v>0</v>
      </c>
      <c r="F61" s="1105" t="e">
        <f t="shared" si="15"/>
        <v>#DIV/0!</v>
      </c>
      <c r="G61" s="2711" t="s">
        <v>2771</v>
      </c>
      <c r="H61" s="1106">
        <f>项目基本情况!C37</f>
        <v>0</v>
      </c>
      <c r="I61" s="1110">
        <f>SUMIF(修正!A45:A56,H61,修正!F45:F56)</f>
        <v>0</v>
      </c>
      <c r="J61" s="1114"/>
      <c r="K61" s="1146"/>
      <c r="L61" s="943"/>
      <c r="M61" s="943"/>
      <c r="N61" s="943"/>
      <c r="O61" s="943"/>
    </row>
    <row r="62" spans="1:15" s="691" customFormat="1">
      <c r="A62" s="692" t="s">
        <v>2772</v>
      </c>
      <c r="B62" s="262" t="e">
        <f t="shared" si="17"/>
        <v>#DIV/0!</v>
      </c>
      <c r="C62" s="200">
        <f t="shared" si="16"/>
        <v>0</v>
      </c>
      <c r="D62" s="1166">
        <v>0.25</v>
      </c>
      <c r="E62" s="261">
        <f>'数据-汇总表'!E12</f>
        <v>0</v>
      </c>
      <c r="F62" s="1105" t="e">
        <f t="shared" si="15"/>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2774</v>
      </c>
      <c r="B63" s="262" t="e">
        <f t="shared" si="17"/>
        <v>#DIV/0!</v>
      </c>
      <c r="C63" s="200">
        <f t="shared" si="16"/>
        <v>0</v>
      </c>
      <c r="D63" s="1166">
        <v>0.25</v>
      </c>
      <c r="E63" s="261">
        <f>'数据-汇总表'!E13</f>
        <v>0</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2776</v>
      </c>
      <c r="B64" s="262" t="e">
        <f t="shared" si="17"/>
        <v>#DIV/0!</v>
      </c>
      <c r="C64" s="200">
        <f t="shared" si="16"/>
        <v>0.2</v>
      </c>
      <c r="D64" s="1166">
        <v>0.25</v>
      </c>
      <c r="E64" s="261">
        <f>'数据-汇总表'!E14</f>
        <v>0</v>
      </c>
      <c r="F64" s="1105" t="e">
        <f t="shared" si="15"/>
        <v>#DIV/0!</v>
      </c>
      <c r="G64" s="2711" t="s">
        <v>2766</v>
      </c>
      <c r="H64" s="1106" t="str">
        <f>项目基本情况!B37</f>
        <v>四级</v>
      </c>
      <c r="I64" s="1110">
        <f>SUMIF(修正!A45:A56,H64,修正!H45:H56)</f>
        <v>0.2</v>
      </c>
      <c r="J64" s="1114"/>
      <c r="K64" s="1147"/>
      <c r="L64" s="943"/>
      <c r="M64" s="943"/>
      <c r="N64" s="943"/>
      <c r="O64" s="943"/>
    </row>
    <row r="65" spans="1:17" s="691" customFormat="1" ht="15" thickBot="1">
      <c r="A65" s="692" t="s">
        <v>2777</v>
      </c>
      <c r="B65" s="262" t="e">
        <f t="shared" si="17"/>
        <v>#DIV/0!</v>
      </c>
      <c r="C65" s="200">
        <f t="shared" si="16"/>
        <v>0</v>
      </c>
      <c r="D65" s="1166">
        <v>0.25</v>
      </c>
      <c r="E65" s="261">
        <f>'数据-汇总表'!E15</f>
        <v>0</v>
      </c>
      <c r="F65" s="1105" t="e">
        <f t="shared" si="15"/>
        <v>#DIV/0!</v>
      </c>
      <c r="G65" s="2712" t="s">
        <v>2771</v>
      </c>
      <c r="H65" s="1116">
        <f>项目基本情况!C37</f>
        <v>0</v>
      </c>
      <c r="I65" s="1112">
        <f>SUMIF(修正!A45:A56,H65,修正!H45:H56)</f>
        <v>0</v>
      </c>
      <c r="J65" s="1115"/>
      <c r="K65" s="1146"/>
      <c r="L65" s="943"/>
      <c r="M65" s="943"/>
      <c r="N65" s="943"/>
      <c r="O65" s="943"/>
    </row>
    <row r="66" spans="1:17" s="691" customFormat="1" ht="13.5" thickBot="1">
      <c r="A66" s="694" t="s">
        <v>2778</v>
      </c>
      <c r="B66" s="695" t="s">
        <v>28</v>
      </c>
      <c r="C66" s="695" t="s">
        <v>29</v>
      </c>
      <c r="D66" s="695" t="s">
        <v>1029</v>
      </c>
      <c r="E66" s="695">
        <f>IF(B46="楼面地价",SUM(E56:E65),'数据-汇总表'!D3)</f>
        <v>4824.4600000000037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2671</v>
      </c>
      <c r="B69" s="758"/>
      <c r="C69" s="763"/>
      <c r="D69" s="763"/>
      <c r="E69" s="763"/>
      <c r="F69" s="764"/>
      <c r="G69" s="764"/>
      <c r="H69" s="763"/>
      <c r="I69" s="763"/>
      <c r="J69" s="1161"/>
      <c r="K69" s="1162"/>
      <c r="L69" s="1163"/>
      <c r="M69" s="1161"/>
      <c r="N69" s="1161"/>
      <c r="O69" s="1161"/>
      <c r="P69" s="502"/>
      <c r="Q69" s="503"/>
    </row>
    <row r="70" spans="1:17" s="507" customFormat="1" ht="15">
      <c r="A70" s="2713" t="s">
        <v>2779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4" t="s">
        <v>2780</v>
      </c>
      <c r="B71" s="332" t="str">
        <f>"北京市平均增长率"&amp;TEXT(SUMIF(基准地价修正!N21:N25,A71,基准地价修正!P21:P25),"0.00%")</f>
        <v>北京市平均增长率2.37%</v>
      </c>
      <c r="C71" s="602">
        <v>100</v>
      </c>
      <c r="D71" s="594"/>
      <c r="E71" s="594"/>
      <c r="F71" s="594"/>
      <c r="G71" s="594"/>
      <c r="H71" s="594"/>
      <c r="I71" s="594"/>
      <c r="J71" s="594"/>
      <c r="K71" s="594"/>
      <c r="L71" s="594"/>
      <c r="M71" s="1569"/>
      <c r="N71" s="594"/>
      <c r="O71" s="1570"/>
      <c r="P71" s="503"/>
    </row>
    <row r="72" spans="1:17" s="117" customFormat="1" ht="15.75" thickBot="1">
      <c r="A72" s="514" t="s">
        <v>2582</v>
      </c>
      <c r="B72" s="515"/>
      <c r="C72" s="516"/>
      <c r="D72" s="517"/>
      <c r="E72" s="517"/>
      <c r="F72" s="517"/>
      <c r="G72" s="517"/>
      <c r="H72" s="517"/>
      <c r="I72" s="517"/>
      <c r="J72" s="517"/>
      <c r="K72" s="517"/>
      <c r="L72" s="517"/>
      <c r="M72" s="518"/>
      <c r="N72" s="517"/>
      <c r="O72" s="1164"/>
      <c r="P72" s="503"/>
      <c r="Q72" s="503"/>
    </row>
    <row r="73" spans="1:17" s="117" customFormat="1" ht="15">
      <c r="A73" s="520" t="s">
        <v>2547</v>
      </c>
      <c r="B73" s="509"/>
      <c r="C73" s="521" t="s">
        <v>2649</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2585</v>
      </c>
      <c r="B75" s="527" t="s">
        <v>2551</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2782</v>
      </c>
      <c r="C96" s="577" t="s">
        <v>2594</v>
      </c>
      <c r="D96" s="577" t="s">
        <v>2595</v>
      </c>
      <c r="E96" s="577" t="s">
        <v>2596</v>
      </c>
      <c r="F96" s="577" t="s">
        <v>2597</v>
      </c>
      <c r="G96" s="577" t="s">
        <v>2598</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2783</v>
      </c>
      <c r="C98" s="572" t="s">
        <v>2594</v>
      </c>
      <c r="D98" s="572" t="s">
        <v>2595</v>
      </c>
      <c r="E98" s="572" t="s">
        <v>2596</v>
      </c>
      <c r="F98" s="572" t="s">
        <v>2597</v>
      </c>
      <c r="G98" s="572" t="s">
        <v>2598</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2560</v>
      </c>
      <c r="B116" s="527" t="s">
        <v>2788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2789</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2790</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2791</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2792</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T35" sqref="T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2326</v>
      </c>
      <c r="B3" s="608"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198" t="s">
        <v>2643</v>
      </c>
      <c r="D4" s="3199"/>
      <c r="E4" s="3200" t="s">
        <v>2644</v>
      </c>
      <c r="F4" s="3201"/>
      <c r="G4" s="3198" t="s">
        <v>2645</v>
      </c>
      <c r="H4" s="3199"/>
      <c r="I4" s="3198" t="s">
        <v>2646</v>
      </c>
      <c r="J4" s="3199"/>
      <c r="K4" s="609" t="s">
        <v>2647</v>
      </c>
      <c r="L4" s="1132"/>
      <c r="M4" s="1133"/>
      <c r="N4" s="1133"/>
      <c r="O4" s="1133"/>
      <c r="P4" s="3202" t="s">
        <v>2648</v>
      </c>
      <c r="Q4" s="3203"/>
      <c r="R4" s="3208" t="s">
        <v>2644</v>
      </c>
      <c r="S4" s="3209"/>
      <c r="T4" s="3208" t="s">
        <v>2645</v>
      </c>
      <c r="U4" s="3209"/>
      <c r="V4" s="3214" t="s">
        <v>2646</v>
      </c>
      <c r="W4" s="3214"/>
      <c r="X4" s="1815"/>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09"/>
      <c r="L5" s="1132"/>
      <c r="M5" s="1133"/>
      <c r="N5" s="1133"/>
      <c r="O5" s="1133"/>
      <c r="P5" s="3204"/>
      <c r="Q5" s="3205"/>
      <c r="R5" s="3210"/>
      <c r="S5" s="3211"/>
      <c r="T5" s="3210"/>
      <c r="U5" s="3211"/>
      <c r="V5" s="3214"/>
      <c r="W5" s="3214"/>
      <c r="X5" s="1815"/>
      <c r="Y5" s="3210"/>
      <c r="Z5" s="3211"/>
      <c r="AA5" s="3196"/>
      <c r="AB5" s="3196"/>
      <c r="AC5" s="3196"/>
    </row>
    <row r="6" spans="1:29" ht="15.75" thickBot="1">
      <c r="A6" s="406"/>
      <c r="B6" s="407"/>
      <c r="C6" s="3246" t="s">
        <v>2794</v>
      </c>
      <c r="D6" s="3247"/>
      <c r="E6" s="3248" t="s">
        <v>2794</v>
      </c>
      <c r="F6" s="3249"/>
      <c r="G6" s="3246" t="s">
        <v>2794</v>
      </c>
      <c r="H6" s="3247"/>
      <c r="I6" s="3246" t="s">
        <v>2794</v>
      </c>
      <c r="J6" s="3247"/>
      <c r="K6" s="609" t="s">
        <v>2544</v>
      </c>
      <c r="L6" s="1132"/>
      <c r="M6" s="1133"/>
      <c r="N6" s="1133"/>
      <c r="O6" s="1133"/>
      <c r="P6" s="3206"/>
      <c r="Q6" s="3207"/>
      <c r="R6" s="3210"/>
      <c r="S6" s="3211"/>
      <c r="T6" s="3212"/>
      <c r="U6" s="3213"/>
      <c r="V6" s="3214"/>
      <c r="W6" s="3214"/>
      <c r="X6" s="1815"/>
      <c r="Y6" s="3212"/>
      <c r="Z6" s="3213"/>
      <c r="AA6" s="3197"/>
      <c r="AB6" s="3197"/>
      <c r="AC6" s="3197"/>
    </row>
    <row r="7" spans="1:29" s="117" customFormat="1" ht="15.75" thickBot="1">
      <c r="A7" s="408" t="s">
        <v>2545</v>
      </c>
      <c r="B7" s="409"/>
      <c r="C7" s="410">
        <f>'数据-取费表'!B2</f>
        <v>43286</v>
      </c>
      <c r="D7" s="411">
        <v>100</v>
      </c>
      <c r="E7" s="412"/>
      <c r="F7" s="413">
        <f>SUMIF(65:65,YEAR(E7)&amp;"-"&amp;INT((MONTH(E7)+2)/3),66:66)</f>
        <v>0</v>
      </c>
      <c r="G7" s="2698"/>
      <c r="H7" s="411">
        <f>SUMIF(65:65,YEAR(G7)&amp;"-"&amp;INT((MONTH(G7)+2)/3),66:66)</f>
        <v>0</v>
      </c>
      <c r="I7" s="2698"/>
      <c r="J7" s="411">
        <f>SUMIF(65:65,YEAR(I7)&amp;"-"&amp;INT((MONTH(I7)+2)/3),66:66)</f>
        <v>0</v>
      </c>
      <c r="K7" s="610"/>
      <c r="L7" s="1134"/>
      <c r="M7" s="1135"/>
      <c r="N7" s="1135"/>
      <c r="O7" s="1135"/>
      <c r="P7" s="3219" t="s">
        <v>2546</v>
      </c>
      <c r="Q7" s="3221"/>
      <c r="R7" s="769" t="s">
        <v>17</v>
      </c>
      <c r="S7" s="770">
        <f t="shared" ref="S7:S15" si="0">F7</f>
        <v>0</v>
      </c>
      <c r="T7" s="769" t="s">
        <v>17</v>
      </c>
      <c r="U7" s="770">
        <f t="shared" ref="U7:U15" si="1">H7</f>
        <v>0</v>
      </c>
      <c r="V7" s="769" t="s">
        <v>17</v>
      </c>
      <c r="W7" s="770">
        <f t="shared" ref="W7:W15" si="2">J7</f>
        <v>0</v>
      </c>
      <c r="X7" s="771"/>
      <c r="Y7" s="3219" t="s">
        <v>2546</v>
      </c>
      <c r="Z7" s="3220"/>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219" t="s">
        <v>2549</v>
      </c>
      <c r="Q8" s="3220"/>
      <c r="R8" s="769" t="s">
        <v>17</v>
      </c>
      <c r="S8" s="770">
        <f t="shared" si="0"/>
        <v>0</v>
      </c>
      <c r="T8" s="769" t="s">
        <v>17</v>
      </c>
      <c r="U8" s="770">
        <f t="shared" si="1"/>
        <v>0</v>
      </c>
      <c r="V8" s="769" t="s">
        <v>17</v>
      </c>
      <c r="W8" s="770">
        <f t="shared" si="2"/>
        <v>0</v>
      </c>
      <c r="X8" s="771"/>
      <c r="Y8" s="3219" t="s">
        <v>2549</v>
      </c>
      <c r="Z8" s="3220"/>
      <c r="AA8" s="772" t="e">
        <f t="shared" ref="AA8:AA40" si="3">D8/F8</f>
        <v>#DIV/0!</v>
      </c>
      <c r="AB8" s="772" t="e">
        <f t="shared" ref="AB8:AB40" si="4">D8/H8</f>
        <v>#DIV/0!</v>
      </c>
      <c r="AC8" s="772"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0"/>
      <c r="L9" s="1134"/>
      <c r="M9" s="1135"/>
      <c r="N9" s="1135"/>
      <c r="O9" s="1136"/>
      <c r="P9" s="3183" t="s">
        <v>2552</v>
      </c>
      <c r="Q9" s="1797" t="str">
        <f t="shared" ref="Q9:Q15" si="6">B9</f>
        <v>用途</v>
      </c>
      <c r="R9" s="769" t="s">
        <v>17</v>
      </c>
      <c r="S9" s="770">
        <f t="shared" si="0"/>
        <v>100</v>
      </c>
      <c r="T9" s="769" t="s">
        <v>17</v>
      </c>
      <c r="U9" s="770">
        <f t="shared" si="1"/>
        <v>100</v>
      </c>
      <c r="V9" s="769" t="s">
        <v>17</v>
      </c>
      <c r="W9" s="770">
        <f t="shared" si="2"/>
        <v>100</v>
      </c>
      <c r="X9" s="771"/>
      <c r="Y9" s="3008" t="s">
        <v>2553</v>
      </c>
      <c r="Z9" s="55" t="str">
        <f t="shared" ref="Z9:Z15" si="7">Q9</f>
        <v>用途</v>
      </c>
      <c r="AA9" s="772">
        <f t="shared" si="3"/>
        <v>1</v>
      </c>
      <c r="AB9" s="772">
        <f t="shared" si="4"/>
        <v>1</v>
      </c>
      <c r="AC9" s="772">
        <f t="shared" si="5"/>
        <v>1</v>
      </c>
    </row>
    <row r="10" spans="1:29" s="426" customFormat="1" ht="27">
      <c r="A10" s="420"/>
      <c r="B10" s="421" t="s">
        <v>2554</v>
      </c>
      <c r="C10" s="431"/>
      <c r="D10" s="136">
        <v>100</v>
      </c>
      <c r="E10" s="431"/>
      <c r="F10" s="136">
        <f>ROUND(100/'数据-取费表'!G16,0)</f>
        <v>120</v>
      </c>
      <c r="G10" s="431"/>
      <c r="H10" s="136">
        <f>ROUND(100/'数据-取费表'!G16,0)</f>
        <v>120</v>
      </c>
      <c r="I10" s="431"/>
      <c r="J10" s="136">
        <f>ROUND(100/'数据-取费表'!G16,0)</f>
        <v>120</v>
      </c>
      <c r="K10" s="671"/>
      <c r="L10" s="1137"/>
      <c r="M10" s="1138"/>
      <c r="N10" s="1138"/>
      <c r="O10" s="1139"/>
      <c r="P10" s="3183"/>
      <c r="Q10" s="1797" t="str">
        <f t="shared" si="6"/>
        <v>土地使用年限（年）</v>
      </c>
      <c r="R10" s="769" t="s">
        <v>17</v>
      </c>
      <c r="S10" s="770">
        <f t="shared" si="0"/>
        <v>120</v>
      </c>
      <c r="T10" s="769" t="s">
        <v>17</v>
      </c>
      <c r="U10" s="770">
        <f t="shared" si="1"/>
        <v>120</v>
      </c>
      <c r="V10" s="769" t="s">
        <v>17</v>
      </c>
      <c r="W10" s="770">
        <f t="shared" si="2"/>
        <v>120</v>
      </c>
      <c r="X10" s="771"/>
      <c r="Y10" s="3008"/>
      <c r="Z10" s="55" t="str">
        <f t="shared" si="7"/>
        <v>土地使用年限（年）</v>
      </c>
      <c r="AA10" s="772">
        <f t="shared" si="3"/>
        <v>0.83333333333333337</v>
      </c>
      <c r="AB10" s="772">
        <f t="shared" si="4"/>
        <v>0.83333333333333337</v>
      </c>
      <c r="AC10" s="772">
        <f t="shared" si="5"/>
        <v>0.83333333333333337</v>
      </c>
    </row>
    <row r="11" spans="1:29" ht="15">
      <c r="A11" s="427"/>
      <c r="B11" s="421" t="s">
        <v>2555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83"/>
      <c r="Q11" s="1797"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83"/>
      <c r="Q12" s="1797">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83"/>
      <c r="Q13" s="1797">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3"/>
      <c r="Q14" s="1797">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2556</v>
      </c>
      <c r="B15" s="628" t="s">
        <v>2795</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5" t="s">
        <v>2557</v>
      </c>
      <c r="Q15" s="1812" t="str">
        <f t="shared" si="6"/>
        <v>产业集聚程度</v>
      </c>
      <c r="R15" s="773" t="s">
        <v>17</v>
      </c>
      <c r="S15" s="774">
        <f t="shared" si="0"/>
        <v>100</v>
      </c>
      <c r="T15" s="773" t="s">
        <v>17</v>
      </c>
      <c r="U15" s="774">
        <f t="shared" si="1"/>
        <v>100</v>
      </c>
      <c r="V15" s="773" t="s">
        <v>17</v>
      </c>
      <c r="W15" s="774">
        <f t="shared" si="2"/>
        <v>100</v>
      </c>
      <c r="X15" s="1815"/>
      <c r="Y15" s="3185" t="s">
        <v>2557</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186"/>
      <c r="Q16" s="1812"/>
      <c r="R16" s="773"/>
      <c r="S16" s="774"/>
      <c r="T16" s="773"/>
      <c r="U16" s="774"/>
      <c r="V16" s="773"/>
      <c r="W16" s="774"/>
      <c r="X16" s="1815"/>
      <c r="Y16" s="3186"/>
      <c r="Z16" s="1816"/>
      <c r="AA16" s="1813">
        <v>1</v>
      </c>
      <c r="AB16" s="1813">
        <v>1</v>
      </c>
      <c r="AC16" s="1813">
        <v>1</v>
      </c>
    </row>
    <row r="17" spans="1:29" ht="85.5">
      <c r="A17" s="427"/>
      <c r="B17" s="630" t="s">
        <v>2706</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6"/>
      <c r="Q17" s="1812" t="str">
        <f>B17</f>
        <v>交通便捷度</v>
      </c>
      <c r="R17" s="773" t="s">
        <v>17</v>
      </c>
      <c r="S17" s="774">
        <f>F17</f>
        <v>100</v>
      </c>
      <c r="T17" s="773" t="s">
        <v>17</v>
      </c>
      <c r="U17" s="774">
        <f>H17</f>
        <v>100</v>
      </c>
      <c r="V17" s="773" t="s">
        <v>17</v>
      </c>
      <c r="W17" s="774">
        <f>J17</f>
        <v>100</v>
      </c>
      <c r="X17" s="1815"/>
      <c r="Y17" s="3186"/>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186"/>
      <c r="Q18" s="1812"/>
      <c r="R18" s="773"/>
      <c r="S18" s="774"/>
      <c r="T18" s="773"/>
      <c r="U18" s="774"/>
      <c r="V18" s="773"/>
      <c r="W18" s="774"/>
      <c r="X18" s="1815"/>
      <c r="Y18" s="3186"/>
      <c r="Z18" s="1816"/>
      <c r="AA18" s="1813">
        <v>1</v>
      </c>
      <c r="AB18" s="1813">
        <v>1</v>
      </c>
      <c r="AC18" s="1813">
        <v>1</v>
      </c>
    </row>
    <row r="19" spans="1:29" ht="15">
      <c r="A19" s="427"/>
      <c r="B19" s="630" t="s">
        <v>2745</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6"/>
      <c r="Q19" s="1812" t="str">
        <f t="shared" ref="Q19:Q33" si="8">B19</f>
        <v>区域土地利用方向</v>
      </c>
      <c r="R19" s="773" t="s">
        <v>17</v>
      </c>
      <c r="S19" s="774">
        <f>F19</f>
        <v>100</v>
      </c>
      <c r="T19" s="773" t="s">
        <v>17</v>
      </c>
      <c r="U19" s="774">
        <f>H19</f>
        <v>100</v>
      </c>
      <c r="V19" s="773" t="s">
        <v>17</v>
      </c>
      <c r="W19" s="774">
        <f>J19</f>
        <v>100</v>
      </c>
      <c r="X19" s="1815"/>
      <c r="Y19" s="3186"/>
      <c r="Z19" s="1816" t="str">
        <f>Q19</f>
        <v>区域土地利用方向</v>
      </c>
      <c r="AA19" s="1813">
        <f t="shared" si="3"/>
        <v>1</v>
      </c>
      <c r="AB19" s="1813">
        <f t="shared" si="4"/>
        <v>1</v>
      </c>
      <c r="AC19" s="1813">
        <f t="shared" si="5"/>
        <v>1</v>
      </c>
    </row>
    <row r="20" spans="1:29" ht="15">
      <c r="A20" s="404"/>
      <c r="B20" s="631"/>
      <c r="C20" s="446"/>
      <c r="D20" s="447"/>
      <c r="E20" s="2607"/>
      <c r="F20" s="447"/>
      <c r="G20" s="2607"/>
      <c r="H20" s="447"/>
      <c r="I20" s="2607"/>
      <c r="J20" s="447"/>
      <c r="K20" s="811"/>
      <c r="L20" s="1142"/>
      <c r="M20" s="1133"/>
      <c r="N20" s="1133"/>
      <c r="O20" s="1141"/>
      <c r="P20" s="3186"/>
      <c r="Q20" s="1812"/>
      <c r="R20" s="773"/>
      <c r="S20" s="774"/>
      <c r="T20" s="773"/>
      <c r="U20" s="774"/>
      <c r="V20" s="773"/>
      <c r="W20" s="774"/>
      <c r="X20" s="1815"/>
      <c r="Y20" s="3186"/>
      <c r="Z20" s="1816"/>
      <c r="AA20" s="1813"/>
      <c r="AB20" s="1813"/>
      <c r="AC20" s="1813"/>
    </row>
    <row r="21" spans="1:29" ht="71.25">
      <c r="A21" s="404"/>
      <c r="B21" s="630" t="s">
        <v>2796</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6"/>
      <c r="Q21" s="1812" t="str">
        <f t="shared" si="8"/>
        <v>环境状况</v>
      </c>
      <c r="R21" s="773" t="s">
        <v>17</v>
      </c>
      <c r="S21" s="774">
        <f>F21</f>
        <v>100</v>
      </c>
      <c r="T21" s="773" t="s">
        <v>17</v>
      </c>
      <c r="U21" s="774">
        <f>H21</f>
        <v>100</v>
      </c>
      <c r="V21" s="773" t="s">
        <v>17</v>
      </c>
      <c r="W21" s="774">
        <f>J21</f>
        <v>100</v>
      </c>
      <c r="X21" s="1815"/>
      <c r="Y21" s="3186"/>
      <c r="Z21" s="1816" t="str">
        <f>Q21</f>
        <v>环境状况</v>
      </c>
      <c r="AA21" s="1813">
        <f t="shared" si="3"/>
        <v>1</v>
      </c>
      <c r="AB21" s="1813">
        <f t="shared" si="4"/>
        <v>1</v>
      </c>
      <c r="AC21" s="1813">
        <f t="shared" si="5"/>
        <v>1</v>
      </c>
    </row>
    <row r="22" spans="1:29" ht="15">
      <c r="A22" s="404"/>
      <c r="B22" s="631"/>
      <c r="C22" s="446"/>
      <c r="D22" s="447"/>
      <c r="E22" s="2613"/>
      <c r="F22" s="447"/>
      <c r="G22" s="2613"/>
      <c r="H22" s="447"/>
      <c r="I22" s="446"/>
      <c r="J22" s="447"/>
      <c r="K22" s="671"/>
      <c r="L22" s="1142"/>
      <c r="M22" s="1133"/>
      <c r="N22" s="1133"/>
      <c r="O22" s="1141"/>
      <c r="P22" s="3186"/>
      <c r="Q22" s="1812"/>
      <c r="R22" s="773"/>
      <c r="S22" s="774"/>
      <c r="T22" s="773"/>
      <c r="U22" s="774"/>
      <c r="V22" s="773"/>
      <c r="W22" s="774"/>
      <c r="X22" s="1815"/>
      <c r="Y22" s="3186"/>
      <c r="Z22" s="1816"/>
      <c r="AA22" s="1813">
        <v>1</v>
      </c>
      <c r="AB22" s="1813">
        <v>1</v>
      </c>
      <c r="AC22" s="1813">
        <v>1</v>
      </c>
    </row>
    <row r="23" spans="1:29" s="117" customFormat="1" ht="42.75">
      <c r="A23" s="648"/>
      <c r="B23" s="632" t="s">
        <v>2651</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6"/>
      <c r="Q23" s="1797" t="str">
        <f t="shared" si="8"/>
        <v>公共配套设施</v>
      </c>
      <c r="R23" s="769" t="s">
        <v>17</v>
      </c>
      <c r="S23" s="770">
        <f>F23</f>
        <v>100</v>
      </c>
      <c r="T23" s="769" t="s">
        <v>17</v>
      </c>
      <c r="U23" s="770">
        <f>H23</f>
        <v>100</v>
      </c>
      <c r="V23" s="769" t="s">
        <v>17</v>
      </c>
      <c r="W23" s="770">
        <f>J23</f>
        <v>100</v>
      </c>
      <c r="X23" s="771"/>
      <c r="Y23" s="3186"/>
      <c r="Z23" s="55" t="str">
        <f>Q23</f>
        <v>公共配套设施</v>
      </c>
      <c r="AA23" s="1813">
        <f>D23/F23</f>
        <v>1</v>
      </c>
      <c r="AB23" s="1813">
        <f>D23/H23</f>
        <v>1</v>
      </c>
      <c r="AC23" s="1813">
        <f>D23/J23</f>
        <v>1</v>
      </c>
    </row>
    <row r="24" spans="1:29" s="117" customFormat="1" ht="15">
      <c r="A24" s="648"/>
      <c r="B24" s="631"/>
      <c r="C24" s="2702"/>
      <c r="D24" s="447"/>
      <c r="E24" s="2613"/>
      <c r="F24" s="447"/>
      <c r="G24" s="2613"/>
      <c r="H24" s="447"/>
      <c r="I24" s="446"/>
      <c r="J24" s="447"/>
      <c r="K24" s="671"/>
      <c r="L24" s="1134"/>
      <c r="M24" s="1135"/>
      <c r="N24" s="1135"/>
      <c r="O24" s="1136"/>
      <c r="P24" s="3186"/>
      <c r="Q24" s="1797"/>
      <c r="R24" s="769"/>
      <c r="S24" s="770"/>
      <c r="T24" s="769"/>
      <c r="U24" s="770"/>
      <c r="V24" s="769"/>
      <c r="W24" s="770"/>
      <c r="X24" s="771"/>
      <c r="Y24" s="3186"/>
      <c r="Z24" s="55"/>
      <c r="AA24" s="772">
        <v>1</v>
      </c>
      <c r="AB24" s="772">
        <v>1</v>
      </c>
      <c r="AC24" s="772">
        <v>1</v>
      </c>
    </row>
    <row r="25" spans="1:29" s="117" customFormat="1" ht="28.5">
      <c r="A25" s="648"/>
      <c r="B25" s="632" t="s">
        <v>2652</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6"/>
      <c r="Q25" s="1797"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3">
        <f>D25/F25</f>
        <v>1</v>
      </c>
      <c r="AB25" s="1813">
        <f>D25/H25</f>
        <v>1</v>
      </c>
      <c r="AC25" s="1813">
        <f>D25/J25</f>
        <v>1</v>
      </c>
    </row>
    <row r="26" spans="1:29" s="117" customFormat="1" ht="15">
      <c r="A26" s="648"/>
      <c r="B26" s="631"/>
      <c r="C26" s="2702"/>
      <c r="D26" s="447"/>
      <c r="E26" s="2703"/>
      <c r="F26" s="447"/>
      <c r="G26" s="2703"/>
      <c r="H26" s="447"/>
      <c r="I26" s="2703"/>
      <c r="J26" s="447"/>
      <c r="K26" s="671"/>
      <c r="L26" s="1134"/>
      <c r="M26" s="1135"/>
      <c r="N26" s="1135"/>
      <c r="O26" s="1136"/>
      <c r="P26" s="3186"/>
      <c r="Q26" s="1797"/>
      <c r="R26" s="769"/>
      <c r="S26" s="770"/>
      <c r="T26" s="769"/>
      <c r="U26" s="770"/>
      <c r="V26" s="769"/>
      <c r="W26" s="770"/>
      <c r="X26" s="771"/>
      <c r="Y26" s="3186"/>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6"/>
      <c r="Z27" s="1816" t="str">
        <f t="shared" ref="Z27:Z40" si="13">Q27</f>
        <v>临街状况</v>
      </c>
      <c r="AA27" s="1813">
        <f t="shared" si="3"/>
        <v>1</v>
      </c>
      <c r="AB27" s="1813">
        <f t="shared" si="4"/>
        <v>1</v>
      </c>
      <c r="AC27" s="1813">
        <f t="shared" si="5"/>
        <v>1</v>
      </c>
    </row>
    <row r="28" spans="1:29" ht="27">
      <c r="A28" s="427"/>
      <c r="B28" s="632" t="s">
        <v>2688</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6"/>
      <c r="Q28" s="1812" t="str">
        <f t="shared" si="8"/>
        <v>毗邻道路的类型与等级</v>
      </c>
      <c r="R28" s="773" t="s">
        <v>17</v>
      </c>
      <c r="S28" s="774">
        <f t="shared" si="10"/>
        <v>100</v>
      </c>
      <c r="T28" s="773" t="s">
        <v>17</v>
      </c>
      <c r="U28" s="774">
        <f t="shared" si="11"/>
        <v>100</v>
      </c>
      <c r="V28" s="773" t="s">
        <v>17</v>
      </c>
      <c r="W28" s="774">
        <f t="shared" si="12"/>
        <v>100</v>
      </c>
      <c r="X28" s="1815"/>
      <c r="Y28" s="3186"/>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186"/>
      <c r="Q29" s="1812"/>
      <c r="R29" s="773"/>
      <c r="S29" s="774"/>
      <c r="T29" s="773"/>
      <c r="U29" s="774"/>
      <c r="V29" s="773"/>
      <c r="W29" s="774"/>
      <c r="X29" s="1815"/>
      <c r="Y29" s="3186"/>
      <c r="Z29" s="1816"/>
      <c r="AA29" s="1813">
        <v>1</v>
      </c>
      <c r="AB29" s="1813">
        <v>1</v>
      </c>
      <c r="AC29" s="1813">
        <v>1</v>
      </c>
    </row>
    <row r="30" spans="1:29" ht="15">
      <c r="A30" s="427"/>
      <c r="B30" s="653" t="s">
        <v>2747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6"/>
      <c r="Q30" s="1812" t="str">
        <f t="shared" si="8"/>
        <v>土地级别</v>
      </c>
      <c r="R30" s="773" t="s">
        <v>17</v>
      </c>
      <c r="S30" s="774">
        <f t="shared" si="10"/>
        <v>100</v>
      </c>
      <c r="T30" s="773" t="s">
        <v>17</v>
      </c>
      <c r="U30" s="774">
        <f t="shared" si="11"/>
        <v>100</v>
      </c>
      <c r="V30" s="773" t="s">
        <v>17</v>
      </c>
      <c r="W30" s="774">
        <f t="shared" si="12"/>
        <v>100</v>
      </c>
      <c r="X30" s="1815"/>
      <c r="Y30" s="3186"/>
      <c r="Z30" s="1816" t="str">
        <f t="shared" si="13"/>
        <v>土地级别</v>
      </c>
      <c r="AA30" s="1813">
        <f t="shared" si="3"/>
        <v>1</v>
      </c>
      <c r="AB30" s="1813">
        <f t="shared" si="4"/>
        <v>1</v>
      </c>
      <c r="AC30" s="1813">
        <f t="shared" si="5"/>
        <v>1</v>
      </c>
    </row>
    <row r="31" spans="1:29" ht="15">
      <c r="A31" s="404"/>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6"/>
      <c r="Q31" s="1812">
        <f t="shared" si="8"/>
        <v>111</v>
      </c>
      <c r="R31" s="773" t="s">
        <v>17</v>
      </c>
      <c r="S31" s="774">
        <f t="shared" si="10"/>
        <v>100</v>
      </c>
      <c r="T31" s="773" t="s">
        <v>17</v>
      </c>
      <c r="U31" s="774">
        <f t="shared" si="11"/>
        <v>100</v>
      </c>
      <c r="V31" s="773" t="s">
        <v>17</v>
      </c>
      <c r="W31" s="774">
        <f t="shared" si="12"/>
        <v>100</v>
      </c>
      <c r="X31" s="1815"/>
      <c r="Y31" s="3186"/>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1" t="s">
        <v>2562</v>
      </c>
      <c r="Q32" s="1812">
        <f t="shared" si="8"/>
        <v>111</v>
      </c>
      <c r="R32" s="773" t="s">
        <v>17</v>
      </c>
      <c r="S32" s="774">
        <f t="shared" si="10"/>
        <v>100</v>
      </c>
      <c r="T32" s="773" t="s">
        <v>17</v>
      </c>
      <c r="U32" s="774">
        <f t="shared" si="11"/>
        <v>100</v>
      </c>
      <c r="V32" s="773" t="s">
        <v>17</v>
      </c>
      <c r="W32" s="774">
        <f t="shared" si="12"/>
        <v>100</v>
      </c>
      <c r="X32" s="1815"/>
      <c r="Y32" s="3190" t="s">
        <v>2562</v>
      </c>
      <c r="Z32" s="1816">
        <f t="shared" si="13"/>
        <v>111</v>
      </c>
      <c r="AA32" s="1813">
        <f t="shared" si="3"/>
        <v>1</v>
      </c>
      <c r="AB32" s="1813">
        <f t="shared" si="4"/>
        <v>1</v>
      </c>
      <c r="AC32" s="1813">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0"/>
      <c r="Q33" s="1812">
        <f t="shared" si="8"/>
        <v>111</v>
      </c>
      <c r="R33" s="776" t="s">
        <v>17</v>
      </c>
      <c r="S33" s="777">
        <f t="shared" si="10"/>
        <v>100</v>
      </c>
      <c r="T33" s="776" t="s">
        <v>17</v>
      </c>
      <c r="U33" s="777">
        <f t="shared" si="11"/>
        <v>100</v>
      </c>
      <c r="V33" s="776" t="s">
        <v>17</v>
      </c>
      <c r="W33" s="777">
        <f t="shared" si="12"/>
        <v>100</v>
      </c>
      <c r="X33" s="778"/>
      <c r="Y33" s="3190"/>
      <c r="Z33" s="779">
        <f t="shared" si="13"/>
        <v>111</v>
      </c>
      <c r="AA33" s="1813">
        <f t="shared" si="3"/>
        <v>1</v>
      </c>
      <c r="AB33" s="1813">
        <f t="shared" si="4"/>
        <v>1</v>
      </c>
      <c r="AC33" s="1813">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0"/>
      <c r="Q34" s="1812" t="str">
        <f>B34</f>
        <v>宗地面积</v>
      </c>
      <c r="R34" s="773" t="s">
        <v>17</v>
      </c>
      <c r="S34" s="774" t="e">
        <f t="shared" si="10"/>
        <v>#N/A</v>
      </c>
      <c r="T34" s="773" t="s">
        <v>17</v>
      </c>
      <c r="U34" s="774" t="e">
        <f t="shared" si="11"/>
        <v>#N/A</v>
      </c>
      <c r="V34" s="773" t="s">
        <v>17</v>
      </c>
      <c r="W34" s="774" t="e">
        <f t="shared" si="12"/>
        <v>#N/A</v>
      </c>
      <c r="X34" s="1815"/>
      <c r="Y34" s="3190"/>
      <c r="Z34" s="1816" t="str">
        <f t="shared" si="13"/>
        <v>宗地面积</v>
      </c>
      <c r="AA34" s="1813" t="e">
        <f t="shared" si="3"/>
        <v>#N/A</v>
      </c>
      <c r="AB34" s="1813" t="e">
        <f t="shared" si="4"/>
        <v>#N/A</v>
      </c>
      <c r="AC34" s="1813" t="e">
        <f t="shared" si="5"/>
        <v>#N/A</v>
      </c>
    </row>
    <row r="35" spans="1:29" ht="15">
      <c r="A35" s="471"/>
      <c r="B35" s="421" t="s">
        <v>2749</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190"/>
      <c r="Q35" s="1812" t="str">
        <f t="shared" ref="Q35:Q40" si="14">B35</f>
        <v>宗地形状</v>
      </c>
      <c r="R35" s="773" t="s">
        <v>17</v>
      </c>
      <c r="S35" s="774">
        <f t="shared" si="10"/>
        <v>100</v>
      </c>
      <c r="T35" s="773" t="s">
        <v>17</v>
      </c>
      <c r="U35" s="774">
        <f t="shared" si="11"/>
        <v>100</v>
      </c>
      <c r="V35" s="773" t="s">
        <v>17</v>
      </c>
      <c r="W35" s="774">
        <f t="shared" si="12"/>
        <v>100</v>
      </c>
      <c r="X35" s="1815"/>
      <c r="Y35" s="3190"/>
      <c r="Z35" s="1816" t="str">
        <f t="shared" si="13"/>
        <v>宗地形状</v>
      </c>
      <c r="AA35" s="1813">
        <f t="shared" si="3"/>
        <v>1</v>
      </c>
      <c r="AB35" s="1813">
        <f t="shared" si="4"/>
        <v>1</v>
      </c>
      <c r="AC35" s="1813">
        <f t="shared" si="5"/>
        <v>1</v>
      </c>
    </row>
    <row r="36" spans="1:29" s="117" customFormat="1" ht="15">
      <c r="A36" s="472"/>
      <c r="B36" s="421" t="s">
        <v>2751</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190"/>
      <c r="Q36" s="1812"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1"/>
      <c r="B37" s="421" t="s">
        <v>2752</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190" t="s">
        <v>2562</v>
      </c>
      <c r="Q37" s="1812" t="str">
        <f t="shared" si="14"/>
        <v>工程地质条件</v>
      </c>
      <c r="R37" s="773" t="s">
        <v>17</v>
      </c>
      <c r="S37" s="774">
        <f t="shared" si="10"/>
        <v>100</v>
      </c>
      <c r="T37" s="773" t="s">
        <v>17</v>
      </c>
      <c r="U37" s="774">
        <f t="shared" si="11"/>
        <v>100</v>
      </c>
      <c r="V37" s="773" t="s">
        <v>17</v>
      </c>
      <c r="W37" s="774">
        <f t="shared" si="12"/>
        <v>100</v>
      </c>
      <c r="X37" s="1815"/>
      <c r="Y37" s="3190" t="s">
        <v>2562</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0"/>
      <c r="Q38" s="1812">
        <f t="shared" si="14"/>
        <v>111</v>
      </c>
      <c r="R38" s="773" t="s">
        <v>17</v>
      </c>
      <c r="S38" s="774">
        <f t="shared" si="10"/>
        <v>100</v>
      </c>
      <c r="T38" s="773" t="s">
        <v>17</v>
      </c>
      <c r="U38" s="774">
        <f t="shared" si="11"/>
        <v>100</v>
      </c>
      <c r="V38" s="773" t="s">
        <v>17</v>
      </c>
      <c r="W38" s="774">
        <f t="shared" si="12"/>
        <v>100</v>
      </c>
      <c r="X38" s="1815"/>
      <c r="Y38" s="319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0"/>
      <c r="Q39" s="1812">
        <f t="shared" si="14"/>
        <v>111</v>
      </c>
      <c r="R39" s="773" t="s">
        <v>17</v>
      </c>
      <c r="S39" s="774">
        <f t="shared" si="10"/>
        <v>100</v>
      </c>
      <c r="T39" s="773" t="s">
        <v>17</v>
      </c>
      <c r="U39" s="774">
        <f t="shared" si="11"/>
        <v>100</v>
      </c>
      <c r="V39" s="773" t="s">
        <v>17</v>
      </c>
      <c r="W39" s="774">
        <f t="shared" si="12"/>
        <v>100</v>
      </c>
      <c r="X39" s="1815"/>
      <c r="Y39" s="3190"/>
      <c r="Z39" s="1816">
        <f t="shared" si="13"/>
        <v>111</v>
      </c>
      <c r="AA39" s="1813">
        <f t="shared" si="3"/>
        <v>1</v>
      </c>
      <c r="AB39" s="1813">
        <f t="shared" si="4"/>
        <v>1</v>
      </c>
      <c r="AC39" s="1813">
        <f t="shared" si="5"/>
        <v>1</v>
      </c>
    </row>
    <row r="40" spans="1:29" s="470" customFormat="1" ht="15.75" thickBot="1">
      <c r="A40" s="467"/>
      <c r="B40" s="1389">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0"/>
      <c r="Q40" s="1812">
        <f t="shared" si="14"/>
        <v>111</v>
      </c>
      <c r="R40" s="776" t="s">
        <v>17</v>
      </c>
      <c r="S40" s="777">
        <f t="shared" si="10"/>
        <v>100</v>
      </c>
      <c r="T40" s="776" t="s">
        <v>17</v>
      </c>
      <c r="U40" s="777">
        <f t="shared" si="11"/>
        <v>100</v>
      </c>
      <c r="V40" s="776" t="s">
        <v>17</v>
      </c>
      <c r="W40" s="777">
        <f t="shared" si="12"/>
        <v>100</v>
      </c>
      <c r="X40" s="778"/>
      <c r="Y40" s="3190"/>
      <c r="Z40" s="779">
        <f t="shared" si="13"/>
        <v>111</v>
      </c>
      <c r="AA40" s="1813">
        <f t="shared" si="3"/>
        <v>1</v>
      </c>
      <c r="AB40" s="1813">
        <f t="shared" si="4"/>
        <v>1</v>
      </c>
      <c r="AC40" s="1813">
        <f t="shared" si="5"/>
        <v>1</v>
      </c>
    </row>
    <row r="41" spans="1:29" ht="15">
      <c r="A41" s="478" t="s">
        <v>2717</v>
      </c>
      <c r="B41" s="2706" t="s">
        <v>2797</v>
      </c>
      <c r="C41" s="681" t="s">
        <v>1</v>
      </c>
      <c r="D41" s="480"/>
      <c r="E41" s="481"/>
      <c r="F41" s="482"/>
      <c r="G41" s="483"/>
      <c r="H41" s="484"/>
      <c r="I41" s="481"/>
      <c r="J41" s="484"/>
      <c r="K41" s="782"/>
      <c r="L41" s="1145"/>
      <c r="M41" s="1133"/>
      <c r="N41" s="1133"/>
      <c r="O41" s="1146"/>
      <c r="P41" s="3183" t="str">
        <f>A41</f>
        <v>成交单价</v>
      </c>
      <c r="Q41" s="3183"/>
      <c r="R41" s="3214">
        <f>E41</f>
        <v>0</v>
      </c>
      <c r="S41" s="3214"/>
      <c r="T41" s="3214">
        <f>G41</f>
        <v>0</v>
      </c>
      <c r="U41" s="3214"/>
      <c r="V41" s="3214">
        <f>I41</f>
        <v>0</v>
      </c>
      <c r="W41" s="3214"/>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5"/>
      <c r="M42" s="1133"/>
      <c r="N42" s="1133"/>
      <c r="O42" s="1146"/>
      <c r="P42" s="3183" t="str">
        <f>A42</f>
        <v>比较价值（元/平方米）</v>
      </c>
      <c r="Q42" s="3183"/>
      <c r="R42" s="3242" t="e">
        <f>ROUND(PRODUCT(R41,AA7:AA40),0)</f>
        <v>#DIV/0!</v>
      </c>
      <c r="S42" s="3242"/>
      <c r="T42" s="3242" t="e">
        <f>ROUND(PRODUCT(T41,AB7:AB40),0)</f>
        <v>#DIV/0!</v>
      </c>
      <c r="U42" s="3242"/>
      <c r="V42" s="3242" t="e">
        <f>ROUND(PRODUCT(V41,AC7:AC40),0)</f>
        <v>#DIV/0!</v>
      </c>
      <c r="W42" s="3242"/>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5"/>
      <c r="M43" s="1133"/>
      <c r="N43" s="1133"/>
      <c r="O43" s="1146"/>
      <c r="P43" s="3180" t="str">
        <f>A43</f>
        <v>估价对象XX用房的比较价值（楼面单价，元/平方米）</v>
      </c>
      <c r="Q43" s="3181"/>
      <c r="R43" s="3243" t="e">
        <f>ROUND(AVERAGE(R42:V42),0)</f>
        <v>#DIV/0!</v>
      </c>
      <c r="S43" s="3243"/>
      <c r="T43" s="3243"/>
      <c r="U43" s="3243"/>
      <c r="V43" s="3243"/>
      <c r="W43" s="324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2755</v>
      </c>
      <c r="B50" s="684" t="s">
        <v>2756</v>
      </c>
      <c r="C50" s="2707" t="s">
        <v>2757</v>
      </c>
      <c r="D50" s="2708" t="s">
        <v>2758</v>
      </c>
      <c r="E50" s="685" t="s">
        <v>2759</v>
      </c>
      <c r="F50" s="686" t="s">
        <v>2760</v>
      </c>
      <c r="G50" s="3198" t="s">
        <v>2761</v>
      </c>
      <c r="H50" s="3244"/>
      <c r="I50" s="1816" t="s">
        <v>2798</v>
      </c>
      <c r="J50" s="1816">
        <f>项目基本情况!F35</f>
        <v>0</v>
      </c>
      <c r="K50" s="2710" t="s">
        <v>2763</v>
      </c>
      <c r="L50" s="1108"/>
      <c r="M50" s="1146"/>
      <c r="N50" s="1146"/>
      <c r="O50" s="1146"/>
    </row>
    <row r="51" spans="1:17" s="691" customFormat="1">
      <c r="A51" s="687" t="s">
        <v>2764</v>
      </c>
      <c r="B51" s="688" t="e">
        <f>C43</f>
        <v>#DIV/0!</v>
      </c>
      <c r="C51" s="689">
        <v>1</v>
      </c>
      <c r="D51" s="1165">
        <v>1</v>
      </c>
      <c r="E51" s="689">
        <f>'数据-汇总表'!E8+'数据-汇总表'!E9</f>
        <v>4824.4600000000037</v>
      </c>
      <c r="F51" s="690" t="e">
        <f t="shared" ref="F51:F60" si="15">ROUND(B51*E51/10000,0)</f>
        <v>#DIV/0!</v>
      </c>
      <c r="G51" s="3194"/>
      <c r="H51" s="3183"/>
      <c r="I51" s="944">
        <v>1</v>
      </c>
      <c r="J51" s="944">
        <v>1</v>
      </c>
      <c r="K51" s="1147"/>
      <c r="L51" s="943"/>
      <c r="M51" s="943"/>
      <c r="N51" s="943"/>
      <c r="O51" s="943"/>
    </row>
    <row r="52" spans="1:17" s="691" customFormat="1">
      <c r="A52" s="692" t="s">
        <v>2765</v>
      </c>
      <c r="B52" s="262" t="e">
        <f>ROUND($C$43*C52*D52,0)</f>
        <v>#DIV/0!</v>
      </c>
      <c r="C52" s="200">
        <f t="shared" ref="C52:C60" si="16">IF($C$50="北京市系数",I52,J52)</f>
        <v>0.7</v>
      </c>
      <c r="D52" s="1166">
        <v>0.25</v>
      </c>
      <c r="E52" s="693"/>
      <c r="F52" s="690" t="e">
        <f t="shared" si="15"/>
        <v>#DIV/0!</v>
      </c>
      <c r="G52" s="3245" t="s">
        <v>2766</v>
      </c>
      <c r="H52" s="1106" t="str">
        <f>项目基本情况!B37</f>
        <v>四级</v>
      </c>
      <c r="I52" s="944">
        <f>SUMIF(修正!A45:A56,H52,修正!B45:B56)</f>
        <v>0.7</v>
      </c>
      <c r="J52" s="945"/>
      <c r="K52" s="1146"/>
      <c r="L52" s="943"/>
      <c r="M52" s="943"/>
      <c r="N52" s="943"/>
      <c r="O52" s="943"/>
    </row>
    <row r="53" spans="1:17" s="691" customFormat="1">
      <c r="A53" s="692" t="s">
        <v>2767</v>
      </c>
      <c r="B53" s="262" t="e">
        <f t="shared" ref="B53:B60" si="17">ROUND($C$43*C53*D53,0)</f>
        <v>#DIV/0!</v>
      </c>
      <c r="C53" s="200">
        <f t="shared" si="16"/>
        <v>0.4</v>
      </c>
      <c r="D53" s="1166">
        <v>0.25</v>
      </c>
      <c r="E53" s="693"/>
      <c r="F53" s="690" t="e">
        <f t="shared" si="15"/>
        <v>#DIV/0!</v>
      </c>
      <c r="G53" s="3245"/>
      <c r="H53" s="1106" t="str">
        <f>项目基本情况!B37</f>
        <v>四级</v>
      </c>
      <c r="I53" s="944">
        <f>SUMIF(修正!A45:A56,H53,修正!C45:C56)</f>
        <v>0.4</v>
      </c>
      <c r="J53" s="945"/>
      <c r="K53" s="1147"/>
      <c r="L53" s="943"/>
      <c r="M53" s="943"/>
      <c r="N53" s="943"/>
      <c r="O53" s="943"/>
    </row>
    <row r="54" spans="1:17" s="691" customFormat="1">
      <c r="A54" s="692" t="s">
        <v>2768</v>
      </c>
      <c r="B54" s="262" t="e">
        <f t="shared" si="17"/>
        <v>#DIV/0!</v>
      </c>
      <c r="C54" s="200">
        <f t="shared" si="16"/>
        <v>0.28000000000000003</v>
      </c>
      <c r="D54" s="1166">
        <v>0.25</v>
      </c>
      <c r="E54" s="693"/>
      <c r="F54" s="690" t="e">
        <f t="shared" si="15"/>
        <v>#DIV/0!</v>
      </c>
      <c r="G54" s="3245"/>
      <c r="H54" s="1106" t="str">
        <f>项目基本情况!B37</f>
        <v>四级</v>
      </c>
      <c r="I54" s="944">
        <f>SUMIF(修正!A45:A56,H54,修正!D45:D56)</f>
        <v>0.28000000000000003</v>
      </c>
      <c r="J54" s="945"/>
      <c r="K54" s="1146"/>
      <c r="L54" s="943"/>
      <c r="M54" s="943"/>
      <c r="N54" s="943"/>
      <c r="O54" s="943"/>
    </row>
    <row r="55" spans="1:17" s="691" customFormat="1">
      <c r="A55" s="692" t="s">
        <v>2769</v>
      </c>
      <c r="B55" s="262" t="e">
        <f t="shared" si="17"/>
        <v>#DIV/0!</v>
      </c>
      <c r="C55" s="200">
        <f t="shared" si="16"/>
        <v>0.25</v>
      </c>
      <c r="D55" s="1166">
        <v>0.25</v>
      </c>
      <c r="E55" s="693"/>
      <c r="F55" s="690" t="e">
        <f t="shared" si="15"/>
        <v>#DIV/0!</v>
      </c>
      <c r="G55" s="3245"/>
      <c r="H55" s="1106" t="str">
        <f>项目基本情况!B37</f>
        <v>四级</v>
      </c>
      <c r="I55" s="944">
        <f>SUMIF(修正!A45:A56,H55,修正!E45:E56)</f>
        <v>0.25</v>
      </c>
      <c r="J55" s="945"/>
      <c r="K55" s="1147"/>
      <c r="L55" s="943"/>
      <c r="M55" s="943"/>
      <c r="N55" s="943"/>
      <c r="O55" s="943"/>
    </row>
    <row r="56" spans="1:17" s="691" customFormat="1">
      <c r="A56" s="692" t="s">
        <v>2770</v>
      </c>
      <c r="B56" s="262" t="e">
        <f t="shared" si="17"/>
        <v>#DIV/0!</v>
      </c>
      <c r="C56" s="200">
        <f t="shared" si="16"/>
        <v>0</v>
      </c>
      <c r="D56" s="1166">
        <v>0.25</v>
      </c>
      <c r="E56" s="261">
        <f>'数据-汇总表'!E11</f>
        <v>0</v>
      </c>
      <c r="F56" s="690" t="e">
        <f t="shared" si="15"/>
        <v>#DIV/0!</v>
      </c>
      <c r="G56" s="2711" t="s">
        <v>2771</v>
      </c>
      <c r="H56" s="1106">
        <f>项目基本情况!C37</f>
        <v>0</v>
      </c>
      <c r="I56" s="944">
        <f>SUMIF(修正!A45:A56,H56,修正!F45:F56)</f>
        <v>0</v>
      </c>
      <c r="J56" s="945"/>
      <c r="K56" s="1146"/>
      <c r="L56" s="943"/>
      <c r="M56" s="943"/>
      <c r="N56" s="943"/>
      <c r="O56" s="943"/>
    </row>
    <row r="57" spans="1:17" s="691" customFormat="1">
      <c r="A57" s="692" t="s">
        <v>2772</v>
      </c>
      <c r="B57" s="262" t="e">
        <f t="shared" si="17"/>
        <v>#DIV/0!</v>
      </c>
      <c r="C57" s="200">
        <f t="shared" si="16"/>
        <v>0</v>
      </c>
      <c r="D57" s="1166">
        <v>0.25</v>
      </c>
      <c r="E57" s="261">
        <f>'数据-汇总表'!E12</f>
        <v>0</v>
      </c>
      <c r="F57" s="690" t="e">
        <f t="shared" si="15"/>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2774</v>
      </c>
      <c r="B58" s="262" t="e">
        <f t="shared" si="17"/>
        <v>#DIV/0!</v>
      </c>
      <c r="C58" s="200">
        <f t="shared" si="16"/>
        <v>0</v>
      </c>
      <c r="D58" s="1166">
        <v>0.25</v>
      </c>
      <c r="E58" s="261">
        <f>'数据-汇总表'!E13</f>
        <v>0</v>
      </c>
      <c r="F58" s="690"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2776</v>
      </c>
      <c r="B59" s="262" t="e">
        <f t="shared" si="17"/>
        <v>#DIV/0!</v>
      </c>
      <c r="C59" s="200">
        <f t="shared" si="16"/>
        <v>0.2</v>
      </c>
      <c r="D59" s="1166">
        <v>0.25</v>
      </c>
      <c r="E59" s="261">
        <f>'数据-汇总表'!E14</f>
        <v>0</v>
      </c>
      <c r="F59" s="690" t="e">
        <f t="shared" si="15"/>
        <v>#DIV/0!</v>
      </c>
      <c r="G59" s="2711" t="s">
        <v>2766</v>
      </c>
      <c r="H59" s="1106" t="str">
        <f>项目基本情况!B37</f>
        <v>四级</v>
      </c>
      <c r="I59" s="944">
        <f>SUMIF(修正!A45:A56,H59,修正!H45:H56)</f>
        <v>0.2</v>
      </c>
      <c r="J59" s="945"/>
      <c r="K59" s="1147"/>
      <c r="L59" s="943"/>
      <c r="M59" s="943"/>
      <c r="N59" s="943"/>
      <c r="O59" s="943"/>
    </row>
    <row r="60" spans="1:17" s="691" customFormat="1" ht="15" thickBot="1">
      <c r="A60" s="692" t="s">
        <v>2777</v>
      </c>
      <c r="B60" s="262" t="e">
        <f t="shared" si="17"/>
        <v>#DIV/0!</v>
      </c>
      <c r="C60" s="200">
        <f t="shared" si="16"/>
        <v>0</v>
      </c>
      <c r="D60" s="1166">
        <v>0.25</v>
      </c>
      <c r="E60" s="261">
        <f>'数据-汇总表'!E15</f>
        <v>0</v>
      </c>
      <c r="F60" s="690" t="e">
        <f t="shared" si="15"/>
        <v>#DIV/0!</v>
      </c>
      <c r="G60" s="2712" t="s">
        <v>2771</v>
      </c>
      <c r="H60" s="1116">
        <f>项目基本情况!C37</f>
        <v>0</v>
      </c>
      <c r="I60" s="944">
        <f>SUMIF(修正!A45:A56,H60,修正!H45:H56)</f>
        <v>0</v>
      </c>
      <c r="J60" s="945"/>
      <c r="K60" s="1146"/>
      <c r="L60" s="943"/>
      <c r="M60" s="943"/>
      <c r="N60" s="943"/>
      <c r="O60" s="943"/>
    </row>
    <row r="61" spans="1:17" s="691" customFormat="1" ht="15" thickBot="1">
      <c r="A61" s="694" t="s">
        <v>2778</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2671</v>
      </c>
      <c r="B64" s="758"/>
      <c r="C64" s="763"/>
      <c r="D64" s="763"/>
      <c r="E64" s="763"/>
      <c r="F64" s="764"/>
      <c r="G64" s="764"/>
      <c r="H64" s="763"/>
      <c r="I64" s="763"/>
      <c r="J64" s="763"/>
      <c r="K64" s="765"/>
      <c r="L64" s="766"/>
      <c r="M64" s="763"/>
      <c r="N64" s="763"/>
      <c r="O64" s="1161"/>
      <c r="P64" s="502"/>
      <c r="Q64" s="503"/>
    </row>
    <row r="65" spans="1:17" s="507" customFormat="1" ht="15">
      <c r="A65" s="2713" t="s">
        <v>2779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18" t="s">
        <v>2799</v>
      </c>
      <c r="B66" s="332" t="str">
        <f>"北京市平均增长率"&amp;TEXT(基准地价修正!P24,"0.00%")</f>
        <v>北京市平均增长率1.28%</v>
      </c>
      <c r="C66" s="602">
        <v>100</v>
      </c>
      <c r="D66" s="594"/>
      <c r="E66" s="594"/>
      <c r="F66" s="594"/>
      <c r="G66" s="594"/>
      <c r="H66" s="594"/>
      <c r="I66" s="594"/>
      <c r="J66" s="594"/>
      <c r="K66" s="594"/>
      <c r="L66" s="594"/>
      <c r="M66" s="1569"/>
      <c r="N66" s="1569"/>
      <c r="O66" s="1571"/>
      <c r="P66" s="503"/>
    </row>
    <row r="67" spans="1:17" s="117" customFormat="1" ht="15.75" thickBot="1">
      <c r="A67" s="514" t="s">
        <v>2582</v>
      </c>
      <c r="B67" s="515"/>
      <c r="C67" s="516"/>
      <c r="D67" s="517"/>
      <c r="E67" s="517"/>
      <c r="F67" s="517"/>
      <c r="G67" s="517"/>
      <c r="H67" s="517"/>
      <c r="I67" s="517"/>
      <c r="J67" s="517"/>
      <c r="K67" s="517"/>
      <c r="L67" s="517"/>
      <c r="M67" s="518"/>
      <c r="N67" s="518"/>
      <c r="O67" s="519"/>
      <c r="P67" s="503"/>
      <c r="Q67" s="503"/>
    </row>
    <row r="68" spans="1:17" s="117" customFormat="1" ht="15">
      <c r="A68" s="520" t="s">
        <v>2547</v>
      </c>
      <c r="B68" s="509"/>
      <c r="C68" s="521" t="s">
        <v>2649</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2585</v>
      </c>
      <c r="B70" s="527" t="s">
        <v>2551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2782</v>
      </c>
      <c r="C87" s="572" t="s">
        <v>2594</v>
      </c>
      <c r="D87" s="572" t="s">
        <v>2595</v>
      </c>
      <c r="E87" s="572" t="s">
        <v>2596</v>
      </c>
      <c r="F87" s="572" t="s">
        <v>2597</v>
      </c>
      <c r="G87" s="572" t="s">
        <v>2598</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2783</v>
      </c>
      <c r="C89" s="572" t="s">
        <v>2594</v>
      </c>
      <c r="D89" s="572" t="s">
        <v>2595</v>
      </c>
      <c r="E89" s="572" t="s">
        <v>2596</v>
      </c>
      <c r="F89" s="572" t="s">
        <v>2597</v>
      </c>
      <c r="G89" s="572" t="s">
        <v>2598</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56" sqref="D56"/>
    </sheetView>
  </sheetViews>
  <sheetFormatPr defaultColWidth="12" defaultRowHeight="12.75"/>
  <cols>
    <col min="1" max="1" width="9.75" style="2797" customWidth="1"/>
    <col min="2" max="2" width="19.25" style="2903" customWidth="1"/>
    <col min="3" max="4" width="12" style="2722"/>
    <col min="5" max="5" width="14.625" style="2722" customWidth="1"/>
    <col min="6" max="8" width="12" style="2722"/>
    <col min="9" max="9" width="12.25" style="2722" bestFit="1" customWidth="1"/>
    <col min="10" max="10" width="12" style="2722"/>
    <col min="11" max="11" width="8.125" style="2789" customWidth="1"/>
    <col min="12" max="12" width="12" style="2722"/>
    <col min="13" max="13" width="8.5" style="2722" customWidth="1"/>
    <col min="14" max="14" width="9.75" style="2722" customWidth="1"/>
    <col min="15" max="16" width="12" style="2722"/>
    <col min="17" max="17" width="12.375" style="2722" bestFit="1" customWidth="1"/>
    <col min="18" max="25" width="12" style="2722"/>
    <col min="26" max="26" width="9.375" style="2797" customWidth="1"/>
    <col min="27" max="32" width="9.375" style="1374" customWidth="1"/>
    <col min="33" max="36" width="9.375" style="2797" customWidth="1"/>
    <col min="37" max="38" width="9.375" style="2722" customWidth="1"/>
    <col min="39" max="16384" width="12" style="2722"/>
  </cols>
  <sheetData>
    <row r="1" spans="1:36" ht="28.5">
      <c r="A1" s="240" t="s">
        <v>2801</v>
      </c>
      <c r="B1" s="241"/>
      <c r="C1" s="245" t="s">
        <v>2802</v>
      </c>
      <c r="D1" s="388">
        <f>SUM(D29:D30,D33:D39)</f>
        <v>1700.71</v>
      </c>
      <c r="E1" s="2719"/>
      <c r="F1" s="2719"/>
      <c r="G1" s="2719"/>
      <c r="H1" s="2719"/>
      <c r="I1" s="2719"/>
      <c r="J1" s="2719"/>
      <c r="K1" s="1372"/>
      <c r="L1" s="2720" t="s">
        <v>2803</v>
      </c>
      <c r="M1" s="1082">
        <f>SUMPRODUCT((区片价!B5:B9=I2)*(区片价!C3:F3=E2)*(区片价!C5:F9))</f>
        <v>0</v>
      </c>
      <c r="N1" s="1085">
        <f>SUMPRODUCT((因素修正幅度!B5:B9=I2)*(因素修正幅度!C3:F3=E2)*(因素修正幅度!C5:F9))</f>
        <v>0</v>
      </c>
      <c r="O1" s="2721"/>
      <c r="P1" s="2962" t="s">
        <v>3211</v>
      </c>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f ca="1">C26</f>
        <v>6100</v>
      </c>
      <c r="C2" s="2723" t="s">
        <v>2810</v>
      </c>
      <c r="D2" s="2724" t="s">
        <v>2811</v>
      </c>
      <c r="E2" s="2725" t="s">
        <v>1377</v>
      </c>
      <c r="F2" s="2724" t="s">
        <v>2812</v>
      </c>
      <c r="G2" s="2726" t="str">
        <f>IF(E2="商业",项目基本情况!B37,IF(E2="办公",项目基本情况!C37,IF(E2="住宅",项目基本情况!D37,项目基本情况!E37)))</f>
        <v>四级</v>
      </c>
      <c r="H2" s="2724" t="s">
        <v>2813</v>
      </c>
      <c r="I2" s="2726" t="str">
        <f>IF(E2="商业",项目基本情况!B38,IF(E2="办公",项目基本情况!C38,IF(E2="住宅",项目基本情况!D38,项目基本情况!E38)))</f>
        <v>Ⅳ-07</v>
      </c>
      <c r="J2" s="2727"/>
      <c r="K2" s="1372"/>
      <c r="L2" s="2728" t="s">
        <v>2814</v>
      </c>
      <c r="M2" s="1083">
        <f>SUMPRODUCT((区片价!B10:B28=I2)*(区片价!C3:F3=E2)*(区片价!C10:F28))</f>
        <v>0</v>
      </c>
      <c r="N2" s="1085">
        <f>SUMPRODUCT((因素修正幅度!B10:B28=I2)*(因素修正幅度!C3:F3=E2)*(因素修正幅度!C10:F28))</f>
        <v>0</v>
      </c>
      <c r="O2" s="1372"/>
      <c r="P2" s="1372">
        <v>6</v>
      </c>
      <c r="Q2" s="1372">
        <v>1</v>
      </c>
      <c r="R2" s="1604">
        <v>1</v>
      </c>
      <c r="S2" s="1604">
        <f>ROUND(IF(G3&gt;1,IF(R2&lt;7,SUMPRODUCT((B93:B98=R2)*(C92:N92=G2)*(C93:N98)),SUMIF(C92:N92,G2,C100:N100)),IF(R2&lt;7,SUMPRODUCT((B102:B107=R2)*(C92:N92=G2)*(C102:N107)),SUMIF(C92:N92,G2,C109:N109))),4)</f>
        <v>1.8629</v>
      </c>
      <c r="T2" s="1604">
        <f ca="1">ROUND($C$5*$C$18*$C$19*$C$20*S2*$C$24,0)</f>
        <v>35868</v>
      </c>
      <c r="U2" s="1605">
        <f>面积表!G2</f>
        <v>1700.71</v>
      </c>
      <c r="V2" s="1604">
        <f ca="1">ROUND(T2*U2/10000,0)</f>
        <v>6100</v>
      </c>
      <c r="W2" s="1608"/>
      <c r="X2" s="1608"/>
      <c r="Y2" s="1608"/>
      <c r="Z2" s="1608"/>
      <c r="AA2" s="1608"/>
      <c r="AB2" s="1608"/>
      <c r="AC2" s="1609"/>
      <c r="AD2" s="1610"/>
      <c r="AE2" s="1610"/>
      <c r="AF2" s="1610"/>
      <c r="AG2" s="1610"/>
      <c r="AH2" s="1610"/>
      <c r="AI2" s="1610"/>
      <c r="AJ2" s="1611"/>
    </row>
    <row r="3" spans="1:36" ht="15.75">
      <c r="A3" s="247" t="s">
        <v>2815</v>
      </c>
      <c r="B3" s="248">
        <f ca="1">ROUND(B2*10000/D1,0)</f>
        <v>35867</v>
      </c>
      <c r="C3" s="2723" t="s">
        <v>2816</v>
      </c>
      <c r="D3" s="2724" t="s">
        <v>2817</v>
      </c>
      <c r="E3" s="2961" t="s">
        <v>3212</v>
      </c>
      <c r="F3" s="2729" t="s">
        <v>3184</v>
      </c>
      <c r="G3" s="915">
        <f>IF(F3="宗地容积率",'数据-汇总表'!I4,IF(F3="估价对象容积率",'数据-汇总表'!I6,'数据-汇总表'!I7))</f>
        <v>2</v>
      </c>
      <c r="H3" s="198" t="s">
        <v>2818</v>
      </c>
      <c r="I3" s="946">
        <v>1</v>
      </c>
      <c r="J3" s="2727" t="s">
        <v>2819</v>
      </c>
      <c r="K3" s="1372"/>
      <c r="L3" s="2728" t="s">
        <v>2820</v>
      </c>
      <c r="M3" s="1083">
        <f>SUMPRODUCT((区片价!B29:B48=I2)*(区片价!C3:F3=E2)*(区片价!C29:F48))</f>
        <v>0</v>
      </c>
      <c r="N3" s="1085">
        <f>SUMPRODUCT((因素修正幅度!B29:B48=I2)*(因素修正幅度!C3:F3=E2)*(因素修正幅度!C29:F48))</f>
        <v>0</v>
      </c>
      <c r="O3" s="1372"/>
      <c r="P3" s="1372"/>
      <c r="Q3" s="1372">
        <v>0.7</v>
      </c>
      <c r="R3" s="1604">
        <v>2</v>
      </c>
      <c r="S3" s="1604">
        <f>ROUND(IF(G3&gt;1,IF(R3&lt;7,SUMPRODUCT((B93:B98=R3)*(C92:N92=G2)*(C93:N98)),SUMIF(C92:N92,G2,C100:N100)),IF(R3&lt;7,SUMPRODUCT((B102:B107=R3)*(C92:N92=G2)*(C102:N107)),SUMIF(C92:N92,G2,C109:N109))),4)</f>
        <v>1.3371999999999999</v>
      </c>
      <c r="T3" s="1604">
        <f t="shared" ref="T3:T16" ca="1" si="0">ROUND($C$5*$C$18*$C$19*$C$20*S3*$C$24,0)</f>
        <v>25746</v>
      </c>
      <c r="U3" s="1605">
        <f>面积表!G3</f>
        <v>1399.33</v>
      </c>
      <c r="V3" s="1604">
        <f t="shared" ref="V3:V16" ca="1" si="1">ROUND(T3*U3/10000,0)</f>
        <v>3603</v>
      </c>
      <c r="W3" s="1608"/>
      <c r="X3" s="1608"/>
      <c r="Y3" s="1608"/>
      <c r="Z3" s="1608"/>
      <c r="AA3" s="1608"/>
      <c r="AB3" s="1608"/>
      <c r="AC3" s="1609"/>
      <c r="AD3" s="1610"/>
      <c r="AE3" s="1610"/>
      <c r="AF3" s="1610"/>
      <c r="AG3" s="1610"/>
      <c r="AH3" s="1610"/>
      <c r="AI3" s="1610"/>
      <c r="AJ3" s="1611"/>
    </row>
    <row r="4" spans="1:36" ht="15.75">
      <c r="A4" s="3253"/>
      <c r="B4" s="3254"/>
      <c r="C4" s="3254"/>
      <c r="D4" s="3255"/>
      <c r="E4" s="3255"/>
      <c r="F4" s="3255"/>
      <c r="G4" s="3255"/>
      <c r="H4" s="3255"/>
      <c r="I4" s="3255"/>
      <c r="J4" s="3256"/>
      <c r="K4" s="1372"/>
      <c r="L4" s="2728" t="s">
        <v>2821</v>
      </c>
      <c r="M4" s="1083">
        <f>SUMPRODUCT((区片价!B49:B75=I2)*(区片价!C3:F3=E2)*(区片价!C49:F75))</f>
        <v>16930</v>
      </c>
      <c r="N4" s="1085">
        <f>SUMPRODUCT((因素修正幅度!B49:B75=I2)*(因素修正幅度!C3:F3=E2)*(因素修正幅度!C49:F75))</f>
        <v>0.1</v>
      </c>
      <c r="O4" s="1372"/>
      <c r="P4" s="1372"/>
      <c r="Q4" s="1372">
        <v>0.56999999999999995</v>
      </c>
      <c r="R4" s="1604">
        <v>3</v>
      </c>
      <c r="S4" s="1604">
        <f>ROUND(IF(G3&gt;1,IF(R4&lt;7,SUMPRODUCT((B93:B98=R4)*(C92:N92=G2)*(C93:N98)),SUMIF(C92:N92,G2,C100:N100)),IF(R4&lt;7,SUMPRODUCT((B102:B107=R4)*(C92:N92=G2)*(C102:N107)),SUMIF(C92:N92,G2,C109:N109))),4)</f>
        <v>1.0788</v>
      </c>
      <c r="T4" s="1604">
        <f t="shared" ca="1" si="0"/>
        <v>20771</v>
      </c>
      <c r="U4" s="1605">
        <f>面积表!G4</f>
        <v>1124.0499999999997</v>
      </c>
      <c r="V4" s="1604">
        <f t="shared" ca="1" si="1"/>
        <v>2335</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2822</v>
      </c>
      <c r="C5" s="916">
        <f>ROUND(IF(E2="商业",IF(F16="增加",C6*C7+C16,C6*C7-C16),IF(E2="住宅",IF(F16="增加",C6*C12+C16,C6*C12-C16),IF(F16="增加",C6+C16,C6-C16))),0)</f>
        <v>16930</v>
      </c>
      <c r="D5" s="1789">
        <f>ROUND(IF(E2="商业",IF(F16="增加",C6+C16,C6-C16)),0)</f>
        <v>16930</v>
      </c>
      <c r="E5" s="2732"/>
      <c r="F5" s="2732"/>
      <c r="G5" s="2733"/>
      <c r="H5" s="2733"/>
      <c r="I5" s="2733"/>
      <c r="J5" s="2734"/>
      <c r="K5" s="2735"/>
      <c r="L5" s="2728" t="s">
        <v>2823</v>
      </c>
      <c r="M5" s="1083">
        <f>SUMPRODUCT((区片价!B76:B109=I2)*(区片价!C3:F3=E2)*(区片价!C76:F109))</f>
        <v>0</v>
      </c>
      <c r="N5" s="1085">
        <f>SUMPRODUCT((因素修正幅度!B76:B109=I2)*(因素修正幅度!C3:F3=E2)*(因素修正幅度!C76:F109))</f>
        <v>0</v>
      </c>
      <c r="O5" s="1372"/>
      <c r="P5" s="1372"/>
      <c r="Q5" s="1372">
        <v>0.46</v>
      </c>
      <c r="R5" s="1604">
        <v>4</v>
      </c>
      <c r="S5" s="1604">
        <f>ROUND(IF(G3&gt;1,IF(R5&lt;7,SUMPRODUCT((B93:B98=R5)*(C92:N92=G2)*(C93:N98)),SUMIF(C92:N92,G2,C100:N100)),IF(R5&lt;7,SUMPRODUCT((B102:B107=R5)*(C92:N92=G2)*(C102:N107)),SUMIF(C92:N92,G2,C109:N109))),4)</f>
        <v>0.86560000000000004</v>
      </c>
      <c r="T5" s="1604">
        <f t="shared" ca="1" si="0"/>
        <v>16666</v>
      </c>
      <c r="U5" s="1605">
        <f>面积表!G5</f>
        <v>600.37</v>
      </c>
      <c r="V5" s="1604">
        <f t="shared" ca="1" si="1"/>
        <v>1001</v>
      </c>
      <c r="W5" s="1608"/>
      <c r="X5" s="1608"/>
      <c r="Y5" s="1608"/>
      <c r="Z5" s="1608"/>
      <c r="AA5" s="1608"/>
      <c r="AB5" s="1608"/>
      <c r="AC5" s="2736"/>
      <c r="AD5" s="2737"/>
      <c r="AE5" s="2737"/>
      <c r="AF5" s="2737"/>
      <c r="AG5" s="2737"/>
      <c r="AH5" s="2737"/>
      <c r="AI5" s="2737"/>
      <c r="AJ5" s="2738"/>
    </row>
    <row r="6" spans="1:36" ht="15.75" thickBot="1">
      <c r="A6" s="2740" t="s">
        <v>2824</v>
      </c>
      <c r="B6" s="2741" t="s">
        <v>2825</v>
      </c>
      <c r="C6" s="917">
        <f>SUMIF(L1:L12,G2,M1:M12)</f>
        <v>16930</v>
      </c>
      <c r="D6" s="2742" t="s">
        <v>2826</v>
      </c>
      <c r="E6" s="2743"/>
      <c r="F6" s="2743"/>
      <c r="G6" s="2744"/>
      <c r="H6" s="2744"/>
      <c r="I6" s="2744"/>
      <c r="J6" s="2745"/>
      <c r="K6" s="1844"/>
      <c r="L6" s="2728" t="s">
        <v>2827</v>
      </c>
      <c r="M6" s="1083">
        <f>SUMPRODUCT((区片价!B110:B157=I2)*(区片价!C3:F3=E2)*(区片价!C110:F157))</f>
        <v>0</v>
      </c>
      <c r="N6" s="1085">
        <f>SUMPRODUCT((因素修正幅度!B110:B157=I2)*(因素修正幅度!C3:F3=E2)*(因素修正幅度!C110:F157))</f>
        <v>0</v>
      </c>
      <c r="O6" s="1372"/>
      <c r="P6" s="1372">
        <f>P2*Q6</f>
        <v>4.4736028902716569</v>
      </c>
      <c r="Q6" s="1372">
        <f>(Q2*U2+Q3*U3+Q4*U4+Q5*U5)/(U2+U3+U4+U5)</f>
        <v>0.74560048171194282</v>
      </c>
      <c r="R6" s="1604">
        <v>5</v>
      </c>
      <c r="S6" s="1604">
        <f>ROUND(IF(G3&gt;1,IF(R6&lt;7,SUMPRODUCT((B93:B98=R6)*(C92:N92=G2)*(C93:N98)),SUMIF(C92:N92,G2,C100:N100)),IF(R6&lt;7,SUMPRODUCT((B102:B107=R6)*(C92:N92=G2)*(C102:N107)),SUMIF(C92:N92,G2,C109:N109))),4)</f>
        <v>0.73709999999999998</v>
      </c>
      <c r="T6" s="1604">
        <f t="shared" ca="1" si="0"/>
        <v>14192</v>
      </c>
      <c r="U6" s="1605"/>
      <c r="V6" s="1604">
        <f t="shared" ca="1" si="1"/>
        <v>0</v>
      </c>
      <c r="W6" s="1608"/>
      <c r="X6" s="1608"/>
      <c r="Y6" s="1608"/>
      <c r="Z6" s="1608"/>
      <c r="AA6" s="1608"/>
      <c r="AB6" s="1608"/>
      <c r="AC6" s="2736"/>
      <c r="AD6" s="2737"/>
      <c r="AE6" s="2737"/>
      <c r="AF6" s="2737"/>
      <c r="AG6" s="2737"/>
      <c r="AH6" s="2737"/>
      <c r="AI6" s="2737"/>
      <c r="AJ6" s="2738"/>
    </row>
    <row r="7" spans="1:36" ht="24">
      <c r="A7" s="3257" t="str">
        <f>IF(E2="商业",IF(C8="不临58条商业街","",2),"")</f>
        <v/>
      </c>
      <c r="B7" s="2746" t="s">
        <v>2828</v>
      </c>
      <c r="C7" s="918">
        <f>IF(C8="不临58条商业街",1,ROUND(1+(1.6*E8+1.2*E9+0.8*E10+0.4*E11)*C9,4))</f>
        <v>1</v>
      </c>
      <c r="D7" s="2747" t="s">
        <v>2829</v>
      </c>
      <c r="E7" s="947">
        <v>50</v>
      </c>
      <c r="F7" s="2748"/>
      <c r="G7" s="2749"/>
      <c r="H7" s="2749"/>
      <c r="I7" s="2749"/>
      <c r="J7" s="2750"/>
      <c r="K7" s="1844"/>
      <c r="L7" s="2728"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12480</v>
      </c>
      <c r="U7" s="1605"/>
      <c r="V7" s="1604">
        <f t="shared" ca="1" si="1"/>
        <v>0</v>
      </c>
      <c r="W7" s="1818" t="s">
        <v>2831</v>
      </c>
      <c r="X7" s="1606" t="str">
        <f>G2</f>
        <v>四级</v>
      </c>
      <c r="Y7" s="1606" t="s">
        <v>2832</v>
      </c>
      <c r="Z7" s="1607">
        <f>G3</f>
        <v>2</v>
      </c>
      <c r="AA7" s="1608"/>
      <c r="AB7" s="1608"/>
      <c r="AC7" s="1609"/>
      <c r="AD7" s="1610"/>
      <c r="AE7" s="1610"/>
      <c r="AF7" s="1610"/>
      <c r="AG7" s="1610"/>
      <c r="AH7" s="1610"/>
      <c r="AI7" s="1610"/>
      <c r="AJ7" s="1611"/>
    </row>
    <row r="8" spans="1:36" ht="25.5">
      <c r="A8" s="3258"/>
      <c r="B8" s="198" t="s">
        <v>2833</v>
      </c>
      <c r="C8" s="2751" t="s">
        <v>3180</v>
      </c>
      <c r="D8" s="919" t="s">
        <v>139</v>
      </c>
      <c r="E8" s="920">
        <f>ROUND(C11/E7,4)</f>
        <v>0</v>
      </c>
      <c r="F8" s="2752" t="s">
        <v>2834</v>
      </c>
      <c r="G8" s="2753"/>
      <c r="H8" s="2753"/>
      <c r="I8" s="2753"/>
      <c r="J8" s="2754"/>
      <c r="K8" s="1372"/>
      <c r="L8" s="2728"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0" t="s">
        <v>2836</v>
      </c>
      <c r="X8" s="3251"/>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258"/>
      <c r="B9" s="198" t="s">
        <v>2849</v>
      </c>
      <c r="C9" s="921">
        <f>SUMIF(修正!C59:C119,C8,修正!E59:E119)</f>
        <v>0</v>
      </c>
      <c r="D9" s="200" t="s">
        <v>140</v>
      </c>
      <c r="E9" s="200">
        <f>ROUND(C11/E7,4)</f>
        <v>0</v>
      </c>
      <c r="F9" s="2752" t="s">
        <v>2850</v>
      </c>
      <c r="G9" s="2753"/>
      <c r="H9" s="2753"/>
      <c r="I9" s="2753"/>
      <c r="J9" s="2754"/>
      <c r="K9" s="1372"/>
      <c r="L9" s="2728"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2"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8"/>
      <c r="B10" s="198" t="s">
        <v>2854</v>
      </c>
      <c r="C10" s="200">
        <f>SUMIF(修正!C59:C119,C8,修正!F59:F119)</f>
        <v>0</v>
      </c>
      <c r="D10" s="200" t="s">
        <v>141</v>
      </c>
      <c r="E10" s="200">
        <f>ROUND(C11/E7,4)</f>
        <v>0</v>
      </c>
      <c r="F10" s="2752" t="s">
        <v>2855</v>
      </c>
      <c r="G10" s="2753"/>
      <c r="H10" s="2753"/>
      <c r="I10" s="2753"/>
      <c r="J10" s="2754"/>
      <c r="K10" s="1372"/>
      <c r="L10" s="2728"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8"/>
      <c r="B11" s="2755" t="s">
        <v>2857</v>
      </c>
      <c r="C11" s="922">
        <f>C10/4</f>
        <v>0</v>
      </c>
      <c r="D11" s="922" t="s">
        <v>142</v>
      </c>
      <c r="E11" s="922">
        <f>ROUND(C11/E7,4)</f>
        <v>0</v>
      </c>
      <c r="F11" s="2756" t="s">
        <v>2858</v>
      </c>
      <c r="G11" s="2757"/>
      <c r="H11" s="2757"/>
      <c r="I11" s="2757"/>
      <c r="J11" s="2758"/>
      <c r="K11" s="1372"/>
      <c r="L11" s="2728"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2" t="s">
        <v>2860</v>
      </c>
      <c r="X11" s="1616" t="s">
        <v>2861</v>
      </c>
      <c r="Y11" s="1617">
        <f>$G$3</f>
        <v>2</v>
      </c>
      <c r="Z11" s="1617">
        <f t="shared" ref="Z11:AJ11" si="3">$G$3</f>
        <v>2</v>
      </c>
      <c r="AA11" s="1617">
        <f t="shared" si="3"/>
        <v>2</v>
      </c>
      <c r="AB11" s="1617">
        <f t="shared" si="3"/>
        <v>2</v>
      </c>
      <c r="AC11" s="1617">
        <f t="shared" si="3"/>
        <v>2</v>
      </c>
      <c r="AD11" s="1617">
        <f t="shared" si="3"/>
        <v>2</v>
      </c>
      <c r="AE11" s="1617">
        <f t="shared" si="3"/>
        <v>2</v>
      </c>
      <c r="AF11" s="1617">
        <f t="shared" si="3"/>
        <v>2</v>
      </c>
      <c r="AG11" s="1617">
        <f t="shared" si="3"/>
        <v>2</v>
      </c>
      <c r="AH11" s="1617">
        <f t="shared" si="3"/>
        <v>2</v>
      </c>
      <c r="AI11" s="1617">
        <f t="shared" si="3"/>
        <v>2</v>
      </c>
      <c r="AJ11" s="1617">
        <f t="shared" si="3"/>
        <v>2</v>
      </c>
    </row>
    <row r="12" spans="1:36" ht="25.5" thickBot="1">
      <c r="A12" s="3257" t="s">
        <v>2862</v>
      </c>
      <c r="B12" s="2759" t="s">
        <v>2863</v>
      </c>
      <c r="C12" s="918">
        <f>ROUND(C15*D15*E15*F15*G15*H15*I15*J15,4)</f>
        <v>1</v>
      </c>
      <c r="D12" s="2760" t="s">
        <v>2864</v>
      </c>
      <c r="E12" s="2761"/>
      <c r="F12" s="2761"/>
      <c r="G12" s="2762"/>
      <c r="H12" s="2762"/>
      <c r="I12" s="2762"/>
      <c r="J12" s="2763"/>
      <c r="K12" s="1372"/>
      <c r="L12" s="2764"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2"/>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9"/>
      <c r="B13" s="2765" t="s">
        <v>2867</v>
      </c>
      <c r="C13" s="2766" t="s">
        <v>2868</v>
      </c>
      <c r="D13" s="1810" t="s">
        <v>2869</v>
      </c>
      <c r="E13" s="1810" t="s">
        <v>2870</v>
      </c>
      <c r="F13" s="30" t="s">
        <v>2871</v>
      </c>
      <c r="G13" s="2767" t="s">
        <v>2872</v>
      </c>
      <c r="H13" s="2767" t="s">
        <v>2872</v>
      </c>
      <c r="I13" s="2767" t="s">
        <v>2872</v>
      </c>
      <c r="J13" s="2768" t="s">
        <v>2872</v>
      </c>
      <c r="K13" s="1372"/>
      <c r="L13" s="1372"/>
      <c r="M13" s="1372"/>
      <c r="N13" s="1372"/>
      <c r="O13" s="1372"/>
      <c r="P13" s="1372"/>
      <c r="Q13" s="1372"/>
      <c r="R13" s="1604">
        <v>12</v>
      </c>
      <c r="S13" s="1605"/>
      <c r="T13" s="1604">
        <f t="shared" ca="1" si="0"/>
        <v>0</v>
      </c>
      <c r="U13" s="1605"/>
      <c r="V13" s="1604">
        <f t="shared" ca="1" si="1"/>
        <v>0</v>
      </c>
      <c r="W13" s="3252"/>
      <c r="X13" s="1618"/>
      <c r="Y13" s="1615">
        <f>(-0.163*(Y12^2)-0.59*Y12+7617)*(10^(-4))/Y11</f>
        <v>0.38085000000000002</v>
      </c>
      <c r="Z13" s="1615">
        <f t="shared" ref="Z13:AJ13" si="5">(-0.163*(Z12^2)-0.59*Z12+7617)*(10^(-4))/Z11</f>
        <v>0.38085000000000002</v>
      </c>
      <c r="AA13" s="1615">
        <f t="shared" si="5"/>
        <v>0.38085000000000002</v>
      </c>
      <c r="AB13" s="1615">
        <f t="shared" si="5"/>
        <v>0.38085000000000002</v>
      </c>
      <c r="AC13" s="1615">
        <f t="shared" si="5"/>
        <v>0.38085000000000002</v>
      </c>
      <c r="AD13" s="1615">
        <f t="shared" si="5"/>
        <v>0.38085000000000002</v>
      </c>
      <c r="AE13" s="1615">
        <f t="shared" si="5"/>
        <v>0.38085000000000002</v>
      </c>
      <c r="AF13" s="1615">
        <f t="shared" si="5"/>
        <v>0.38085000000000002</v>
      </c>
      <c r="AG13" s="1615">
        <f t="shared" si="5"/>
        <v>0.38085000000000002</v>
      </c>
      <c r="AH13" s="1615">
        <f t="shared" si="5"/>
        <v>0.38085000000000002</v>
      </c>
      <c r="AI13" s="1615">
        <f t="shared" si="5"/>
        <v>0.38085000000000002</v>
      </c>
      <c r="AJ13" s="1615">
        <f t="shared" si="5"/>
        <v>0.38085000000000002</v>
      </c>
    </row>
    <row r="14" spans="1:36" ht="15">
      <c r="A14" s="3259"/>
      <c r="B14" s="2769"/>
      <c r="C14" s="2770"/>
      <c r="D14" s="2771"/>
      <c r="E14" s="2771"/>
      <c r="F14" s="2772"/>
      <c r="G14" s="2773" t="s">
        <v>2873</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0"/>
      <c r="B15" s="2777" t="s">
        <v>2874</v>
      </c>
      <c r="C15" s="229">
        <f>IF(C14="有",1.1,1)</f>
        <v>1</v>
      </c>
      <c r="D15" s="229">
        <f>IF(D14="有",1.1,1)</f>
        <v>1</v>
      </c>
      <c r="E15" s="229">
        <f>IF(E14="有",1.1,1)</f>
        <v>1</v>
      </c>
      <c r="F15" s="229">
        <f>IF(F14="500米范围内",1.2,IF(F14="500-1000米",1.1,1))</f>
        <v>1</v>
      </c>
      <c r="G15" s="948">
        <v>1</v>
      </c>
      <c r="H15" s="948">
        <v>1</v>
      </c>
      <c r="I15" s="948">
        <v>1</v>
      </c>
      <c r="J15" s="949">
        <v>1</v>
      </c>
      <c r="K15" s="1372"/>
      <c r="L15" s="2778" t="s">
        <v>2811</v>
      </c>
      <c r="M15" s="919" t="s">
        <v>2875</v>
      </c>
      <c r="N15" s="919" t="s">
        <v>2876</v>
      </c>
      <c r="O15" s="919" t="s">
        <v>2877</v>
      </c>
      <c r="P15" s="2779" t="s">
        <v>2878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7" t="s">
        <v>2879</v>
      </c>
      <c r="B16" s="2746" t="s">
        <v>2880</v>
      </c>
      <c r="C16" s="1803">
        <f>ROUND(SUM(G17:J17)/C17,0)</f>
        <v>0</v>
      </c>
      <c r="D16" s="2780" t="s">
        <v>2881</v>
      </c>
      <c r="E16" s="2781" t="s">
        <v>3181</v>
      </c>
      <c r="F16" s="2782" t="s">
        <v>3182</v>
      </c>
      <c r="G16" s="2783"/>
      <c r="H16" s="2783"/>
      <c r="I16" s="2783"/>
      <c r="J16" s="2784"/>
      <c r="K16" s="1372"/>
      <c r="L16" s="2785" t="s">
        <v>2882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8"/>
      <c r="B17" s="2786" t="s">
        <v>2883</v>
      </c>
      <c r="C17" s="923">
        <f>SUMPRODUCT((修正!A2:A5=E2)*(修正!B1:M1=G2)*(修正!B2:M5))</f>
        <v>2.5</v>
      </c>
      <c r="D17" s="2787"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2"/>
      <c r="AH17" s="2722"/>
      <c r="AI17" s="2722"/>
      <c r="AJ17" s="2722"/>
    </row>
    <row r="18" spans="1:37" s="2739" customFormat="1" ht="15.75" thickBot="1">
      <c r="A18" s="2790" t="s">
        <v>808</v>
      </c>
      <c r="B18" s="2791" t="s">
        <v>2887</v>
      </c>
      <c r="C18" s="925">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25" thickBot="1">
      <c r="A19" s="2790" t="s">
        <v>809</v>
      </c>
      <c r="B19" s="2791" t="s">
        <v>2888</v>
      </c>
      <c r="C19" s="926">
        <f>ROUND(IF(H19="按公示增长率计算",SUMPRODUCT((地价!A3:A23=YEAR(G19)&amp;"-"&amp;ROUNDUP(MONTH(G19)/3,0))*(地价!X2:AB2=E2)*(地价!X3:AB23)),IF(H19="地价指数",M20/M19,(1+I19)^O19)),4)</f>
        <v>1.2928999999999999</v>
      </c>
      <c r="D19" s="2798" t="s">
        <v>2889</v>
      </c>
      <c r="E19" s="927">
        <v>41640</v>
      </c>
      <c r="F19" s="2798" t="s">
        <v>2890</v>
      </c>
      <c r="G19" s="928">
        <f>'数据-取费表'!B2</f>
        <v>43286</v>
      </c>
      <c r="H19" s="2799" t="s">
        <v>3183</v>
      </c>
      <c r="I19" s="929" t="str">
        <f>IF(H19="季度增幅（自定义）",SUMIF(N21:N24,E2,O21:O24),"")</f>
        <v/>
      </c>
      <c r="J19" s="2796"/>
      <c r="K19" s="1379"/>
      <c r="L19" s="2800" t="s">
        <v>2891</v>
      </c>
      <c r="M19" s="1736">
        <f>ROUND(SUMIF(地价!B2:F2,E2,地价!B23:F23),0)</f>
        <v>258</v>
      </c>
      <c r="N19" s="2801" t="s">
        <v>2892</v>
      </c>
      <c r="O19" s="930">
        <f>ROUNDDOWN(DATEDIF(E19,G19,"M")/3,0)</f>
        <v>18</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2893</v>
      </c>
      <c r="C20" s="931">
        <f ca="1">ROUND(POWER(1+G20,J20-I20)*(POWER(1+G20,I20)-1)/(POWER(1+G20,J20)-1),4)</f>
        <v>0.84150000000000003</v>
      </c>
      <c r="D20" s="2807" t="s">
        <v>2894</v>
      </c>
      <c r="E20" s="1770">
        <f ca="1">存贷款利率!D4/100</f>
        <v>4.3499999999999997E-2</v>
      </c>
      <c r="F20" s="2807" t="s">
        <v>2886</v>
      </c>
      <c r="G20" s="936">
        <f ca="1">SUMIF(M15:P15,E2,M17:P17)</f>
        <v>5.3999999999999999E-2</v>
      </c>
      <c r="H20" s="2807" t="s">
        <v>2895</v>
      </c>
      <c r="I20" s="937">
        <f>SUMIF('数据-取费表'!C6:C15,E2,'数据-取费表'!F6:F15)/COUNTIF('数据-取费表'!C6:C15,E2)</f>
        <v>25.53</v>
      </c>
      <c r="J20" s="938">
        <f>IF(E2="住宅",70,IF(E2="商业",40,50))</f>
        <v>40</v>
      </c>
      <c r="K20" s="1379"/>
      <c r="L20" s="2808" t="s">
        <v>2896</v>
      </c>
      <c r="M20" s="1737">
        <f>ROUND(SUMPRODUCT((地价!A4:A23=YEAR(G19)&amp;"-"&amp;ROUNDUP(MONTH(G19)/3,0))*(地价!B2:F2=E2)*(地价!B4:F23)),0)</f>
        <v>333</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2900</v>
      </c>
      <c r="C21" s="939">
        <f>IF(B21="容积率修正",IF(G3&lt;=10,D22,J22),C23)</f>
        <v>1.8629</v>
      </c>
      <c r="D21" s="2814"/>
      <c r="E21" s="2814"/>
      <c r="F21" s="2814"/>
      <c r="G21" s="2814"/>
      <c r="H21" s="2814"/>
      <c r="I21" s="2814"/>
      <c r="J21" s="2815"/>
      <c r="K21" s="1379"/>
      <c r="N21" s="2816" t="s">
        <v>2901</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9" customFormat="1" ht="14.25">
      <c r="A22" s="2666" t="s">
        <v>2902</v>
      </c>
      <c r="B22" s="2817" t="s">
        <v>2903</v>
      </c>
      <c r="C22" s="1812" t="s">
        <v>2904</v>
      </c>
      <c r="D22" s="1812">
        <f>IF(E22=G22,F22,IF(G3&lt;=10,ROUND(F22+(H22-F22)*(G3-E22)/(G22-E22),4),"——"))</f>
        <v>1.0883</v>
      </c>
      <c r="E22" s="915">
        <f>ROUNDDOWN(G3,1)</f>
        <v>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5">
        <f>ROUNDUP(G3,1)</f>
        <v>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2" t="s">
        <v>155</v>
      </c>
      <c r="J22" s="940" t="str">
        <f>IF(G3&gt;10,D113,"——")</f>
        <v>——</v>
      </c>
      <c r="K22" s="1379"/>
      <c r="N22" s="2816" t="s">
        <v>2905</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2906</v>
      </c>
      <c r="B23" s="2818" t="s">
        <v>2907</v>
      </c>
      <c r="C23" s="1015">
        <f>ROUND(IF(G3&gt;1,IF(I3&lt;7,SUMPRODUCT((B93:B98=I3)*(C92:N92=G2)*(C93:N98)),SUMIF(C92:N92,G2,C100:N100)),IF(I3&lt;7,SUMPRODUCT((B102:B107=I3)*(C92:N92=G2)*(C102:N107)),SUMIF(C92:N92,G2,C109:N109))),4)</f>
        <v>1.8629</v>
      </c>
      <c r="D23" s="2774"/>
      <c r="E23" s="2774"/>
      <c r="F23" s="2819"/>
      <c r="G23" s="2820"/>
      <c r="H23" s="2821"/>
      <c r="I23" s="2822"/>
      <c r="J23" s="2823"/>
      <c r="K23" s="1372"/>
      <c r="N23" s="2816" t="s">
        <v>2908</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2909</v>
      </c>
      <c r="C24" s="926">
        <f>SUMIF(A45:A88,E2,B45:B88)</f>
        <v>1.0452999999999999</v>
      </c>
      <c r="D24" s="2794"/>
      <c r="E24" s="2824"/>
      <c r="F24" s="2824"/>
      <c r="G24" s="2824"/>
      <c r="H24" s="2824"/>
      <c r="I24" s="2824"/>
      <c r="J24" s="2825"/>
      <c r="K24" s="1379"/>
      <c r="N24" s="2826" t="s">
        <v>2910</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2911</v>
      </c>
      <c r="C25" s="932"/>
      <c r="D25" s="2749"/>
      <c r="E25" s="2749"/>
      <c r="F25" s="2828"/>
      <c r="G25" s="2749"/>
      <c r="H25" s="2749"/>
      <c r="I25" s="2749"/>
      <c r="J25" s="2750"/>
      <c r="K25" s="1372"/>
      <c r="N25" s="2829" t="s">
        <v>2912</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0"/>
      <c r="B26" s="2817" t="s">
        <v>2913</v>
      </c>
      <c r="C26" s="206">
        <f ca="1">E29+SUM(E33:E39)</f>
        <v>6100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2914</v>
      </c>
      <c r="C27" s="933">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2915</v>
      </c>
      <c r="C28" s="2841" t="s">
        <v>2916</v>
      </c>
      <c r="D28" s="2841" t="s">
        <v>2917</v>
      </c>
      <c r="E28" s="2842" t="s">
        <v>2918</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2919</v>
      </c>
      <c r="C29" s="206">
        <f ca="1">ROUND(C5*C18*C19*C20*C21*C24,0)</f>
        <v>35868</v>
      </c>
      <c r="D29" s="2846">
        <f>面积表!G2</f>
        <v>1700.71</v>
      </c>
      <c r="E29" s="944">
        <f ca="1">ROUND(C29*D29/10000,0)</f>
        <v>6100</v>
      </c>
      <c r="F29" s="2847" t="s">
        <v>2920</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2"/>
      <c r="AH29" s="2722"/>
      <c r="AI29" s="2722"/>
      <c r="AJ29" s="2722"/>
    </row>
    <row r="30" spans="1:37" ht="25.5" thickBot="1">
      <c r="A30" s="2850"/>
      <c r="B30" s="2851" t="s">
        <v>2921</v>
      </c>
      <c r="C30" s="229">
        <f ca="1">ROUND(IF(E2="工业",C29*M39,C29*M38),0)</f>
        <v>8967</v>
      </c>
      <c r="D30" s="2852"/>
      <c r="E30" s="944">
        <f ca="1">ROUND(C30*D30/10000,0)</f>
        <v>0</v>
      </c>
      <c r="F30" s="2853" t="s">
        <v>2922</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2"/>
      <c r="AH30" s="2722"/>
      <c r="AI30" s="2722"/>
      <c r="AJ30" s="2722"/>
    </row>
    <row r="31" spans="1:37" ht="14.25">
      <c r="A31" s="2856"/>
      <c r="B31" s="2857" t="s">
        <v>2923</v>
      </c>
      <c r="C31" s="2858" t="s">
        <v>2924</v>
      </c>
      <c r="D31" s="2762"/>
      <c r="E31" s="2858"/>
      <c r="F31" s="2858"/>
      <c r="G31" s="2760" t="s">
        <v>2925</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2"/>
      <c r="AH31" s="2722"/>
      <c r="AI31" s="2722"/>
      <c r="AJ31" s="2722"/>
    </row>
    <row r="32" spans="1:37" ht="24">
      <c r="A32" s="2844"/>
      <c r="B32" s="2860"/>
      <c r="C32" s="500" t="s">
        <v>2916</v>
      </c>
      <c r="D32" s="497" t="s">
        <v>2917</v>
      </c>
      <c r="E32" s="497" t="s">
        <v>2918</v>
      </c>
      <c r="F32" s="388" t="s">
        <v>2926</v>
      </c>
      <c r="G32" s="2861" t="s">
        <v>2916</v>
      </c>
      <c r="H32" s="2861" t="s">
        <v>2917</v>
      </c>
      <c r="I32" s="2861"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2"/>
      <c r="AH32" s="2722"/>
      <c r="AI32" s="2722"/>
      <c r="AJ32" s="2722"/>
    </row>
    <row r="33" spans="1:37" ht="36" customHeight="1">
      <c r="A33" s="3267" t="s">
        <v>2927</v>
      </c>
      <c r="B33" s="2862" t="s">
        <v>2928</v>
      </c>
      <c r="C33" s="206">
        <f ca="1">ROUND(D5*C19*C20*C24*F33,0)</f>
        <v>13478</v>
      </c>
      <c r="D33" s="2846"/>
      <c r="E33" s="200">
        <f ca="1">ROUND(C33*D33/10000,0)</f>
        <v>0</v>
      </c>
      <c r="F33" s="200">
        <f>SUMIF(修正!A45:A56,G2,修正!B45:B56)</f>
        <v>0.7</v>
      </c>
      <c r="G33" s="200">
        <f t="shared" ref="G33" ca="1" si="6">ROUND(IF(E2="工业",C33*$M$39,C33*$M$38),0)</f>
        <v>3370</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6" t="s">
        <v>2929</v>
      </c>
      <c r="C34" s="206">
        <f ca="1">ROUND(D5*C19*C20*C24*F34,0)</f>
        <v>7702</v>
      </c>
      <c r="D34" s="2846"/>
      <c r="E34" s="200">
        <f t="shared" ref="E34:E39" ca="1" si="7">ROUND(C34*D34/10000,0)</f>
        <v>0</v>
      </c>
      <c r="F34" s="200">
        <f>SUMIF(修正!A45:A56,G2,修正!C45:C56)</f>
        <v>0.4</v>
      </c>
      <c r="G34" s="200">
        <f ca="1">ROUND(IF(E2="工业",C34*$M$39,C34*$M$38),0)</f>
        <v>1926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6" t="s">
        <v>2930</v>
      </c>
      <c r="C35" s="206">
        <f ca="1">ROUND(D5*C19*C20*C24*F35,0)</f>
        <v>5391</v>
      </c>
      <c r="D35" s="2846"/>
      <c r="E35" s="200">
        <f t="shared" ca="1" si="7"/>
        <v>0</v>
      </c>
      <c r="F35" s="200">
        <f>SUMIF(修正!A45:A56,G2,修正!D45:D56)</f>
        <v>0.28000000000000003</v>
      </c>
      <c r="G35" s="200">
        <f ca="1">ROUND(IF(E2="工业",C35*$M$39,C35*$M$38),0)</f>
        <v>1348</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69"/>
      <c r="B36" s="2766" t="s">
        <v>2931</v>
      </c>
      <c r="C36" s="206">
        <f ca="1">ROUND(D5*C19*C20*C24*F36,0)</f>
        <v>4813</v>
      </c>
      <c r="D36" s="2846"/>
      <c r="E36" s="200">
        <f t="shared" ca="1" si="7"/>
        <v>0</v>
      </c>
      <c r="F36" s="200">
        <f>SUMIF(修正!A45:A56,G2,修正!E45:E56)</f>
        <v>0.25</v>
      </c>
      <c r="G36" s="200">
        <f ca="1">ROUND(IF(E2="工业",C36*$M$39,C36*$M$38),0)</f>
        <v>1203</v>
      </c>
      <c r="H36" s="200">
        <f t="shared" si="8"/>
        <v>0</v>
      </c>
      <c r="I36" s="200">
        <f t="shared" ca="1" si="9"/>
        <v>0</v>
      </c>
      <c r="J36" s="2863"/>
      <c r="K36" s="1372"/>
      <c r="L36" s="2721"/>
      <c r="M36" s="2721"/>
      <c r="N36" s="1372"/>
      <c r="O36" s="1372"/>
      <c r="P36" s="1372"/>
      <c r="Q36" s="1372"/>
      <c r="R36" s="1372"/>
      <c r="S36" s="1372"/>
      <c r="T36" s="1372"/>
      <c r="U36" s="1372"/>
      <c r="V36" s="1372"/>
      <c r="W36" s="1372"/>
      <c r="X36" s="1372"/>
      <c r="Y36" s="1372"/>
      <c r="Z36" s="1373"/>
    </row>
    <row r="37" spans="1:37">
      <c r="A37" s="2864"/>
      <c r="B37" s="2766" t="s">
        <v>2932</v>
      </c>
      <c r="C37" s="200">
        <f ca="1">ROUND(C5*C19*C20*C24*F37,0)</f>
        <v>4813</v>
      </c>
      <c r="D37" s="2846"/>
      <c r="E37" s="200">
        <f t="shared" ca="1" si="7"/>
        <v>0</v>
      </c>
      <c r="F37" s="206">
        <f>SUMIF(修正!A45:A56,G2,修正!F45:F56)</f>
        <v>0.25</v>
      </c>
      <c r="G37" s="200">
        <f ca="1">ROUND(IF(E2="工业",C37*$M$39,C37*$M$38),0)</f>
        <v>1203</v>
      </c>
      <c r="H37" s="200">
        <f t="shared" si="8"/>
        <v>0</v>
      </c>
      <c r="I37" s="200">
        <f t="shared" ca="1" si="9"/>
        <v>0</v>
      </c>
      <c r="J37" s="2863"/>
      <c r="K37" s="1372"/>
      <c r="L37" s="2865" t="s">
        <v>2933</v>
      </c>
      <c r="M37" s="2866"/>
      <c r="N37" s="1372"/>
      <c r="O37" s="1372"/>
      <c r="P37" s="1372"/>
      <c r="Q37" s="1372"/>
      <c r="R37" s="1372"/>
      <c r="S37" s="1372"/>
      <c r="T37" s="1372"/>
      <c r="U37" s="1372"/>
      <c r="V37" s="1372"/>
      <c r="W37" s="1372"/>
      <c r="X37" s="1372"/>
      <c r="Y37" s="1372"/>
      <c r="Z37" s="1373"/>
    </row>
    <row r="38" spans="1:37">
      <c r="A38" s="2864"/>
      <c r="B38" s="2766" t="s">
        <v>2934</v>
      </c>
      <c r="C38" s="200">
        <f ca="1">ROUND(C5*C19*C20*C24*F38,0)</f>
        <v>4813</v>
      </c>
      <c r="D38" s="2846"/>
      <c r="E38" s="200">
        <f t="shared" ca="1" si="7"/>
        <v>0</v>
      </c>
      <c r="F38" s="206">
        <f>SUMIF(修正!A45:A56,G2,修正!G45:G56)</f>
        <v>0.25</v>
      </c>
      <c r="G38" s="200">
        <f ca="1">ROUND(IF(E2="工业",C38*$M$39,C38*$M$38),0)</f>
        <v>1203</v>
      </c>
      <c r="H38" s="200">
        <f t="shared" si="8"/>
        <v>0</v>
      </c>
      <c r="I38" s="200">
        <f t="shared" ca="1" si="9"/>
        <v>0</v>
      </c>
      <c r="J38" s="2863"/>
      <c r="K38" s="1372"/>
      <c r="L38" s="1889" t="s">
        <v>2935</v>
      </c>
      <c r="M38" s="2867">
        <v>0.25</v>
      </c>
      <c r="N38" s="1372"/>
      <c r="O38" s="1372"/>
      <c r="P38" s="1372"/>
      <c r="Q38" s="1372"/>
      <c r="R38" s="1372"/>
      <c r="S38" s="1372"/>
      <c r="T38" s="1372"/>
      <c r="U38" s="1372"/>
      <c r="V38" s="1372"/>
      <c r="W38" s="1372"/>
      <c r="X38" s="1372"/>
      <c r="Y38" s="1372"/>
      <c r="Z38" s="1373"/>
    </row>
    <row r="39" spans="1:37" ht="13.5" thickBot="1">
      <c r="A39" s="2850"/>
      <c r="B39" s="2868" t="s">
        <v>2936</v>
      </c>
      <c r="C39" s="229">
        <f ca="1">ROUND(C5*C19*C20*C24*F39,0)</f>
        <v>3851</v>
      </c>
      <c r="D39" s="2852"/>
      <c r="E39" s="229">
        <f t="shared" ca="1" si="7"/>
        <v>0</v>
      </c>
      <c r="F39" s="934">
        <f>SUMIF(修正!A45:A56,G2,修正!H45:H56)</f>
        <v>0.2</v>
      </c>
      <c r="G39" s="229">
        <f ca="1">ROUND(IF(E2="工业",C39*$M$39,C39*$M$38),0)</f>
        <v>963</v>
      </c>
      <c r="H39" s="229">
        <f t="shared" si="8"/>
        <v>0</v>
      </c>
      <c r="I39" s="229">
        <f t="shared" ca="1" si="9"/>
        <v>0</v>
      </c>
      <c r="J39" s="2869"/>
      <c r="K39" s="1372"/>
      <c r="L39" s="2870" t="s">
        <v>2878</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2937</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2938</v>
      </c>
      <c r="B46" s="2876">
        <f>1+E48</f>
        <v>1.0452999999999999</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2939</v>
      </c>
      <c r="B47" s="1811" t="s">
        <v>2940</v>
      </c>
      <c r="C47" s="1811" t="s">
        <v>2941</v>
      </c>
      <c r="D47" s="1811" t="s">
        <v>2942</v>
      </c>
      <c r="E47" s="818" t="s">
        <v>2943</v>
      </c>
      <c r="F47" s="2880" t="s">
        <v>2944</v>
      </c>
      <c r="G47" s="1811" t="s">
        <v>754</v>
      </c>
      <c r="H47" s="2881" t="s">
        <v>2945</v>
      </c>
      <c r="I47" s="1811" t="s">
        <v>2946</v>
      </c>
      <c r="J47" s="602" t="s">
        <v>2594</v>
      </c>
      <c r="K47" s="602" t="s">
        <v>2595</v>
      </c>
      <c r="L47" s="602" t="s">
        <v>2596</v>
      </c>
      <c r="M47" s="602" t="s">
        <v>2597</v>
      </c>
      <c r="N47" s="602" t="s">
        <v>2598</v>
      </c>
      <c r="AA47" s="1373"/>
      <c r="AB47" s="1373"/>
      <c r="AC47" s="1373"/>
      <c r="AD47" s="1373"/>
      <c r="AE47" s="1373"/>
      <c r="AF47" s="1373"/>
      <c r="AG47" s="1373"/>
      <c r="AH47" s="1373"/>
      <c r="AI47" s="1373"/>
      <c r="AJ47" s="1373"/>
      <c r="AK47" s="1373"/>
    </row>
    <row r="48" spans="1:37" s="1372" customFormat="1" ht="51">
      <c r="A48" s="2879" t="s">
        <v>2947</v>
      </c>
      <c r="B48" s="2882" t="str">
        <f>估价对象房地状况!C4</f>
        <v>估价对象位于五棵松卓展商圈，周边商业氛围较成熟，人流量较大，商业繁华度较好</v>
      </c>
      <c r="C48" s="2771" t="s">
        <v>3196</v>
      </c>
      <c r="D48" s="1288">
        <f t="shared" ref="D48:D56" si="10">SUMIF($J$47:$N$47,C48,J48:N48)</f>
        <v>1.6E-2</v>
      </c>
      <c r="E48" s="820">
        <f>ROUND(SUM(D48:D56),4)</f>
        <v>4.53E-2</v>
      </c>
      <c r="F48" s="2503">
        <f>IF(E2="商业",SUMIF(L1:L12,G2,N1:N12),"——")</f>
        <v>0.1</v>
      </c>
      <c r="G48" s="1286">
        <v>1.6E-2</v>
      </c>
      <c r="H48" s="1290">
        <f t="shared" ref="H48:H56" si="11">IFERROR(ROUNDDOWN($F$48*I48/2,4),"——")</f>
        <v>1.6500000000000001E-2</v>
      </c>
      <c r="I48" s="819">
        <v>0.33</v>
      </c>
      <c r="J48" s="1287">
        <f t="shared" ref="J48:J56" si="12">K48+$G48</f>
        <v>3.2000000000000001E-2</v>
      </c>
      <c r="K48" s="1287">
        <f t="shared" ref="K48:K56" si="13">$L48+$G48</f>
        <v>1.6E-2</v>
      </c>
      <c r="L48" s="1287">
        <v>0</v>
      </c>
      <c r="M48" s="1287">
        <f t="shared" ref="M48:N56" si="14">L48-$G48</f>
        <v>-1.6E-2</v>
      </c>
      <c r="N48" s="1287">
        <f t="shared" si="14"/>
        <v>-3.2000000000000001E-2</v>
      </c>
      <c r="AA48" s="1373"/>
      <c r="AB48" s="1373"/>
      <c r="AC48" s="1373"/>
      <c r="AD48" s="1373"/>
      <c r="AE48" s="1373"/>
      <c r="AF48" s="1373"/>
      <c r="AG48" s="1373"/>
      <c r="AH48" s="1373"/>
      <c r="AI48" s="1373"/>
      <c r="AJ48" s="1373"/>
      <c r="AK48" s="1373"/>
    </row>
    <row r="49" spans="1:37" s="1372" customFormat="1" ht="76.5">
      <c r="A49" s="2879" t="s">
        <v>2948</v>
      </c>
      <c r="B49" s="2883" t="str">
        <f>估价对象房地状况!C18</f>
        <v>估价对象周边有634、78、436路等公交线路及地铁1号线经过、公共交通通达情况较好、停车便捷程度较好，综合评价交通便捷度较好</v>
      </c>
      <c r="C49" s="2771" t="s">
        <v>3196</v>
      </c>
      <c r="D49" s="1288">
        <f t="shared" si="10"/>
        <v>1.2E-2</v>
      </c>
      <c r="E49" s="821"/>
      <c r="F49" s="2503"/>
      <c r="G49" s="1286">
        <v>1.2E-2</v>
      </c>
      <c r="H49" s="1290">
        <f t="shared" si="11"/>
        <v>1.2500000000000001E-2</v>
      </c>
      <c r="I49" s="819">
        <v>0.25</v>
      </c>
      <c r="J49" s="1287">
        <f t="shared" si="12"/>
        <v>2.4E-2</v>
      </c>
      <c r="K49" s="1287">
        <f t="shared" si="13"/>
        <v>1.2E-2</v>
      </c>
      <c r="L49" s="1287">
        <v>0</v>
      </c>
      <c r="M49" s="1287">
        <f t="shared" si="14"/>
        <v>-1.2E-2</v>
      </c>
      <c r="N49" s="1287">
        <f t="shared" si="14"/>
        <v>-2.4E-2</v>
      </c>
      <c r="AA49" s="1373"/>
      <c r="AB49" s="1373"/>
      <c r="AC49" s="1373"/>
      <c r="AD49" s="1373"/>
      <c r="AE49" s="1373"/>
      <c r="AF49" s="1373"/>
      <c r="AG49" s="1373"/>
      <c r="AH49" s="1373"/>
      <c r="AI49" s="1373"/>
      <c r="AJ49" s="1373"/>
      <c r="AK49" s="1373"/>
    </row>
    <row r="50" spans="1:37" s="1372" customFormat="1" ht="24">
      <c r="A50" s="2879" t="s">
        <v>2949</v>
      </c>
      <c r="B50" s="2883">
        <f>估价对象房地状况!C19</f>
        <v>0</v>
      </c>
      <c r="C50" s="2771" t="s">
        <v>3213</v>
      </c>
      <c r="D50" s="1288">
        <f t="shared" si="10"/>
        <v>0</v>
      </c>
      <c r="E50" s="821"/>
      <c r="F50" s="2503"/>
      <c r="G50" s="1286">
        <v>2E-3</v>
      </c>
      <c r="H50" s="1290">
        <f t="shared" si="11"/>
        <v>2.5000000000000001E-3</v>
      </c>
      <c r="I50" s="819">
        <v>0.05</v>
      </c>
      <c r="J50" s="1287">
        <f t="shared" si="12"/>
        <v>4.0000000000000001E-3</v>
      </c>
      <c r="K50" s="1287">
        <f t="shared" si="13"/>
        <v>2E-3</v>
      </c>
      <c r="L50" s="1287">
        <v>0</v>
      </c>
      <c r="M50" s="1287">
        <f t="shared" si="14"/>
        <v>-2E-3</v>
      </c>
      <c r="N50" s="1287">
        <f t="shared" si="14"/>
        <v>-4.0000000000000001E-3</v>
      </c>
      <c r="AA50" s="1373"/>
      <c r="AB50" s="1373"/>
      <c r="AC50" s="1373"/>
      <c r="AD50" s="1373"/>
      <c r="AE50" s="1373"/>
      <c r="AF50" s="1373"/>
      <c r="AG50" s="1373"/>
      <c r="AH50" s="1373"/>
      <c r="AI50" s="1373"/>
      <c r="AJ50" s="1373"/>
      <c r="AK50" s="1373"/>
    </row>
    <row r="51" spans="1:37" s="1372" customFormat="1" ht="36">
      <c r="A51" s="2879" t="s">
        <v>2950</v>
      </c>
      <c r="B51" s="2958" t="s">
        <v>3205</v>
      </c>
      <c r="C51" s="2771" t="s">
        <v>3196</v>
      </c>
      <c r="D51" s="1288">
        <f t="shared" si="10"/>
        <v>2E-3</v>
      </c>
      <c r="E51" s="821"/>
      <c r="F51" s="2503"/>
      <c r="G51" s="1286">
        <v>2E-3</v>
      </c>
      <c r="H51" s="1290">
        <f t="shared" si="11"/>
        <v>2.5000000000000001E-3</v>
      </c>
      <c r="I51" s="819">
        <v>0.05</v>
      </c>
      <c r="J51" s="1287">
        <f t="shared" si="12"/>
        <v>4.0000000000000001E-3</v>
      </c>
      <c r="K51" s="1287">
        <f t="shared" si="13"/>
        <v>2E-3</v>
      </c>
      <c r="L51" s="1287">
        <v>0</v>
      </c>
      <c r="M51" s="1287">
        <f t="shared" si="14"/>
        <v>-2E-3</v>
      </c>
      <c r="N51" s="1287">
        <f t="shared" si="14"/>
        <v>-4.0000000000000001E-3</v>
      </c>
      <c r="AA51" s="1373"/>
      <c r="AB51" s="1373"/>
      <c r="AC51" s="1373"/>
      <c r="AD51" s="1373"/>
      <c r="AE51" s="1373"/>
      <c r="AF51" s="1373"/>
      <c r="AG51" s="1373"/>
      <c r="AH51" s="1373"/>
      <c r="AI51" s="1373"/>
      <c r="AJ51" s="1373"/>
      <c r="AK51" s="1373"/>
    </row>
    <row r="52" spans="1:37" s="1372" customFormat="1" ht="24">
      <c r="A52" s="2879" t="s">
        <v>2952</v>
      </c>
      <c r="B52" s="2883">
        <f>估价对象房地状况!C24</f>
        <v>0</v>
      </c>
      <c r="C52" s="2771" t="s">
        <v>3213</v>
      </c>
      <c r="D52" s="1288">
        <f t="shared" si="10"/>
        <v>0</v>
      </c>
      <c r="E52" s="821"/>
      <c r="F52" s="2503"/>
      <c r="G52" s="1286">
        <v>3.5000000000000001E-3</v>
      </c>
      <c r="H52" s="1290">
        <f t="shared" si="11"/>
        <v>4.0000000000000001E-3</v>
      </c>
      <c r="I52" s="819">
        <v>0.08</v>
      </c>
      <c r="J52" s="1287">
        <f t="shared" si="12"/>
        <v>7.0000000000000001E-3</v>
      </c>
      <c r="K52" s="1287">
        <f t="shared" si="13"/>
        <v>3.5000000000000001E-3</v>
      </c>
      <c r="L52" s="1287">
        <v>0</v>
      </c>
      <c r="M52" s="1287">
        <f t="shared" si="14"/>
        <v>-3.5000000000000001E-3</v>
      </c>
      <c r="N52" s="1287">
        <f t="shared" si="14"/>
        <v>-7.0000000000000001E-3</v>
      </c>
      <c r="AA52" s="1373"/>
      <c r="AB52" s="1373"/>
      <c r="AC52" s="1373"/>
      <c r="AD52" s="1373"/>
      <c r="AE52" s="1373"/>
      <c r="AF52" s="1373"/>
      <c r="AG52" s="1373"/>
      <c r="AH52" s="1373"/>
      <c r="AI52" s="1373"/>
      <c r="AJ52" s="1373"/>
      <c r="AK52" s="1373"/>
    </row>
    <row r="53" spans="1:37" s="1372" customFormat="1" ht="24">
      <c r="A53" s="2879" t="s">
        <v>2953</v>
      </c>
      <c r="B53" s="2957" t="s">
        <v>3206</v>
      </c>
      <c r="C53" s="2771" t="s">
        <v>3196</v>
      </c>
      <c r="D53" s="1288">
        <f t="shared" si="10"/>
        <v>1.1999999999999999E-3</v>
      </c>
      <c r="E53" s="821"/>
      <c r="F53" s="2503"/>
      <c r="G53" s="1286">
        <v>1.1999999999999999E-3</v>
      </c>
      <c r="H53" s="1290">
        <f t="shared" si="11"/>
        <v>1.5E-3</v>
      </c>
      <c r="I53" s="819">
        <v>0.03</v>
      </c>
      <c r="J53" s="1287">
        <f t="shared" si="12"/>
        <v>2.3999999999999998E-3</v>
      </c>
      <c r="K53" s="1287">
        <f t="shared" si="13"/>
        <v>1.1999999999999999E-3</v>
      </c>
      <c r="L53" s="1287">
        <v>0</v>
      </c>
      <c r="M53" s="1287">
        <f t="shared" si="14"/>
        <v>-1.1999999999999999E-3</v>
      </c>
      <c r="N53" s="1287">
        <f t="shared" si="14"/>
        <v>-2.3999999999999998E-3</v>
      </c>
      <c r="AA53" s="1373"/>
      <c r="AB53" s="1373"/>
      <c r="AC53" s="1373"/>
      <c r="AD53" s="1373"/>
      <c r="AE53" s="1373"/>
      <c r="AF53" s="1373"/>
      <c r="AG53" s="1373"/>
      <c r="AH53" s="1373"/>
      <c r="AI53" s="1373"/>
      <c r="AJ53" s="1373"/>
      <c r="AK53" s="1373"/>
    </row>
    <row r="54" spans="1:37" s="1372" customFormat="1" ht="38.25">
      <c r="A54" s="2886" t="s">
        <v>2955</v>
      </c>
      <c r="B54" s="1727" t="str">
        <f>估价对象房地状况!C21</f>
        <v>估价对象所在区域有医院、商场、学校等公共配套设施较齐备</v>
      </c>
      <c r="C54" s="2771" t="s">
        <v>3196</v>
      </c>
      <c r="D54" s="1288">
        <f t="shared" si="10"/>
        <v>2.3E-3</v>
      </c>
      <c r="E54" s="821"/>
      <c r="F54" s="2503"/>
      <c r="G54" s="1286">
        <v>2.3E-3</v>
      </c>
      <c r="H54" s="1290">
        <f t="shared" si="11"/>
        <v>2.5000000000000001E-3</v>
      </c>
      <c r="I54" s="819">
        <v>0.05</v>
      </c>
      <c r="J54" s="1287">
        <f t="shared" si="12"/>
        <v>4.5999999999999999E-3</v>
      </c>
      <c r="K54" s="1287">
        <f t="shared" si="13"/>
        <v>2.3E-3</v>
      </c>
      <c r="L54" s="1287">
        <v>0</v>
      </c>
      <c r="M54" s="1287">
        <f t="shared" si="14"/>
        <v>-2.3E-3</v>
      </c>
      <c r="N54" s="1287">
        <f t="shared" si="14"/>
        <v>-4.5999999999999999E-3</v>
      </c>
      <c r="AA54" s="1373"/>
      <c r="AB54" s="1373"/>
      <c r="AC54" s="1373"/>
      <c r="AD54" s="1373"/>
      <c r="AE54" s="1373"/>
      <c r="AF54" s="1373"/>
      <c r="AG54" s="1373"/>
      <c r="AH54" s="1373"/>
      <c r="AI54" s="1373"/>
      <c r="AJ54" s="1373"/>
      <c r="AK54" s="1373"/>
    </row>
    <row r="55" spans="1:37" s="1372" customFormat="1" ht="25.5">
      <c r="A55" s="2886" t="s">
        <v>2956</v>
      </c>
      <c r="B55" s="2883" t="str">
        <f>估价对象房地状况!C22</f>
        <v>估价对象所在区域基础设施水平达七通</v>
      </c>
      <c r="C55" s="2771" t="s">
        <v>3197</v>
      </c>
      <c r="D55" s="1288">
        <f t="shared" si="10"/>
        <v>8.9999999999999993E-3</v>
      </c>
      <c r="E55" s="821"/>
      <c r="F55" s="2503"/>
      <c r="G55" s="1286">
        <v>4.4999999999999997E-3</v>
      </c>
      <c r="H55" s="1290">
        <f t="shared" si="11"/>
        <v>5.0000000000000001E-3</v>
      </c>
      <c r="I55" s="819">
        <v>0.1</v>
      </c>
      <c r="J55" s="1287">
        <f t="shared" si="12"/>
        <v>8.9999999999999993E-3</v>
      </c>
      <c r="K55" s="1287">
        <f t="shared" si="13"/>
        <v>4.4999999999999997E-3</v>
      </c>
      <c r="L55" s="1287">
        <v>0</v>
      </c>
      <c r="M55" s="1287">
        <f t="shared" si="14"/>
        <v>-4.4999999999999997E-3</v>
      </c>
      <c r="N55" s="1287">
        <f t="shared" si="14"/>
        <v>-8.9999999999999993E-3</v>
      </c>
      <c r="AA55" s="1373"/>
      <c r="AB55" s="1373"/>
      <c r="AC55" s="1373"/>
      <c r="AD55" s="1373"/>
      <c r="AE55" s="1373"/>
      <c r="AF55" s="1373"/>
      <c r="AG55" s="1373"/>
      <c r="AH55" s="1373"/>
      <c r="AI55" s="1373"/>
      <c r="AJ55" s="1373"/>
      <c r="AK55" s="1373"/>
    </row>
    <row r="56" spans="1:37" s="1372" customFormat="1" ht="64.5" thickBot="1">
      <c r="A56" s="2887" t="s">
        <v>2957</v>
      </c>
      <c r="B56" s="2888" t="str">
        <f>估价对象房地状况!C20</f>
        <v>区域自然环境：有五棵松公园、定慧公园等；人文环境：国家开放大学(五棵松校区)等；综合评价环境状况较好</v>
      </c>
      <c r="C56" s="2771" t="s">
        <v>3196</v>
      </c>
      <c r="D56" s="1288">
        <f t="shared" si="10"/>
        <v>2.8E-3</v>
      </c>
      <c r="E56" s="824"/>
      <c r="F56" s="2503"/>
      <c r="G56" s="1286">
        <v>2.8E-3</v>
      </c>
      <c r="H56" s="1290">
        <f t="shared" si="11"/>
        <v>3.0000000000000001E-3</v>
      </c>
      <c r="I56" s="823">
        <v>0.06</v>
      </c>
      <c r="J56" s="1287">
        <f t="shared" si="12"/>
        <v>5.5999999999999999E-3</v>
      </c>
      <c r="K56" s="1287">
        <f t="shared" si="13"/>
        <v>2.8E-3</v>
      </c>
      <c r="L56" s="1287">
        <v>0</v>
      </c>
      <c r="M56" s="1287">
        <f t="shared" si="14"/>
        <v>-2.8E-3</v>
      </c>
      <c r="N56" s="1287">
        <f t="shared" si="14"/>
        <v>-5.5999999999999999E-3</v>
      </c>
      <c r="AA56" s="1373"/>
      <c r="AB56" s="1373"/>
      <c r="AC56" s="1373"/>
      <c r="AD56" s="1373"/>
      <c r="AE56" s="1373"/>
      <c r="AF56" s="1373"/>
      <c r="AG56" s="1373"/>
      <c r="AH56" s="1373"/>
      <c r="AI56" s="1373"/>
      <c r="AJ56" s="1373"/>
      <c r="AK56" s="1373"/>
    </row>
    <row r="57" spans="1:37" s="1372" customFormat="1" ht="15">
      <c r="A57" s="2875" t="s">
        <v>2958</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2939</v>
      </c>
      <c r="B58" s="1811"/>
      <c r="C58" s="1811" t="s">
        <v>2941</v>
      </c>
      <c r="D58" s="1811" t="s">
        <v>2942</v>
      </c>
      <c r="E58" s="818" t="s">
        <v>2943</v>
      </c>
      <c r="F58" s="2880" t="s">
        <v>2959</v>
      </c>
      <c r="G58" s="1811" t="s">
        <v>754</v>
      </c>
      <c r="H58" s="2881" t="s">
        <v>2945</v>
      </c>
      <c r="I58" s="1811" t="s">
        <v>2946</v>
      </c>
      <c r="J58" s="602" t="s">
        <v>2594</v>
      </c>
      <c r="K58" s="602" t="s">
        <v>2595</v>
      </c>
      <c r="L58" s="602" t="s">
        <v>2596</v>
      </c>
      <c r="M58" s="602" t="s">
        <v>2597</v>
      </c>
      <c r="N58" s="602" t="s">
        <v>2598</v>
      </c>
      <c r="AA58" s="1373"/>
      <c r="AB58" s="1373"/>
      <c r="AC58" s="1373"/>
      <c r="AD58" s="1373"/>
      <c r="AE58" s="1373"/>
      <c r="AF58" s="1373"/>
      <c r="AG58" s="1373"/>
      <c r="AH58" s="1373"/>
      <c r="AI58" s="1373"/>
      <c r="AJ58" s="1373"/>
      <c r="AK58" s="1373"/>
    </row>
    <row r="59" spans="1:37" s="1372" customFormat="1" ht="24">
      <c r="A59" s="2879" t="s">
        <v>2960</v>
      </c>
      <c r="B59" s="2882" t="str">
        <f>估价对象房地状况!C17</f>
        <v>——</v>
      </c>
      <c r="C59" s="2771"/>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76.5">
      <c r="A60" s="2879" t="s">
        <v>2948</v>
      </c>
      <c r="B60" s="2883" t="str">
        <f>估价对象房地状况!C18</f>
        <v>估价对象周边有634、78、436路等公交线路及地铁1号线经过、公共交通通达情况较好、停车便捷程度较好，综合评价交通便捷度较好</v>
      </c>
      <c r="C60" s="2771"/>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2949</v>
      </c>
      <c r="B61" s="2883">
        <f>估价对象房地状况!C19</f>
        <v>0</v>
      </c>
      <c r="C61" s="2771"/>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2950</v>
      </c>
      <c r="B62" s="2884" t="s">
        <v>2951</v>
      </c>
      <c r="C62" s="2771"/>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2952</v>
      </c>
      <c r="B63" s="2883">
        <f>估价对象房地状况!C24</f>
        <v>0</v>
      </c>
      <c r="C63" s="2771"/>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2953</v>
      </c>
      <c r="B64" s="2885" t="s">
        <v>2954</v>
      </c>
      <c r="C64" s="2771"/>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38.25">
      <c r="A65" s="2879" t="s">
        <v>2955</v>
      </c>
      <c r="B65" s="1727" t="str">
        <f>估价对象房地状况!C21</f>
        <v>估价对象所在区域有医院、商场、学校等公共配套设施较齐备</v>
      </c>
      <c r="C65" s="2771"/>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2956</v>
      </c>
      <c r="B66" s="1727" t="str">
        <f>估价对象房地状况!C22</f>
        <v>估价对象所在区域基础设施水平达七通</v>
      </c>
      <c r="C66" s="2771"/>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7" t="s">
        <v>2957</v>
      </c>
      <c r="B67" s="2889" t="str">
        <f>估价对象房地状况!C20</f>
        <v>区域自然环境：有五棵松公园、定慧公园等；人文环境：国家开放大学(五棵松校区)等；综合评价环境状况较好</v>
      </c>
      <c r="C67" s="2771"/>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2961</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2939</v>
      </c>
      <c r="B69" s="1811"/>
      <c r="C69" s="1811" t="s">
        <v>2941</v>
      </c>
      <c r="D69" s="1811" t="s">
        <v>2942</v>
      </c>
      <c r="E69" s="818" t="s">
        <v>2943</v>
      </c>
      <c r="F69" s="2880" t="s">
        <v>2959</v>
      </c>
      <c r="G69" s="1811" t="s">
        <v>754</v>
      </c>
      <c r="H69" s="2881" t="s">
        <v>2945</v>
      </c>
      <c r="I69" s="1811" t="s">
        <v>2946</v>
      </c>
      <c r="J69" s="602" t="s">
        <v>2594</v>
      </c>
      <c r="K69" s="602" t="s">
        <v>2595</v>
      </c>
      <c r="L69" s="602" t="s">
        <v>2596</v>
      </c>
      <c r="M69" s="602" t="s">
        <v>2597</v>
      </c>
      <c r="N69" s="602" t="s">
        <v>2598</v>
      </c>
      <c r="AA69" s="1373"/>
      <c r="AB69" s="1373"/>
      <c r="AC69" s="1373"/>
      <c r="AD69" s="1373"/>
      <c r="AE69" s="1373"/>
      <c r="AF69" s="1373"/>
      <c r="AG69" s="1373"/>
      <c r="AH69" s="1373"/>
      <c r="AI69" s="1373"/>
      <c r="AJ69" s="1373"/>
      <c r="AK69" s="1373"/>
    </row>
    <row r="70" spans="1:37" s="1372" customFormat="1" ht="24">
      <c r="A70" s="2879" t="s">
        <v>2962</v>
      </c>
      <c r="B70" s="2882" t="str">
        <f>估价对象房地状况!C15</f>
        <v>——</v>
      </c>
      <c r="C70" s="2771"/>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76.5">
      <c r="A71" s="2879" t="s">
        <v>2948</v>
      </c>
      <c r="B71" s="2883" t="str">
        <f>估价对象房地状况!C18</f>
        <v>估价对象周边有634、78、436路等公交线路及地铁1号线经过、公共交通通达情况较好、停车便捷程度较好，综合评价交通便捷度较好</v>
      </c>
      <c r="C71" s="2771"/>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2949</v>
      </c>
      <c r="B72" s="2883">
        <f>估价对象房地状况!C19</f>
        <v>0</v>
      </c>
      <c r="C72" s="2771"/>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2963</v>
      </c>
      <c r="B73" s="2883">
        <f>估价对象房地状况!C24</f>
        <v>0</v>
      </c>
      <c r="C73" s="2771"/>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38.25">
      <c r="A74" s="2879" t="s">
        <v>2955</v>
      </c>
      <c r="B74" s="1727" t="str">
        <f>估价对象房地状况!C21</f>
        <v>估价对象所在区域有医院、商场、学校等公共配套设施较齐备</v>
      </c>
      <c r="C74" s="2771"/>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2956</v>
      </c>
      <c r="B75" s="1727" t="str">
        <f>估价对象房地状况!C22</f>
        <v>估价对象所在区域基础设施水平达七通</v>
      </c>
      <c r="C75" s="2771"/>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79" t="s">
        <v>2953</v>
      </c>
      <c r="B76" s="2885" t="s">
        <v>2954</v>
      </c>
      <c r="C76" s="2771"/>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63.75">
      <c r="A77" s="2879" t="s">
        <v>2957</v>
      </c>
      <c r="B77" s="2882" t="str">
        <f>估价对象房地状况!C20</f>
        <v>区域自然环境：有五棵松公园、定慧公园等；人文环境：国家开放大学(五棵松校区)等；综合评价环境状况较好</v>
      </c>
      <c r="C77" s="2771"/>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7"/>
      <c r="AG77" s="1374"/>
      <c r="AK77" s="2797"/>
    </row>
    <row r="78" spans="1:37" ht="24.75" thickBot="1">
      <c r="A78" s="2887" t="s">
        <v>2964</v>
      </c>
      <c r="B78" s="2891"/>
      <c r="C78" s="2771"/>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7"/>
      <c r="AG78" s="1374"/>
      <c r="AK78" s="2797"/>
    </row>
    <row r="79" spans="1:37" ht="15">
      <c r="A79" s="2875" t="s">
        <v>2965</v>
      </c>
      <c r="B79" s="2876">
        <f>1+E81</f>
        <v>1</v>
      </c>
      <c r="C79" s="813"/>
      <c r="D79" s="813"/>
      <c r="E79" s="814"/>
      <c r="F79" s="2878"/>
      <c r="G79" s="6"/>
      <c r="H79" s="6"/>
      <c r="I79" s="6"/>
      <c r="J79" s="7"/>
      <c r="K79" s="7"/>
      <c r="L79" s="7"/>
      <c r="M79" s="7"/>
      <c r="N79" s="7"/>
      <c r="Z79" s="2722"/>
      <c r="AA79" s="2797"/>
      <c r="AG79" s="1374"/>
      <c r="AK79" s="2797"/>
    </row>
    <row r="80" spans="1:37" ht="24.75">
      <c r="A80" s="2879" t="s">
        <v>2939</v>
      </c>
      <c r="B80" s="1811"/>
      <c r="C80" s="1811" t="s">
        <v>2941</v>
      </c>
      <c r="D80" s="1811" t="s">
        <v>2942</v>
      </c>
      <c r="E80" s="818" t="s">
        <v>2943</v>
      </c>
      <c r="F80" s="2880" t="s">
        <v>2959</v>
      </c>
      <c r="G80" s="1811" t="s">
        <v>754</v>
      </c>
      <c r="H80" s="2881" t="s">
        <v>2945</v>
      </c>
      <c r="I80" s="1811" t="s">
        <v>2946</v>
      </c>
      <c r="J80" s="602" t="s">
        <v>2594</v>
      </c>
      <c r="K80" s="602" t="s">
        <v>2595</v>
      </c>
      <c r="L80" s="602" t="s">
        <v>2596</v>
      </c>
      <c r="M80" s="602" t="s">
        <v>2597</v>
      </c>
      <c r="N80" s="602" t="s">
        <v>2598</v>
      </c>
      <c r="Z80" s="2722"/>
      <c r="AA80" s="2797"/>
      <c r="AG80" s="1374"/>
      <c r="AK80" s="2797"/>
    </row>
    <row r="81" spans="1:37" ht="38.25">
      <c r="A81" s="2879" t="s">
        <v>2966</v>
      </c>
      <c r="B81" s="2883" t="str">
        <f>估价对象房地状况!G15</f>
        <v>估价对象位于XX开发区，园区建设成熟度XX，产业集聚程度XX</v>
      </c>
      <c r="C81" s="2771"/>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7"/>
      <c r="AG81" s="1374"/>
      <c r="AK81" s="2797"/>
    </row>
    <row r="82" spans="1:37" ht="51">
      <c r="A82" s="2879" t="s">
        <v>2948</v>
      </c>
      <c r="B82" s="2883" t="str">
        <f>估价对象房地状况!G16</f>
        <v>估价对象周边道路状况、公共交通通达情况、停车便捷程度，综合评价交通便捷度较好</v>
      </c>
      <c r="C82" s="2771"/>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7"/>
      <c r="AG82" s="1374"/>
      <c r="AK82" s="2797"/>
    </row>
    <row r="83" spans="1:37" ht="24">
      <c r="A83" s="2879" t="s">
        <v>2949</v>
      </c>
      <c r="B83" s="2883">
        <f>估价对象房地状况!G17</f>
        <v>0</v>
      </c>
      <c r="C83" s="2771"/>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7"/>
      <c r="AG83" s="1374"/>
      <c r="AK83" s="2797"/>
    </row>
    <row r="84" spans="1:37" ht="14.25">
      <c r="A84" s="2879" t="s">
        <v>2963</v>
      </c>
      <c r="B84" s="2883">
        <f>估价对象房地状况!G22</f>
        <v>0</v>
      </c>
      <c r="C84" s="2771"/>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7"/>
      <c r="AG84" s="1374"/>
      <c r="AK84" s="2797"/>
    </row>
    <row r="85" spans="1:37" ht="25.5">
      <c r="A85" s="2879" t="s">
        <v>2955</v>
      </c>
      <c r="B85" s="1727" t="str">
        <f>估价对象房地状况!G19</f>
        <v>估价对象所在区域公共配套设施齐备情况</v>
      </c>
      <c r="C85" s="2771"/>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7"/>
      <c r="AG85" s="1374"/>
      <c r="AK85" s="2797"/>
    </row>
    <row r="86" spans="1:37" ht="25.5">
      <c r="A86" s="2879" t="s">
        <v>2956</v>
      </c>
      <c r="B86" s="1727" t="str">
        <f>估价对象房地状况!G20</f>
        <v>估价对象所在区域基础设施水平</v>
      </c>
      <c r="C86" s="2771"/>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7"/>
      <c r="AG86" s="1374"/>
      <c r="AK86" s="2797"/>
    </row>
    <row r="87" spans="1:37" ht="24">
      <c r="A87" s="2879" t="s">
        <v>2953</v>
      </c>
      <c r="B87" s="2885" t="s">
        <v>2967</v>
      </c>
      <c r="C87" s="2771"/>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7"/>
      <c r="AG87" s="1374"/>
      <c r="AK87" s="2797"/>
    </row>
    <row r="88" spans="1:37" ht="39" thickBot="1">
      <c r="A88" s="2887" t="s">
        <v>2968</v>
      </c>
      <c r="B88" s="2892" t="str">
        <f>估价对象房地状况!G18</f>
        <v>该园区内是否有污染型企业，绿化情况，卫生条件，整体环境状况判断</v>
      </c>
      <c r="C88" s="2771"/>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7"/>
      <c r="AG88" s="1374"/>
      <c r="AK88" s="2797"/>
    </row>
    <row r="90" spans="1:37">
      <c r="A90" s="3261" t="s">
        <v>2969</v>
      </c>
      <c r="B90" s="3261"/>
      <c r="C90" s="3261"/>
      <c r="D90" s="3261"/>
      <c r="E90" s="3261"/>
      <c r="F90" s="3261"/>
      <c r="G90" s="3261"/>
      <c r="H90" s="3261"/>
      <c r="I90" s="3261"/>
      <c r="J90" s="3261"/>
      <c r="K90" s="2893"/>
      <c r="L90" s="2893"/>
      <c r="M90" s="2893"/>
      <c r="N90" s="2893"/>
    </row>
    <row r="91" spans="1:37">
      <c r="A91" s="3263" t="s">
        <v>2970</v>
      </c>
      <c r="B91" s="3263" t="s">
        <v>2971</v>
      </c>
      <c r="C91" s="2847" t="s">
        <v>2972</v>
      </c>
      <c r="D91" s="2848"/>
      <c r="E91" s="2848"/>
      <c r="F91" s="2848"/>
      <c r="G91" s="2848"/>
      <c r="H91" s="2848"/>
      <c r="I91" s="2848"/>
      <c r="J91" s="2894"/>
      <c r="K91" s="2895"/>
      <c r="L91" s="2895"/>
      <c r="M91" s="2895"/>
      <c r="N91" s="2895"/>
    </row>
    <row r="92" spans="1:37">
      <c r="A92" s="3263"/>
      <c r="B92" s="3263"/>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264" t="s">
        <v>2973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5"/>
      <c r="B99" s="2896" t="s">
        <v>2853</v>
      </c>
      <c r="C99" s="2898">
        <f>$I$3</f>
        <v>1</v>
      </c>
      <c r="D99" s="2898">
        <f t="shared" ref="D99:M99" si="30">$I$3</f>
        <v>1</v>
      </c>
      <c r="E99" s="2898">
        <f t="shared" si="30"/>
        <v>1</v>
      </c>
      <c r="F99" s="2898">
        <f t="shared" si="30"/>
        <v>1</v>
      </c>
      <c r="G99" s="2898">
        <f t="shared" si="30"/>
        <v>1</v>
      </c>
      <c r="H99" s="2898">
        <f t="shared" si="30"/>
        <v>1</v>
      </c>
      <c r="I99" s="2898">
        <f t="shared" si="30"/>
        <v>1</v>
      </c>
      <c r="J99" s="2898">
        <f t="shared" si="30"/>
        <v>1</v>
      </c>
      <c r="K99" s="2898">
        <f t="shared" si="30"/>
        <v>1</v>
      </c>
      <c r="L99" s="2898">
        <f t="shared" si="30"/>
        <v>1</v>
      </c>
      <c r="M99" s="2898">
        <f t="shared" si="30"/>
        <v>1</v>
      </c>
      <c r="N99" s="2898">
        <f>$I$3</f>
        <v>1</v>
      </c>
    </row>
    <row r="100" spans="1:14">
      <c r="A100" s="3266"/>
      <c r="B100" s="2896">
        <v>7</v>
      </c>
      <c r="C100" s="2899">
        <f>(-0.163*(C99^2)-0.59*C99+7617)*(10^(-4))</f>
        <v>0.76162470000000004</v>
      </c>
      <c r="D100" s="2899">
        <f>(-0.163*(D99^2)-0.59*D99+7617)*(10^(-4))</f>
        <v>0.76162470000000004</v>
      </c>
      <c r="E100" s="2899">
        <f>(-0.161*(E99^2)-7.509*E99+6533)*(10^(-4))</f>
        <v>0.65253300000000003</v>
      </c>
      <c r="F100" s="2899">
        <f>(-0.161*(F99^2)-7.509*F99+6533)*(10^(-4))</f>
        <v>0.65253300000000003</v>
      </c>
      <c r="G100" s="2899">
        <f>(-0.161*(G99^2)-7.509*G99+6533)*(10^(-4))</f>
        <v>0.65253300000000003</v>
      </c>
      <c r="H100" s="2899">
        <f>(-0.161*(H99^2)-7.509*H99+6533)*(10^(-4))</f>
        <v>0.65253300000000003</v>
      </c>
      <c r="I100" s="2899">
        <f>(-0.161*(I99^2)-7.509*I99+6533)*(10^(-4))</f>
        <v>0.65253300000000003</v>
      </c>
      <c r="J100" s="2899">
        <f>(-0.214*(J99^2)-21.991*J99+4665)*(10^(-4))</f>
        <v>0.46427950000000001</v>
      </c>
      <c r="K100" s="2899">
        <f>(-0.214*(K99^2)-21.991*K99+4665)*(10^(-4))</f>
        <v>0.46427950000000001</v>
      </c>
      <c r="L100" s="2899">
        <f>(-0.214*(L99^2)-21.991*L99+4665)*(10^(-4))</f>
        <v>0.46427950000000001</v>
      </c>
      <c r="M100" s="2899">
        <f>(-0.214*(M99^2)-21.991*M99+4665)*(10^(-4))</f>
        <v>0.46427950000000001</v>
      </c>
      <c r="N100" s="2899">
        <f>(-0.214*(N99^2)-21.991*N99+4665)*(10^(-4))</f>
        <v>0.46427950000000001</v>
      </c>
    </row>
    <row r="101" spans="1:14">
      <c r="A101" s="3264" t="s">
        <v>2974</v>
      </c>
      <c r="B101" s="2900" t="s">
        <v>2975</v>
      </c>
      <c r="C101" s="2901">
        <f>$G$3</f>
        <v>2</v>
      </c>
      <c r="D101" s="2901">
        <f t="shared" ref="D101:N101" si="31">$G$3</f>
        <v>2</v>
      </c>
      <c r="E101" s="2901">
        <f t="shared" si="31"/>
        <v>2</v>
      </c>
      <c r="F101" s="2901">
        <f t="shared" si="31"/>
        <v>2</v>
      </c>
      <c r="G101" s="2901">
        <f t="shared" si="31"/>
        <v>2</v>
      </c>
      <c r="H101" s="2901">
        <f t="shared" si="31"/>
        <v>2</v>
      </c>
      <c r="I101" s="2901">
        <f t="shared" si="31"/>
        <v>2</v>
      </c>
      <c r="J101" s="2901">
        <f t="shared" si="31"/>
        <v>2</v>
      </c>
      <c r="K101" s="2901">
        <f t="shared" si="31"/>
        <v>2</v>
      </c>
      <c r="L101" s="2901">
        <f t="shared" si="31"/>
        <v>2</v>
      </c>
      <c r="M101" s="2901">
        <f t="shared" si="31"/>
        <v>2</v>
      </c>
      <c r="N101" s="2901">
        <f t="shared" si="31"/>
        <v>2</v>
      </c>
    </row>
    <row r="102" spans="1:14">
      <c r="A102" s="3265"/>
      <c r="B102" s="2896">
        <v>1</v>
      </c>
      <c r="C102" s="2897">
        <f>1.9362/C101</f>
        <v>0.96809999999999996</v>
      </c>
      <c r="D102" s="2897">
        <f>1.9362/D101</f>
        <v>0.96809999999999996</v>
      </c>
      <c r="E102" s="2897">
        <f>1.8629/E101</f>
        <v>0.93145</v>
      </c>
      <c r="F102" s="2897">
        <f>1.8629/F101</f>
        <v>0.93145</v>
      </c>
      <c r="G102" s="2897">
        <f>1.8629/G101</f>
        <v>0.93145</v>
      </c>
      <c r="H102" s="2897">
        <f>1.8629/H101</f>
        <v>0.93145</v>
      </c>
      <c r="I102" s="2897">
        <f>1.8629/I101</f>
        <v>0.93145</v>
      </c>
      <c r="J102" s="2897">
        <f>1.942/J101</f>
        <v>0.97099999999999997</v>
      </c>
      <c r="K102" s="2897">
        <f>1.942/K101</f>
        <v>0.97099999999999997</v>
      </c>
      <c r="L102" s="2897">
        <f>1.942/L101</f>
        <v>0.97099999999999997</v>
      </c>
      <c r="M102" s="2897">
        <f>1.942/M101</f>
        <v>0.97099999999999997</v>
      </c>
      <c r="N102" s="2897">
        <f>1.942/N101</f>
        <v>0.97099999999999997</v>
      </c>
    </row>
    <row r="103" spans="1:14">
      <c r="A103" s="3265"/>
      <c r="B103" s="2896">
        <v>2</v>
      </c>
      <c r="C103" s="2897">
        <f>1.4198/C101</f>
        <v>0.70989999999999998</v>
      </c>
      <c r="D103" s="2897">
        <f>1.4198/D101</f>
        <v>0.70989999999999998</v>
      </c>
      <c r="E103" s="2897">
        <f>1.3372/E101</f>
        <v>0.66859999999999997</v>
      </c>
      <c r="F103" s="2897">
        <f>1.3372/F101</f>
        <v>0.66859999999999997</v>
      </c>
      <c r="G103" s="2897">
        <f>1.3372/G101</f>
        <v>0.66859999999999997</v>
      </c>
      <c r="H103" s="2897">
        <f>1.3372/H101</f>
        <v>0.66859999999999997</v>
      </c>
      <c r="I103" s="2897">
        <f>1.3372/I101</f>
        <v>0.66859999999999997</v>
      </c>
      <c r="J103" s="2897">
        <f>1.2799/J101</f>
        <v>0.63995000000000002</v>
      </c>
      <c r="K103" s="2897">
        <f>1.2799/K101</f>
        <v>0.63995000000000002</v>
      </c>
      <c r="L103" s="2897">
        <f>1.2799/L101</f>
        <v>0.63995000000000002</v>
      </c>
      <c r="M103" s="2897">
        <f>1.2799/M101</f>
        <v>0.63995000000000002</v>
      </c>
      <c r="N103" s="2897">
        <f>1.2799/N101</f>
        <v>0.63995000000000002</v>
      </c>
    </row>
    <row r="104" spans="1:14">
      <c r="A104" s="3265"/>
      <c r="B104" s="2896">
        <v>3</v>
      </c>
      <c r="C104" s="2897">
        <f>1.1594/C101</f>
        <v>0.57969999999999999</v>
      </c>
      <c r="D104" s="2897">
        <f>1.1594/D101</f>
        <v>0.57969999999999999</v>
      </c>
      <c r="E104" s="2897">
        <f>1.0788/E101</f>
        <v>0.53939999999999999</v>
      </c>
      <c r="F104" s="2897">
        <f>1.0788/F101</f>
        <v>0.53939999999999999</v>
      </c>
      <c r="G104" s="2897">
        <f>1.0788/G101</f>
        <v>0.53939999999999999</v>
      </c>
      <c r="H104" s="2897">
        <f>1.0788/H101</f>
        <v>0.53939999999999999</v>
      </c>
      <c r="I104" s="2897">
        <f>1.0788/I101</f>
        <v>0.53939999999999999</v>
      </c>
      <c r="J104" s="2897">
        <f>1.0072/J101</f>
        <v>0.50360000000000005</v>
      </c>
      <c r="K104" s="2897">
        <f>1.0072/K101</f>
        <v>0.50360000000000005</v>
      </c>
      <c r="L104" s="2897">
        <f>1.0072/L101</f>
        <v>0.50360000000000005</v>
      </c>
      <c r="M104" s="2897">
        <f>1.0072/M101</f>
        <v>0.50360000000000005</v>
      </c>
      <c r="N104" s="2897">
        <f>1.0072/N101</f>
        <v>0.50360000000000005</v>
      </c>
    </row>
    <row r="105" spans="1:14">
      <c r="A105" s="3265"/>
      <c r="B105" s="2896">
        <v>4</v>
      </c>
      <c r="C105" s="2897">
        <f>0.9622/C101</f>
        <v>0.48110000000000003</v>
      </c>
      <c r="D105" s="2897">
        <f>0.9622/D101</f>
        <v>0.48110000000000003</v>
      </c>
      <c r="E105" s="2897">
        <f>0.8656/E101</f>
        <v>0.43280000000000002</v>
      </c>
      <c r="F105" s="2897">
        <f>0.8656/F101</f>
        <v>0.43280000000000002</v>
      </c>
      <c r="G105" s="2897">
        <f>0.8656/G101</f>
        <v>0.43280000000000002</v>
      </c>
      <c r="H105" s="2897">
        <f>0.8656/H101</f>
        <v>0.43280000000000002</v>
      </c>
      <c r="I105" s="2897">
        <f>0.8656/I101</f>
        <v>0.43280000000000002</v>
      </c>
      <c r="J105" s="2897">
        <f>0.7525/J101</f>
        <v>0.37624999999999997</v>
      </c>
      <c r="K105" s="2897">
        <f>0.7525/K101</f>
        <v>0.37624999999999997</v>
      </c>
      <c r="L105" s="2897">
        <f>0.7525/L101</f>
        <v>0.37624999999999997</v>
      </c>
      <c r="M105" s="2897">
        <f>0.7525/M101</f>
        <v>0.37624999999999997</v>
      </c>
      <c r="N105" s="2897">
        <f>0.7525/N101</f>
        <v>0.37624999999999997</v>
      </c>
    </row>
    <row r="106" spans="1:14">
      <c r="A106" s="3265"/>
      <c r="B106" s="2896">
        <v>5</v>
      </c>
      <c r="C106" s="2897">
        <f>0.8417/C101</f>
        <v>0.42085</v>
      </c>
      <c r="D106" s="2897">
        <f>0.8417/D101</f>
        <v>0.42085</v>
      </c>
      <c r="E106" s="2897">
        <f>0.7371/E101</f>
        <v>0.36854999999999999</v>
      </c>
      <c r="F106" s="2897">
        <f>0.7371/F101</f>
        <v>0.36854999999999999</v>
      </c>
      <c r="G106" s="2897">
        <f>0.7371/G101</f>
        <v>0.36854999999999999</v>
      </c>
      <c r="H106" s="2897">
        <f>0.7371/H101</f>
        <v>0.36854999999999999</v>
      </c>
      <c r="I106" s="2897">
        <f>0.7371/I101</f>
        <v>0.36854999999999999</v>
      </c>
      <c r="J106" s="2897">
        <f>0.5659/J101</f>
        <v>0.28294999999999998</v>
      </c>
      <c r="K106" s="2897">
        <f>0.5659/K101</f>
        <v>0.28294999999999998</v>
      </c>
      <c r="L106" s="2897">
        <f>0.5659/L101</f>
        <v>0.28294999999999998</v>
      </c>
      <c r="M106" s="2897">
        <f>0.5659/M101</f>
        <v>0.28294999999999998</v>
      </c>
      <c r="N106" s="2897">
        <f>0.5659/N101</f>
        <v>0.28294999999999998</v>
      </c>
    </row>
    <row r="107" spans="1:14">
      <c r="A107" s="3265"/>
      <c r="B107" s="2896">
        <v>6</v>
      </c>
      <c r="C107" s="2897">
        <f>0.7608/C101</f>
        <v>0.38040000000000002</v>
      </c>
      <c r="D107" s="2897">
        <f>0.7608/D101</f>
        <v>0.38040000000000002</v>
      </c>
      <c r="E107" s="2897">
        <f>0.6482/E101</f>
        <v>0.3241</v>
      </c>
      <c r="F107" s="2897">
        <f>0.6482/F101</f>
        <v>0.3241</v>
      </c>
      <c r="G107" s="2897">
        <f>0.6482/G101</f>
        <v>0.3241</v>
      </c>
      <c r="H107" s="2897">
        <f>0.6482/H101</f>
        <v>0.3241</v>
      </c>
      <c r="I107" s="2897">
        <f>0.6482/I101</f>
        <v>0.3241</v>
      </c>
      <c r="J107" s="2897">
        <f>0.4525/J101</f>
        <v>0.22625000000000001</v>
      </c>
      <c r="K107" s="2897">
        <f>0.4525/K101</f>
        <v>0.22625000000000001</v>
      </c>
      <c r="L107" s="2897">
        <f>0.4525/L101</f>
        <v>0.22625000000000001</v>
      </c>
      <c r="M107" s="2897">
        <f>0.4525/M101</f>
        <v>0.22625000000000001</v>
      </c>
      <c r="N107" s="2897">
        <f>0.4525/N101</f>
        <v>0.22625000000000001</v>
      </c>
    </row>
    <row r="108" spans="1:14">
      <c r="A108" s="3265"/>
      <c r="B108" s="3123" t="s">
        <v>2976</v>
      </c>
      <c r="C108" s="2898">
        <f>C99</f>
        <v>1</v>
      </c>
      <c r="D108" s="2898">
        <f t="shared" ref="D108:N108" si="32">D99</f>
        <v>1</v>
      </c>
      <c r="E108" s="2898">
        <f t="shared" si="32"/>
        <v>1</v>
      </c>
      <c r="F108" s="2898">
        <f t="shared" si="32"/>
        <v>1</v>
      </c>
      <c r="G108" s="2898">
        <f t="shared" si="32"/>
        <v>1</v>
      </c>
      <c r="H108" s="2898">
        <f t="shared" si="32"/>
        <v>1</v>
      </c>
      <c r="I108" s="2898">
        <f t="shared" si="32"/>
        <v>1</v>
      </c>
      <c r="J108" s="2898">
        <f t="shared" si="32"/>
        <v>1</v>
      </c>
      <c r="K108" s="2898">
        <f t="shared" si="32"/>
        <v>1</v>
      </c>
      <c r="L108" s="2898">
        <f t="shared" si="32"/>
        <v>1</v>
      </c>
      <c r="M108" s="2898">
        <f t="shared" si="32"/>
        <v>1</v>
      </c>
      <c r="N108" s="2898">
        <f t="shared" si="32"/>
        <v>1</v>
      </c>
    </row>
    <row r="109" spans="1:14">
      <c r="A109" s="3266"/>
      <c r="B109" s="3124"/>
      <c r="C109" s="2899">
        <f>(-0.163*(C108^2)-0.59*C108+7617)*(10^(-4))/C101</f>
        <v>0.38081235000000002</v>
      </c>
      <c r="D109" s="2899">
        <f>(-0.163*(D108^2)-0.59*D108+7617)*(10^(-4))/D101</f>
        <v>0.38081235000000002</v>
      </c>
      <c r="E109" s="2899">
        <f>(-0.161*(E108^2)-7.509*E108+6533)*(10^(-4))/E101</f>
        <v>0.32626650000000001</v>
      </c>
      <c r="F109" s="2899">
        <f>(-0.161*(F108^2)-7.509*F108+6533)*(10^(-4))/F101</f>
        <v>0.32626650000000001</v>
      </c>
      <c r="G109" s="2899">
        <f>(-0.161*(G108^2)-7.509*G108+6533)*(10^(-4))/G101</f>
        <v>0.32626650000000001</v>
      </c>
      <c r="H109" s="2899">
        <f>(-0.161*(H108^2)-7.509*H108+6533)*(10^(-4))/H101</f>
        <v>0.32626650000000001</v>
      </c>
      <c r="I109" s="2899">
        <f>(-0.161*(I108^2)-7.509*I108+6533)*(10^(-4))/I101</f>
        <v>0.32626650000000001</v>
      </c>
      <c r="J109" s="2899">
        <f>(-0.214*(J108^2)-21.991*J108+4665)*(10^(-4))/J101</f>
        <v>0.23213975000000001</v>
      </c>
      <c r="K109" s="2899">
        <f>(-0.214*(K108^2)-21.991*K108+4665)*(10^(-4))/K101</f>
        <v>0.23213975000000001</v>
      </c>
      <c r="L109" s="2899">
        <f>(-0.214*(L108^2)-21.991*L108+4665)*(10^(-4))/L101</f>
        <v>0.23213975000000001</v>
      </c>
      <c r="M109" s="2899">
        <f>(-0.214*(M108^2)-21.991*M108+4665)*(10^(-4))/M101</f>
        <v>0.23213975000000001</v>
      </c>
      <c r="N109" s="2899">
        <f>(-0.214*(N108^2)-21.991*N108+4665)*(10^(-4))/N101</f>
        <v>0.23213975000000001</v>
      </c>
    </row>
    <row r="110" spans="1:14">
      <c r="A110" s="3262" t="s">
        <v>2977</v>
      </c>
      <c r="B110" s="3262"/>
      <c r="C110" s="3262"/>
      <c r="D110" s="3262"/>
      <c r="E110" s="3262"/>
      <c r="F110" s="3262"/>
      <c r="G110" s="3262"/>
      <c r="H110" s="3262"/>
      <c r="I110" s="3262"/>
      <c r="J110" s="3262"/>
      <c r="K110" s="2902"/>
      <c r="L110" s="2902"/>
      <c r="M110" s="2902"/>
      <c r="N110" s="2902"/>
    </row>
    <row r="112" spans="1:14" ht="13.5" thickBot="1"/>
    <row r="113" spans="1:13" ht="25.5" thickBot="1">
      <c r="A113" s="902" t="s">
        <v>2978</v>
      </c>
      <c r="B113" s="1289">
        <f>G3</f>
        <v>2</v>
      </c>
      <c r="C113" s="903" t="s">
        <v>2979</v>
      </c>
      <c r="D113" s="904">
        <f>SUMPRODUCT((A115:A118=F113)*(B114:M114=H113)*B115:M118)</f>
        <v>0.81130000000000002</v>
      </c>
      <c r="E113" s="2726" t="s">
        <v>2811</v>
      </c>
      <c r="F113" s="2904" t="str">
        <f>E2</f>
        <v>商业</v>
      </c>
      <c r="G113" s="2726" t="s">
        <v>2812</v>
      </c>
      <c r="H113" s="2904" t="str">
        <f>G2</f>
        <v>四级</v>
      </c>
      <c r="I113" s="2726"/>
      <c r="J113" s="2905"/>
      <c r="K113" s="2905"/>
      <c r="L113" s="2905"/>
      <c r="M113" s="2905"/>
    </row>
    <row r="114" spans="1:13">
      <c r="A114" s="907"/>
      <c r="B114" s="2906" t="s">
        <v>2980</v>
      </c>
      <c r="C114" s="2906" t="s">
        <v>2981</v>
      </c>
      <c r="D114" s="2906" t="s">
        <v>2982</v>
      </c>
      <c r="E114" s="2907" t="s">
        <v>2983</v>
      </c>
      <c r="F114" s="2907" t="s">
        <v>2984</v>
      </c>
      <c r="G114" s="2907" t="s">
        <v>2985</v>
      </c>
      <c r="H114" s="2908" t="s">
        <v>2986</v>
      </c>
      <c r="I114" s="2908" t="s">
        <v>2987</v>
      </c>
      <c r="J114" s="2909" t="s">
        <v>2988</v>
      </c>
      <c r="K114" s="2909" t="s">
        <v>2989</v>
      </c>
      <c r="L114" s="2909" t="s">
        <v>2990</v>
      </c>
      <c r="M114" s="2910" t="s">
        <v>2991</v>
      </c>
    </row>
    <row r="115" spans="1:13">
      <c r="A115" s="908" t="s">
        <v>2875</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2876</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2877</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3" t="s">
        <v>2878</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1.0732999999999999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T35" sqref="T35"/>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3000</v>
      </c>
    </row>
    <row r="2" spans="1:5" ht="15.75">
      <c r="A2" s="2911" t="s">
        <v>2992</v>
      </c>
      <c r="B2" s="2912">
        <f ca="1">SUMIF(B6:B13,"&lt;&gt;#ref!",B6:B13)</f>
        <v>6100</v>
      </c>
      <c r="C2" s="2911" t="s">
        <v>2993</v>
      </c>
      <c r="D2" s="2911" t="s">
        <v>2994</v>
      </c>
      <c r="E2" s="2912">
        <f ca="1">SUMIF(E6:E13,"&lt;&gt;#ref!",E6:E13)</f>
        <v>1700.71</v>
      </c>
    </row>
    <row r="3" spans="1:5" ht="15.75">
      <c r="A3" s="2911" t="s">
        <v>2995</v>
      </c>
      <c r="B3" s="2912">
        <f ca="1">ROUND(B2*10000/E2,0)</f>
        <v>35867</v>
      </c>
      <c r="C3" s="2911" t="s">
        <v>3001</v>
      </c>
      <c r="D3" s="2913"/>
      <c r="E3" s="2913"/>
    </row>
    <row r="4" spans="1:5" ht="15.75">
      <c r="A4" s="2914"/>
      <c r="B4" s="2913"/>
      <c r="C4" s="2913"/>
      <c r="D4" s="2913"/>
      <c r="E4" s="2913"/>
    </row>
    <row r="5" spans="1:5" ht="28.5">
      <c r="A5" s="2915" t="s">
        <v>2996</v>
      </c>
      <c r="B5" s="2911" t="s">
        <v>2997</v>
      </c>
      <c r="C5" s="2912"/>
      <c r="D5" s="2913"/>
      <c r="E5" s="2911" t="s">
        <v>2998</v>
      </c>
    </row>
    <row r="6" spans="1:5" ht="15.75">
      <c r="A6" s="2916" t="s">
        <v>2999</v>
      </c>
      <c r="B6" s="2912">
        <f ca="1">SUMIF(INDIRECT("'"&amp;A6&amp;"'"&amp;"!A:A"),"总价",INDIRECT("'"&amp;A6&amp;"'"&amp;"!B:B"))</f>
        <v>6100</v>
      </c>
      <c r="C6" s="2911" t="s">
        <v>2993</v>
      </c>
      <c r="D6" s="2913"/>
      <c r="E6" s="2577">
        <f ca="1">SUMIF(INDIRECT("'"&amp;A6&amp;"'"&amp;"!C:C"),"建筑面积",INDIRECT("'"&amp;A6&amp;"'"&amp;"!D:D"))</f>
        <v>1700.71</v>
      </c>
    </row>
    <row r="7" spans="1:5" ht="15.75">
      <c r="A7" s="2916"/>
      <c r="B7" s="2912" t="e">
        <f ca="1">SUMIF(INDIRECT("'"&amp;A7&amp;"'"&amp;"!A:A"),"总价",INDIRECT("'"&amp;A7&amp;"'"&amp;"!B:B"))</f>
        <v>#REF!</v>
      </c>
      <c r="C7" s="2911" t="s">
        <v>2993</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2993</v>
      </c>
      <c r="D8" s="2913"/>
      <c r="E8" s="2577" t="e">
        <f t="shared" ca="1" si="0"/>
        <v>#REF!</v>
      </c>
    </row>
    <row r="9" spans="1:5" ht="15.75">
      <c r="A9" s="2916"/>
      <c r="B9" s="2912" t="e">
        <f t="shared" ca="1" si="1"/>
        <v>#REF!</v>
      </c>
      <c r="C9" s="2911" t="s">
        <v>2993</v>
      </c>
      <c r="D9" s="2913"/>
      <c r="E9" s="2577" t="e">
        <f t="shared" ca="1" si="0"/>
        <v>#REF!</v>
      </c>
    </row>
    <row r="10" spans="1:5" ht="15.75">
      <c r="A10" s="2916"/>
      <c r="B10" s="2912" t="e">
        <f t="shared" ca="1" si="1"/>
        <v>#REF!</v>
      </c>
      <c r="C10" s="2911" t="s">
        <v>2993</v>
      </c>
      <c r="D10" s="2913"/>
      <c r="E10" s="2577" t="e">
        <f t="shared" ca="1" si="0"/>
        <v>#REF!</v>
      </c>
    </row>
    <row r="11" spans="1:5" ht="15.75">
      <c r="A11" s="2916"/>
      <c r="B11" s="2912" t="e">
        <f t="shared" ca="1" si="1"/>
        <v>#REF!</v>
      </c>
      <c r="C11" s="2911" t="s">
        <v>2993</v>
      </c>
      <c r="D11" s="2913"/>
      <c r="E11" s="2577" t="e">
        <f t="shared" ca="1" si="0"/>
        <v>#REF!</v>
      </c>
    </row>
    <row r="12" spans="1:5" ht="15.75">
      <c r="A12" s="2916"/>
      <c r="B12" s="2912" t="e">
        <f t="shared" ca="1" si="1"/>
        <v>#REF!</v>
      </c>
      <c r="C12" s="2911" t="s">
        <v>2993</v>
      </c>
      <c r="D12" s="2913"/>
      <c r="E12" s="2577" t="e">
        <f t="shared" ca="1" si="0"/>
        <v>#REF!</v>
      </c>
    </row>
    <row r="13" spans="1:5" ht="15.75">
      <c r="A13" s="2916"/>
      <c r="B13" s="2912" t="e">
        <f t="shared" ca="1" si="1"/>
        <v>#REF!</v>
      </c>
      <c r="C13" s="2911" t="s">
        <v>2993</v>
      </c>
      <c r="D13" s="2913"/>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T35" sqref="T3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1150</v>
      </c>
      <c r="C1" s="3276"/>
      <c r="D1" s="3276"/>
      <c r="E1" s="3276"/>
      <c r="F1" s="3276"/>
      <c r="G1" s="3275" t="s">
        <v>1151</v>
      </c>
      <c r="H1" s="3275"/>
      <c r="I1" s="3275"/>
      <c r="J1" s="3275"/>
      <c r="K1" s="3275"/>
      <c r="L1" s="3275"/>
      <c r="N1" s="3275" t="s">
        <v>1152</v>
      </c>
      <c r="O1" s="3275"/>
      <c r="P1" s="3275"/>
      <c r="Q1" s="3275"/>
      <c r="R1" s="1448"/>
      <c r="S1" s="3275" t="s">
        <v>1153</v>
      </c>
      <c r="T1" s="3275"/>
      <c r="U1" s="3275"/>
      <c r="V1" s="3275"/>
      <c r="X1" s="3274" t="s">
        <v>1154</v>
      </c>
      <c r="Y1" s="3275"/>
      <c r="Z1" s="3275"/>
      <c r="AA1" s="3275"/>
      <c r="AB1" s="3275"/>
      <c r="AD1" s="3274" t="s">
        <v>1155</v>
      </c>
      <c r="AE1" s="3275"/>
      <c r="AF1" s="3275"/>
      <c r="AG1" s="3275"/>
      <c r="AH1" s="327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3035</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1.4517</v>
      </c>
      <c r="Y3" s="2937">
        <f>ROUND(SUMPRODUCT(PRODUCT(1+O3:O$22)),4)</f>
        <v>1.2928999999999999</v>
      </c>
      <c r="Z3" s="2937">
        <f t="shared" ref="Z3:Z20" si="0">Y3</f>
        <v>1.2928999999999999</v>
      </c>
      <c r="AA3" s="2937">
        <f>ROUND(SUMPRODUCT(PRODUCT(1+P3:P$22)),4)</f>
        <v>1.5068999999999999</v>
      </c>
      <c r="AB3" s="2937">
        <f>ROUND(SUMPRODUCT(PRODUCT(1+Q3:Q$22)),4)</f>
        <v>1.2557</v>
      </c>
      <c r="AD3" s="2938">
        <f>ROUND(AVERAGE(I3:I$23)/100,4)</f>
        <v>2.1600000000000001E-2</v>
      </c>
      <c r="AE3" s="2938">
        <f>ROUND(AVERAGE(J3:J$23)/100,4)</f>
        <v>1.4999999999999999E-2</v>
      </c>
      <c r="AF3" s="2938">
        <f t="shared" ref="AF3:AF21" si="1">AE3</f>
        <v>1.4999999999999999E-2</v>
      </c>
      <c r="AG3" s="2938">
        <f>ROUND(AVERAGE(K3:K$23)/100,4)</f>
        <v>2.3900000000000001E-2</v>
      </c>
      <c r="AH3" s="2938">
        <f>ROUND(AVERAGE(L3:L$23)/100,4)</f>
        <v>1.2800000000000001E-2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2">
        <v>2018</v>
      </c>
      <c r="H5" s="1732">
        <v>3</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0"/>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0"/>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7">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3"/>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2"/>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3"/>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7">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72"/>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72"/>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73"/>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71">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72"/>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72"/>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73"/>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71">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72"/>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72"/>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73"/>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8">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9"/>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9"/>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80"/>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71">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72"/>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72"/>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73"/>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71">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72">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72">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73">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71">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72">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72">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73">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71">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72">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72">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73">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71">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72">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72">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73">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71">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72">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72">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73">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71">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72">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72">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73">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71">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72">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72">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73">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71">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72">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72">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73">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71">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72">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72">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73">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71">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72">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72">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73">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3002</v>
      </c>
      <c r="C1" s="3282" t="s">
        <v>3003</v>
      </c>
      <c r="D1" s="3283"/>
      <c r="E1" s="3283"/>
      <c r="F1" s="3283"/>
      <c r="G1" s="3283"/>
      <c r="H1" s="3283"/>
      <c r="I1" s="3283"/>
      <c r="J1" s="3283"/>
      <c r="K1" s="3283"/>
      <c r="L1" s="3283"/>
      <c r="M1" s="3283"/>
      <c r="N1" s="3283"/>
      <c r="O1" s="3283"/>
      <c r="P1" s="3283"/>
      <c r="Q1" s="3283"/>
      <c r="R1" s="3283"/>
      <c r="S1" s="3284"/>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3012</v>
      </c>
      <c r="B17" s="2918"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3014</v>
      </c>
      <c r="E19" s="1794"/>
      <c r="F19" s="1794"/>
      <c r="G19" s="1794"/>
      <c r="H19" s="1282"/>
      <c r="I19" s="168"/>
      <c r="J19" s="168"/>
      <c r="K19" s="168"/>
      <c r="L19" s="168"/>
      <c r="M19" s="168"/>
      <c r="N19" s="168"/>
      <c r="O19" s="168"/>
      <c r="P19" s="168"/>
      <c r="Q19" s="168"/>
      <c r="R19" s="787"/>
      <c r="S19" s="138"/>
    </row>
    <row r="20" spans="1:45" ht="16.5" thickBot="1">
      <c r="A20" s="714" t="s">
        <v>3015</v>
      </c>
      <c r="B20" s="338" t="e">
        <f ca="1">IF(D20="——",S22,S22-F20)</f>
        <v>#REF!</v>
      </c>
      <c r="C20" s="168"/>
      <c r="D20" s="2920" t="s">
        <v>3016</v>
      </c>
      <c r="E20" s="1795"/>
      <c r="F20" s="1206" t="e">
        <f ca="1">SUMIF(INDIRECT("'"&amp;H20&amp;"'"&amp;"!A:A"),"承租人权益价值",INDIRECT("'"&amp;H20&amp;"'"&amp;"!c:c"))</f>
        <v>#REF!</v>
      </c>
      <c r="G20" s="1206" t="s">
        <v>3017</v>
      </c>
      <c r="H20" s="2921"/>
      <c r="I20" s="168"/>
      <c r="J20" s="168"/>
      <c r="K20" s="168"/>
      <c r="L20" s="168"/>
      <c r="M20" s="168"/>
      <c r="N20" s="168"/>
      <c r="O20" s="168"/>
      <c r="P20" s="168"/>
      <c r="Q20" s="168"/>
      <c r="R20" s="787"/>
      <c r="S20" s="138"/>
    </row>
    <row r="21" spans="1:45" ht="15.75">
      <c r="A21" s="714"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145" t="s">
        <v>33</v>
      </c>
      <c r="D22" s="3146"/>
      <c r="E22" s="3146"/>
      <c r="F22" s="3146"/>
      <c r="G22" s="3146"/>
      <c r="H22" s="3146"/>
      <c r="I22" s="3146"/>
      <c r="J22" s="3146"/>
      <c r="K22" s="3146"/>
      <c r="L22" s="3146"/>
      <c r="M22" s="3146"/>
      <c r="N22" s="3146"/>
      <c r="O22" s="3146"/>
      <c r="P22" s="3146"/>
      <c r="Q22" s="3281"/>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3"/>
      <c r="B4" s="2968" t="s">
        <v>1629</v>
      </c>
      <c r="C4" s="2968"/>
      <c r="D4" s="2968"/>
      <c r="E4" s="1963"/>
    </row>
    <row r="5" spans="1:5" ht="16.5" thickTop="1">
      <c r="A5" s="1961"/>
      <c r="B5" s="2966" t="s">
        <v>1621</v>
      </c>
      <c r="C5" s="1964" t="s">
        <v>1622</v>
      </c>
      <c r="D5" s="1042">
        <f ca="1">结果表!H101</f>
        <v>16397</v>
      </c>
      <c r="E5" s="1961"/>
    </row>
    <row r="6" spans="1:5" ht="15.75">
      <c r="A6" s="1961"/>
      <c r="B6" s="2966"/>
      <c r="C6" s="1964" t="s">
        <v>1623</v>
      </c>
      <c r="D6" s="1042" t="str">
        <f ca="1">NUMBERSTRING(INT(D5*10000),2)&amp;"元整"</f>
        <v>壹亿陆仟叁佰玖拾柒万元整</v>
      </c>
      <c r="E6" s="1961"/>
    </row>
    <row r="7" spans="1:5" ht="15.75">
      <c r="A7" s="1961"/>
      <c r="B7" s="2971"/>
      <c r="C7" s="1965" t="s">
        <v>1624</v>
      </c>
      <c r="D7" s="1043">
        <f ca="1">结果表!H102</f>
        <v>33987</v>
      </c>
      <c r="E7" s="1961"/>
    </row>
    <row r="8" spans="1:5" ht="15.75">
      <c r="A8" s="1961"/>
      <c r="B8" s="2972" t="str">
        <f>结果表!E103</f>
        <v>2.估价师知悉的法定优先受偿款</v>
      </c>
      <c r="C8" s="1966" t="s">
        <v>1625</v>
      </c>
      <c r="D8" s="1043">
        <f>结果表!H103</f>
        <v>0</v>
      </c>
      <c r="E8" s="1961"/>
    </row>
    <row r="9" spans="1:5" ht="15.75">
      <c r="A9" s="1961"/>
      <c r="B9" s="2974"/>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65" t="str">
        <f>结果表!E107</f>
        <v>3.房地产抵押价值</v>
      </c>
      <c r="C13" s="1969" t="s">
        <v>1622</v>
      </c>
      <c r="D13" s="1045">
        <f ca="1">结果表!H107</f>
        <v>16397</v>
      </c>
      <c r="E13" s="1961"/>
    </row>
    <row r="14" spans="1:5" ht="15.75">
      <c r="A14" s="1961"/>
      <c r="B14" s="2966"/>
      <c r="C14" s="1964" t="s">
        <v>1623</v>
      </c>
      <c r="D14" s="1042" t="str">
        <f ca="1">NUMBERSTRING(INT(D13*10000),2)&amp;"元整"</f>
        <v>壹亿陆仟叁佰玖拾柒万元整</v>
      </c>
      <c r="E14" s="1961"/>
    </row>
    <row r="15" spans="1:5" ht="15">
      <c r="A15" s="1961"/>
      <c r="B15" s="2971"/>
      <c r="C15" s="1965" t="s">
        <v>1633</v>
      </c>
      <c r="D15" s="1054">
        <f ca="1">结果表!H108</f>
        <v>33987</v>
      </c>
      <c r="E15" s="1961"/>
    </row>
    <row r="16" spans="1:5" ht="15">
      <c r="A16" s="1961"/>
      <c r="B16" s="2972" t="str">
        <f>结果表!E109</f>
        <v>——</v>
      </c>
      <c r="C16" s="1969" t="s">
        <v>1634</v>
      </c>
      <c r="D16" s="1970" t="str">
        <f>结果表!H109</f>
        <v>——</v>
      </c>
      <c r="E16" s="1961"/>
    </row>
    <row r="17" spans="1:5" ht="15.75">
      <c r="A17" s="1961"/>
      <c r="B17" s="2973"/>
      <c r="C17" s="1964" t="s">
        <v>1635</v>
      </c>
      <c r="D17" s="1042" t="e">
        <f>NUMBERSTRING(INT(D16*10000),2)&amp;"元整"</f>
        <v>#VALUE!</v>
      </c>
      <c r="E17" s="1961"/>
    </row>
    <row r="18" spans="1:5" ht="15">
      <c r="A18" s="1961"/>
      <c r="B18" s="2974"/>
      <c r="C18" s="1965" t="s">
        <v>1624</v>
      </c>
      <c r="D18" s="1054" t="str">
        <f>结果表!H110</f>
        <v>——</v>
      </c>
      <c r="E18" s="1961"/>
    </row>
    <row r="19" spans="1:5" ht="15.75">
      <c r="A19" s="1961"/>
      <c r="B19" s="2965" t="str">
        <f>结果表!E111</f>
        <v>——</v>
      </c>
      <c r="C19" s="1969" t="s">
        <v>1622</v>
      </c>
      <c r="D19" s="1043" t="str">
        <f>结果表!H111</f>
        <v>——</v>
      </c>
      <c r="E19" s="1961"/>
    </row>
    <row r="20" spans="1:5" ht="15.75">
      <c r="A20" s="1961"/>
      <c r="B20" s="2966"/>
      <c r="C20" s="1964" t="s">
        <v>1635</v>
      </c>
      <c r="D20" s="1042" t="e">
        <f>NUMBERSTRING(INT(D19*10000),2)&amp;"元整"</f>
        <v>#VALUE!</v>
      </c>
      <c r="E20" s="1961"/>
    </row>
    <row r="21" spans="1:5" ht="15.75" thickBot="1">
      <c r="A21" s="1961"/>
      <c r="B21" s="296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31769</v>
      </c>
      <c r="C2" s="2" t="s">
        <v>133</v>
      </c>
      <c r="D2" s="243"/>
      <c r="E2" s="243"/>
      <c r="F2" s="243"/>
      <c r="G2" s="243"/>
    </row>
    <row r="3" spans="1:7" s="244" customFormat="1" ht="18" customHeight="1" thickBot="1">
      <c r="A3" s="247" t="s">
        <v>85</v>
      </c>
      <c r="B3" s="248">
        <f ca="1">ROUND(B2*10000/'数据-汇总表'!E3,0)</f>
        <v>65850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96</v>
      </c>
      <c r="D10" s="1034">
        <f>'数据-汇总表'!E6</f>
        <v>4824.4600000000037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96</v>
      </c>
      <c r="D19" s="1038">
        <f>'数据-汇总表'!E3</f>
        <v>4824.4600000000037</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2033</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4224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4224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1447</v>
      </c>
      <c r="D34" s="261"/>
      <c r="E34" s="264"/>
      <c r="F34" s="301">
        <f>IF('数据-取费表'!B24=0,1,'数据-取费表'!N16)</f>
        <v>1</v>
      </c>
      <c r="G34" s="263" t="s">
        <v>116</v>
      </c>
    </row>
    <row r="35" spans="1:7" ht="13.5" customHeight="1">
      <c r="A35" s="953" t="s">
        <v>796</v>
      </c>
      <c r="B35" s="259" t="s">
        <v>60</v>
      </c>
      <c r="C35" s="264">
        <f>ROUND(C34*F35,0)</f>
        <v>43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96</v>
      </c>
      <c r="D37" s="261">
        <f>'数据-汇总表'!E3</f>
        <v>4824.4600000000037</v>
      </c>
      <c r="E37" s="293">
        <f>'数据-取费表'!B35</f>
        <v>200</v>
      </c>
      <c r="F37" s="303"/>
      <c r="G37" s="305" t="s">
        <v>119</v>
      </c>
    </row>
    <row r="38" spans="1:7" ht="13.5" customHeight="1">
      <c r="A38" s="953" t="s">
        <v>799</v>
      </c>
      <c r="B38" s="259" t="s">
        <v>63</v>
      </c>
      <c r="C38" s="264">
        <f>ROUND(C34*F38,0)</f>
        <v>22</v>
      </c>
      <c r="D38" s="264"/>
      <c r="E38" s="264"/>
      <c r="F38" s="303">
        <f>'数据-取费表'!B36</f>
        <v>1.4999999999999999E-2</v>
      </c>
      <c r="G38" s="263" t="s">
        <v>117</v>
      </c>
    </row>
    <row r="39" spans="1:7" s="258" customFormat="1" ht="13.5" customHeight="1">
      <c r="A39" s="950" t="s">
        <v>783</v>
      </c>
      <c r="B39" s="254" t="s">
        <v>104</v>
      </c>
      <c r="C39" s="276">
        <f>ROUND(C33*F20,0)</f>
        <v>32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78</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76</v>
      </c>
      <c r="D42" s="282"/>
      <c r="E42" s="282"/>
      <c r="F42" s="283"/>
      <c r="G42" s="3150" t="s">
        <v>121</v>
      </c>
    </row>
    <row r="43" spans="1:7" ht="13.5" customHeight="1">
      <c r="A43" s="953" t="s">
        <v>792</v>
      </c>
      <c r="B43" s="259" t="s">
        <v>1064</v>
      </c>
      <c r="C43" s="282">
        <f ca="1">ROUND(IF('数据-取费表'!B22&lt;=1,C39*F22*'数据-取费表'!B21/2,C39*(POWER((1+F22),'数据-取费表'!B21/2)-1)),0)</f>
        <v>2</v>
      </c>
      <c r="D43" s="282"/>
      <c r="E43" s="282"/>
      <c r="F43" s="283"/>
      <c r="G43" s="3151"/>
    </row>
    <row r="44" spans="1:7" ht="13.5" customHeight="1">
      <c r="A44" s="953" t="s">
        <v>793</v>
      </c>
      <c r="B44" s="259" t="s">
        <v>1066</v>
      </c>
      <c r="C44" s="282">
        <f ca="1">ROUND(IF('数据-取费表'!B22&lt;=1,C40*F22*'数据-取费表'!B21/2,C40*(POWER((1+F22),'数据-取费表'!B21/2)-1)),4)</f>
        <v>1E-3</v>
      </c>
      <c r="D44" s="282"/>
      <c r="E44" s="282"/>
      <c r="F44" s="283"/>
      <c r="G44" s="3152"/>
    </row>
    <row r="45" spans="1:7" s="258" customFormat="1" ht="13.5" customHeight="1">
      <c r="A45" s="950" t="s">
        <v>786</v>
      </c>
      <c r="B45" s="288" t="s">
        <v>112</v>
      </c>
      <c r="C45" s="289">
        <f>C46</f>
        <v>328</v>
      </c>
      <c r="D45" s="279">
        <f>C47</f>
        <v>4.0000000000000001E-3</v>
      </c>
      <c r="E45" s="280" t="s">
        <v>129</v>
      </c>
      <c r="F45" s="290"/>
      <c r="G45" s="291" t="s">
        <v>1072</v>
      </c>
    </row>
    <row r="46" spans="1:7" s="258" customFormat="1" ht="13.5" customHeight="1">
      <c r="A46" s="953" t="s">
        <v>794</v>
      </c>
      <c r="B46" s="292" t="s">
        <v>1065</v>
      </c>
      <c r="C46" s="293">
        <f>ROUND((C33+C39)*F27,0)</f>
        <v>328</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2220</v>
      </c>
      <c r="D49" s="276"/>
      <c r="E49" s="276"/>
      <c r="F49" s="308"/>
      <c r="G49" s="278" t="s">
        <v>1073</v>
      </c>
    </row>
    <row r="50" spans="1:7" s="302" customFormat="1" ht="24">
      <c r="A50" s="950" t="s">
        <v>789</v>
      </c>
      <c r="B50" s="254" t="s">
        <v>124</v>
      </c>
      <c r="C50" s="276"/>
      <c r="D50" s="276"/>
      <c r="E50" s="276"/>
      <c r="F50" s="308">
        <f>IF('数据-取费表'!B24=0,'数据-取费表'!N16,1)</f>
        <v>0.93</v>
      </c>
      <c r="G50" s="291" t="s">
        <v>125</v>
      </c>
    </row>
    <row r="51" spans="1:7" ht="16.5" customHeight="1">
      <c r="A51" s="950" t="s">
        <v>790</v>
      </c>
      <c r="B51" s="254" t="s">
        <v>132</v>
      </c>
      <c r="C51" s="276">
        <f ca="1">ROUND(C49*F50,0)</f>
        <v>2065</v>
      </c>
      <c r="D51" s="276"/>
      <c r="E51" s="276"/>
      <c r="F51" s="308"/>
      <c r="G51" s="278" t="s">
        <v>64</v>
      </c>
    </row>
    <row r="52" spans="1:7" s="252" customFormat="1" ht="16.5" thickBot="1">
      <c r="A52" s="309" t="s">
        <v>65</v>
      </c>
      <c r="B52" s="310"/>
      <c r="C52" s="311">
        <f ca="1">C31+C51</f>
        <v>31769</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871</v>
      </c>
      <c r="B1" s="328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43286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2"/>
  <sheetViews>
    <sheetView workbookViewId="0">
      <selection activeCell="G14" sqref="G14"/>
    </sheetView>
  </sheetViews>
  <sheetFormatPr defaultRowHeight="13.5"/>
  <cols>
    <col min="2" max="2" width="9" style="2948"/>
    <col min="3" max="3" width="38.125" style="2948" customWidth="1"/>
    <col min="4" max="4" width="9" style="2948"/>
  </cols>
  <sheetData>
    <row r="2" spans="1:7">
      <c r="B2" s="2947" t="s">
        <v>3057</v>
      </c>
      <c r="C2" s="2947" t="s">
        <v>3054</v>
      </c>
      <c r="D2" s="2947" t="s">
        <v>3056</v>
      </c>
      <c r="F2" s="2947" t="s">
        <v>3185</v>
      </c>
      <c r="G2">
        <f>SUM(D3:D12)</f>
        <v>1700.71</v>
      </c>
    </row>
    <row r="3" spans="1:7">
      <c r="A3">
        <v>1</v>
      </c>
      <c r="B3" s="2948">
        <v>102</v>
      </c>
      <c r="C3" s="2947" t="s">
        <v>3059</v>
      </c>
      <c r="D3" s="2948">
        <v>52.59</v>
      </c>
      <c r="F3" s="2947" t="s">
        <v>3186</v>
      </c>
      <c r="G3">
        <f>SUM(D13:D33)</f>
        <v>1399.33</v>
      </c>
    </row>
    <row r="4" spans="1:7">
      <c r="B4" s="2948">
        <v>105</v>
      </c>
      <c r="C4" s="2947" t="s">
        <v>3060</v>
      </c>
      <c r="D4" s="2948">
        <v>158.93</v>
      </c>
      <c r="F4" s="2947" t="s">
        <v>3187</v>
      </c>
      <c r="G4">
        <f>SUM(D34:D51)</f>
        <v>1124.0499999999997</v>
      </c>
    </row>
    <row r="5" spans="1:7">
      <c r="B5" s="2948">
        <v>106</v>
      </c>
      <c r="C5" s="2947" t="s">
        <v>3061</v>
      </c>
      <c r="D5" s="2948">
        <v>192.88</v>
      </c>
      <c r="F5" s="2947" t="s">
        <v>3188</v>
      </c>
      <c r="G5">
        <f>SUM(D52:D61)</f>
        <v>600.37</v>
      </c>
    </row>
    <row r="6" spans="1:7">
      <c r="B6" s="2948">
        <v>107</v>
      </c>
      <c r="C6" s="2947" t="s">
        <v>3062</v>
      </c>
      <c r="D6" s="2948">
        <v>27.43</v>
      </c>
    </row>
    <row r="7" spans="1:7">
      <c r="B7" s="2948">
        <v>108</v>
      </c>
      <c r="C7" s="2947" t="s">
        <v>3063</v>
      </c>
      <c r="D7" s="2948">
        <v>66.73</v>
      </c>
    </row>
    <row r="8" spans="1:7">
      <c r="B8" s="2948">
        <v>110</v>
      </c>
      <c r="C8" s="2947" t="s">
        <v>3064</v>
      </c>
      <c r="D8" s="2948">
        <v>53.9</v>
      </c>
    </row>
    <row r="9" spans="1:7">
      <c r="B9" s="2948">
        <v>137</v>
      </c>
      <c r="C9" s="2947" t="s">
        <v>3065</v>
      </c>
      <c r="D9" s="2948">
        <v>310.75</v>
      </c>
    </row>
    <row r="10" spans="1:7">
      <c r="B10" s="2948">
        <v>138</v>
      </c>
      <c r="C10" s="2947" t="s">
        <v>3066</v>
      </c>
      <c r="D10" s="2948">
        <v>310.75</v>
      </c>
    </row>
    <row r="11" spans="1:7">
      <c r="B11" s="2948">
        <v>139</v>
      </c>
      <c r="C11" s="2947" t="s">
        <v>3067</v>
      </c>
      <c r="D11" s="2948">
        <v>310.75</v>
      </c>
    </row>
    <row r="12" spans="1:7">
      <c r="B12" s="2948">
        <v>140</v>
      </c>
      <c r="C12" s="2947" t="s">
        <v>3068</v>
      </c>
      <c r="D12" s="2948">
        <v>216</v>
      </c>
    </row>
    <row r="13" spans="1:7">
      <c r="B13" s="2948">
        <v>209</v>
      </c>
      <c r="C13" s="2947" t="s">
        <v>3069</v>
      </c>
      <c r="D13" s="2948">
        <v>139.65</v>
      </c>
    </row>
    <row r="14" spans="1:7">
      <c r="B14" s="2948">
        <v>217</v>
      </c>
      <c r="C14" s="2947" t="s">
        <v>3070</v>
      </c>
      <c r="D14" s="2948">
        <v>52.31</v>
      </c>
    </row>
    <row r="15" spans="1:7">
      <c r="B15" s="2948">
        <v>218</v>
      </c>
      <c r="C15" s="2947" t="s">
        <v>3071</v>
      </c>
      <c r="D15" s="2948">
        <v>59.37</v>
      </c>
    </row>
    <row r="16" spans="1:7">
      <c r="B16" s="2948">
        <v>223</v>
      </c>
      <c r="C16" s="2947" t="s">
        <v>3072</v>
      </c>
      <c r="D16" s="2948">
        <v>30.59</v>
      </c>
    </row>
    <row r="17" spans="2:4">
      <c r="B17" s="2948">
        <v>226</v>
      </c>
      <c r="C17" s="2947" t="s">
        <v>3073</v>
      </c>
      <c r="D17" s="2948">
        <v>52.86</v>
      </c>
    </row>
    <row r="18" spans="2:4">
      <c r="B18" s="2948">
        <v>233</v>
      </c>
      <c r="C18" s="2947" t="s">
        <v>3074</v>
      </c>
      <c r="D18" s="2948">
        <v>64.099999999999994</v>
      </c>
    </row>
    <row r="19" spans="2:4">
      <c r="B19" s="2948">
        <v>234</v>
      </c>
      <c r="C19" s="2947" t="s">
        <v>3075</v>
      </c>
      <c r="D19" s="2948">
        <v>64.099999999999994</v>
      </c>
    </row>
    <row r="20" spans="2:4">
      <c r="B20" s="2948">
        <v>201</v>
      </c>
      <c r="C20" s="2947" t="s">
        <v>3076</v>
      </c>
      <c r="D20" s="2948">
        <v>104.92</v>
      </c>
    </row>
    <row r="21" spans="2:4">
      <c r="B21" s="2948">
        <v>208</v>
      </c>
      <c r="C21" s="2947" t="s">
        <v>3077</v>
      </c>
      <c r="D21" s="2948">
        <v>90</v>
      </c>
    </row>
    <row r="22" spans="2:4">
      <c r="B22" s="2948">
        <v>211</v>
      </c>
      <c r="C22" s="2947" t="s">
        <v>3078</v>
      </c>
      <c r="D22" s="2948">
        <v>69.13</v>
      </c>
    </row>
    <row r="23" spans="2:4">
      <c r="B23" s="2948">
        <v>212</v>
      </c>
      <c r="C23" s="2947" t="s">
        <v>3079</v>
      </c>
      <c r="D23" s="2948">
        <v>69.13</v>
      </c>
    </row>
    <row r="24" spans="2:4">
      <c r="B24" s="2948">
        <v>213</v>
      </c>
      <c r="C24" s="2947" t="s">
        <v>3080</v>
      </c>
      <c r="D24" s="2948">
        <v>69.13</v>
      </c>
    </row>
    <row r="25" spans="2:4">
      <c r="B25" s="2948">
        <v>214</v>
      </c>
      <c r="C25" s="2947" t="s">
        <v>3081</v>
      </c>
      <c r="D25" s="2948">
        <v>96.62</v>
      </c>
    </row>
    <row r="26" spans="2:4">
      <c r="B26" s="2948">
        <v>242</v>
      </c>
      <c r="C26" s="2947" t="s">
        <v>3082</v>
      </c>
      <c r="D26" s="2948">
        <v>65.319999999999993</v>
      </c>
    </row>
    <row r="27" spans="2:4">
      <c r="B27" s="2948">
        <v>247</v>
      </c>
      <c r="C27" s="2947" t="s">
        <v>3083</v>
      </c>
      <c r="D27" s="2948">
        <v>65.319999999999993</v>
      </c>
    </row>
    <row r="28" spans="2:4">
      <c r="B28" s="2948">
        <v>253</v>
      </c>
      <c r="C28" s="2947" t="s">
        <v>3084</v>
      </c>
      <c r="D28" s="2948">
        <v>35.770000000000003</v>
      </c>
    </row>
    <row r="29" spans="2:4">
      <c r="B29" s="2948">
        <v>255</v>
      </c>
      <c r="C29" s="2947" t="s">
        <v>3085</v>
      </c>
      <c r="D29" s="2948">
        <v>35.93</v>
      </c>
    </row>
    <row r="30" spans="2:4">
      <c r="B30" s="2948">
        <v>259</v>
      </c>
      <c r="C30" s="2947" t="s">
        <v>3086</v>
      </c>
      <c r="D30" s="2948">
        <v>58.77</v>
      </c>
    </row>
    <row r="31" spans="2:4">
      <c r="B31" s="2948">
        <v>260</v>
      </c>
      <c r="C31" s="2947" t="s">
        <v>3087</v>
      </c>
      <c r="D31" s="2948">
        <v>58.77</v>
      </c>
    </row>
    <row r="32" spans="2:4">
      <c r="B32" s="2948">
        <v>262</v>
      </c>
      <c r="C32" s="2947" t="s">
        <v>3088</v>
      </c>
      <c r="D32" s="2948">
        <v>58.77</v>
      </c>
    </row>
    <row r="33" spans="2:4">
      <c r="B33" s="2948">
        <v>263</v>
      </c>
      <c r="C33" s="2947" t="s">
        <v>3089</v>
      </c>
      <c r="D33" s="2948">
        <v>58.77</v>
      </c>
    </row>
    <row r="34" spans="2:4">
      <c r="B34" s="2948">
        <v>308</v>
      </c>
      <c r="C34" s="2947" t="s">
        <v>3090</v>
      </c>
      <c r="D34" s="2948">
        <v>90</v>
      </c>
    </row>
    <row r="35" spans="2:4">
      <c r="B35" s="2948">
        <v>310</v>
      </c>
      <c r="C35" s="2947" t="s">
        <v>3091</v>
      </c>
      <c r="D35" s="2948">
        <v>65.930000000000007</v>
      </c>
    </row>
    <row r="36" spans="2:4">
      <c r="B36" s="2948">
        <v>315</v>
      </c>
      <c r="C36" s="2947" t="s">
        <v>3092</v>
      </c>
      <c r="D36" s="2948">
        <v>70</v>
      </c>
    </row>
    <row r="37" spans="2:4">
      <c r="B37" s="2948">
        <v>316</v>
      </c>
      <c r="C37" s="2947" t="s">
        <v>3093</v>
      </c>
      <c r="D37" s="2948">
        <v>69.58</v>
      </c>
    </row>
    <row r="38" spans="2:4">
      <c r="B38" s="2948">
        <v>323</v>
      </c>
      <c r="C38" s="2947" t="s">
        <v>3094</v>
      </c>
      <c r="D38" s="2948">
        <v>36.74</v>
      </c>
    </row>
    <row r="39" spans="2:4">
      <c r="B39" s="2948">
        <v>327</v>
      </c>
      <c r="C39" s="2947" t="s">
        <v>3095</v>
      </c>
      <c r="D39" s="2948">
        <v>53.69</v>
      </c>
    </row>
    <row r="40" spans="2:4">
      <c r="B40" s="2948">
        <v>330</v>
      </c>
      <c r="C40" s="2947" t="s">
        <v>3096</v>
      </c>
      <c r="D40" s="2948">
        <v>64.72</v>
      </c>
    </row>
    <row r="41" spans="2:4">
      <c r="B41" s="2948">
        <v>338</v>
      </c>
      <c r="C41" s="2947" t="s">
        <v>3097</v>
      </c>
      <c r="D41" s="2948">
        <v>111.25</v>
      </c>
    </row>
    <row r="42" spans="2:4">
      <c r="B42" s="2948">
        <v>340</v>
      </c>
      <c r="C42" s="2947" t="s">
        <v>3098</v>
      </c>
      <c r="D42" s="2948">
        <v>46.3</v>
      </c>
    </row>
    <row r="43" spans="2:4">
      <c r="B43" s="2948">
        <v>341</v>
      </c>
      <c r="C43" s="2947" t="s">
        <v>3099</v>
      </c>
      <c r="D43" s="2948">
        <v>65.319999999999993</v>
      </c>
    </row>
    <row r="44" spans="2:4">
      <c r="B44" s="2948">
        <v>342</v>
      </c>
      <c r="C44" s="2947" t="s">
        <v>3100</v>
      </c>
      <c r="D44" s="2948">
        <v>65.319999999999993</v>
      </c>
    </row>
    <row r="45" spans="2:4">
      <c r="B45" s="2948">
        <v>344</v>
      </c>
      <c r="C45" s="2947" t="s">
        <v>3101</v>
      </c>
      <c r="D45" s="2948">
        <v>65.319999999999993</v>
      </c>
    </row>
    <row r="46" spans="2:4">
      <c r="B46" s="2948">
        <v>346</v>
      </c>
      <c r="C46" s="2947" t="s">
        <v>3102</v>
      </c>
      <c r="D46" s="2948">
        <v>65.319999999999993</v>
      </c>
    </row>
    <row r="47" spans="2:4">
      <c r="B47" s="2948">
        <v>347</v>
      </c>
      <c r="C47" s="2947" t="s">
        <v>3103</v>
      </c>
      <c r="D47" s="2948">
        <v>65.319999999999993</v>
      </c>
    </row>
    <row r="48" spans="2:4">
      <c r="B48" s="2948">
        <v>353</v>
      </c>
      <c r="C48" s="2947" t="s">
        <v>3104</v>
      </c>
      <c r="D48" s="2948">
        <v>35.770000000000003</v>
      </c>
    </row>
    <row r="49" spans="2:4">
      <c r="B49" s="2948">
        <v>355</v>
      </c>
      <c r="C49" s="2947" t="s">
        <v>3105</v>
      </c>
      <c r="D49" s="2948">
        <v>35.93</v>
      </c>
    </row>
    <row r="50" spans="2:4">
      <c r="B50" s="2948">
        <v>362</v>
      </c>
      <c r="C50" s="2947" t="s">
        <v>3106</v>
      </c>
      <c r="D50" s="2948">
        <v>58.77</v>
      </c>
    </row>
    <row r="51" spans="2:4">
      <c r="B51" s="2948">
        <v>363</v>
      </c>
      <c r="C51" s="2947" t="s">
        <v>3107</v>
      </c>
      <c r="D51" s="2948">
        <v>58.77</v>
      </c>
    </row>
    <row r="52" spans="2:4">
      <c r="B52" s="2948">
        <v>419</v>
      </c>
      <c r="C52" s="2947" t="s">
        <v>3108</v>
      </c>
      <c r="D52" s="2948">
        <v>74.06</v>
      </c>
    </row>
    <row r="53" spans="2:4">
      <c r="B53" s="2948">
        <v>422</v>
      </c>
      <c r="C53" s="2947" t="s">
        <v>3109</v>
      </c>
      <c r="D53" s="2948">
        <v>35.85</v>
      </c>
    </row>
    <row r="54" spans="2:4">
      <c r="B54" s="2948">
        <v>427</v>
      </c>
      <c r="C54" s="2947" t="s">
        <v>3110</v>
      </c>
      <c r="D54" s="2948">
        <v>55.72</v>
      </c>
    </row>
    <row r="55" spans="2:4">
      <c r="B55" s="2948">
        <v>432</v>
      </c>
      <c r="C55" s="2947" t="s">
        <v>3111</v>
      </c>
      <c r="D55" s="2948">
        <v>67.17</v>
      </c>
    </row>
    <row r="56" spans="2:4">
      <c r="B56" s="2948">
        <v>436</v>
      </c>
      <c r="C56" s="2947" t="s">
        <v>3112</v>
      </c>
      <c r="D56" s="2948">
        <v>67.17</v>
      </c>
    </row>
    <row r="57" spans="2:4">
      <c r="B57" s="2948">
        <v>442</v>
      </c>
      <c r="C57" s="2947" t="s">
        <v>3113</v>
      </c>
      <c r="D57" s="2949">
        <v>65.319999999999993</v>
      </c>
    </row>
    <row r="58" spans="2:4">
      <c r="B58" s="2948">
        <v>457</v>
      </c>
      <c r="C58" s="2947" t="s">
        <v>3114</v>
      </c>
      <c r="D58" s="2948">
        <v>58.77</v>
      </c>
    </row>
    <row r="59" spans="2:4">
      <c r="B59" s="2948">
        <v>461</v>
      </c>
      <c r="C59" s="2947" t="s">
        <v>3115</v>
      </c>
      <c r="D59" s="2948">
        <v>58.77</v>
      </c>
    </row>
    <row r="60" spans="2:4">
      <c r="B60" s="2948">
        <v>464</v>
      </c>
      <c r="C60" s="2947" t="s">
        <v>3055</v>
      </c>
      <c r="D60" s="2948">
        <v>58.77</v>
      </c>
    </row>
    <row r="61" spans="2:4">
      <c r="B61" s="2948">
        <v>462</v>
      </c>
      <c r="C61" s="2947" t="s">
        <v>3058</v>
      </c>
      <c r="D61" s="2948">
        <v>58.77</v>
      </c>
    </row>
    <row r="62" spans="2:4">
      <c r="D62" s="2948">
        <f>SUM(D3:D61)</f>
        <v>4824.4600000000037</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9" workbookViewId="0">
      <selection activeCell="N44" sqref="N44"/>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1640</v>
      </c>
      <c r="B2" s="2985" t="s">
        <v>1641</v>
      </c>
      <c r="C2" s="2985" t="s">
        <v>1642</v>
      </c>
      <c r="D2" s="2985" t="str">
        <f>结果表!D116</f>
        <v>出让国有建设用地使用权价值</v>
      </c>
      <c r="E2" s="2985"/>
      <c r="F2" s="2985" t="str">
        <f>结果表!F116</f>
        <v>建筑物价值</v>
      </c>
      <c r="G2" s="2985"/>
      <c r="H2" s="2985" t="str">
        <f>IF(项目基本情况!B9="房地产市场价值","房地产市场价值","房地产价值")</f>
        <v>房地产价值</v>
      </c>
      <c r="I2" s="2985"/>
    </row>
    <row r="3" spans="1:9" ht="15">
      <c r="A3" s="2979"/>
      <c r="B3" s="2979"/>
      <c r="C3" s="2979"/>
      <c r="D3" s="1046" t="s">
        <v>1637</v>
      </c>
      <c r="E3" s="1046" t="s">
        <v>1643</v>
      </c>
      <c r="F3" s="1046" t="s">
        <v>1637</v>
      </c>
      <c r="G3" s="1046" t="s">
        <v>1638</v>
      </c>
      <c r="H3" s="1046" t="s">
        <v>1637</v>
      </c>
      <c r="I3" s="1046" t="s">
        <v>1638</v>
      </c>
    </row>
    <row r="4" spans="1:9" ht="45">
      <c r="A4" s="1975" t="str">
        <f>项目基本情况!S2</f>
        <v>北京市海淀区西翠路17号院22号楼102号等49套配套用房房地产</v>
      </c>
      <c r="B4" s="1046">
        <f>项目基本情况!C17</f>
        <v>4824.4600000000037</v>
      </c>
      <c r="C4" s="1046">
        <f>项目基本情况!C18</f>
        <v>0</v>
      </c>
      <c r="D4" s="1046" t="e">
        <f ca="1">结果表!D118</f>
        <v>#REF!</v>
      </c>
      <c r="E4" s="1046" t="e">
        <f ca="1">结果表!E118</f>
        <v>#REF!</v>
      </c>
      <c r="F4" s="1046" t="e">
        <f ca="1">结果表!F118</f>
        <v>#REF!</v>
      </c>
      <c r="G4" s="1046" t="e">
        <f ca="1">结果表!G118</f>
        <v>#REF!</v>
      </c>
      <c r="H4" s="1046">
        <f ca="1">结果表!H118</f>
        <v>16397</v>
      </c>
      <c r="I4" s="1046">
        <f ca="1">结果表!I118</f>
        <v>33987</v>
      </c>
    </row>
    <row r="5" spans="1:9" ht="30" customHeight="1">
      <c r="A5" s="2979" t="s">
        <v>1639</v>
      </c>
      <c r="B5" s="2979"/>
      <c r="C5" s="2979"/>
      <c r="D5" s="2980" t="e">
        <f ca="1">结果表!D119</f>
        <v>#REF!</v>
      </c>
      <c r="E5" s="2980"/>
      <c r="F5" s="2980" t="e">
        <f ca="1">结果表!F119</f>
        <v>#REF!</v>
      </c>
      <c r="G5" s="2980"/>
      <c r="H5" s="2980" t="str">
        <f ca="1">结果表!H119</f>
        <v>壹亿陆仟叁佰玖拾柒万元整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1639</v>
      </c>
      <c r="B7" s="2979"/>
      <c r="C7" s="2979"/>
      <c r="D7" s="2981" t="str">
        <f>结果表!D121</f>
        <v>零元整</v>
      </c>
      <c r="E7" s="2982"/>
      <c r="F7" s="2982"/>
      <c r="G7" s="2982"/>
      <c r="H7" s="2982"/>
      <c r="I7" s="2983"/>
    </row>
    <row r="8" spans="1:9" ht="15.75">
      <c r="A8" s="2978" t="str">
        <f>结果表!A122</f>
        <v>房地产抵押价值</v>
      </c>
      <c r="B8" s="2978"/>
      <c r="C8" s="2978"/>
      <c r="D8" s="2978">
        <f ca="1">结果表!D122</f>
        <v>16397</v>
      </c>
      <c r="E8" s="2978"/>
      <c r="F8" s="2978"/>
      <c r="G8" s="2978"/>
      <c r="H8" s="2978"/>
      <c r="I8" s="2978"/>
    </row>
    <row r="9" spans="1:9" ht="15">
      <c r="A9" s="2979" t="s">
        <v>1639</v>
      </c>
      <c r="B9" s="2979"/>
      <c r="C9" s="2979"/>
      <c r="D9" s="2980" t="str">
        <f ca="1">结果表!D123</f>
        <v>壹亿陆仟叁佰玖拾柒万元整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1639</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1639</v>
      </c>
      <c r="B13" s="2975"/>
      <c r="C13" s="2975"/>
      <c r="D13" s="2976" t="e">
        <f>结果表!D127</f>
        <v>#VALUE!</v>
      </c>
      <c r="E13" s="2976"/>
      <c r="F13" s="2976"/>
      <c r="G13" s="2976"/>
      <c r="H13" s="2976"/>
      <c r="I13" s="2976"/>
    </row>
    <row r="14" spans="1:9" ht="15" thickTop="1">
      <c r="A14" s="2977" t="s">
        <v>1644</v>
      </c>
      <c r="B14" s="2977"/>
      <c r="C14" s="2977"/>
      <c r="D14" s="2977"/>
      <c r="E14" s="2977"/>
      <c r="F14" s="2977"/>
      <c r="G14" s="2977"/>
      <c r="H14" s="2977"/>
      <c r="I14" s="297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2" t="s">
        <v>1661</v>
      </c>
      <c r="B1" s="2992"/>
      <c r="C1" s="2992"/>
      <c r="D1" s="2992"/>
    </row>
    <row r="2" spans="1:4" ht="18">
      <c r="A2" s="2993" t="s">
        <v>1645</v>
      </c>
      <c r="B2" s="2993"/>
      <c r="C2" s="2993"/>
      <c r="D2" s="2993"/>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3" t="s">
        <v>1651</v>
      </c>
      <c r="B6" s="2993"/>
      <c r="C6" s="2993"/>
      <c r="D6" s="2993"/>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94" t="s">
        <v>1654</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1655</v>
      </c>
      <c r="B16" s="2988"/>
      <c r="C16" s="2988"/>
      <c r="D16" s="2988"/>
    </row>
    <row r="17" spans="1:4" ht="144" customHeight="1">
      <c r="A17" s="2988" t="s">
        <v>1656</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1657</v>
      </c>
      <c r="B22" s="2990"/>
      <c r="C22" s="2990"/>
      <c r="D22" s="2990"/>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0" t="s">
        <v>1668</v>
      </c>
      <c r="B15" s="2995" t="s">
        <v>136</v>
      </c>
      <c r="C15" s="2996"/>
    </row>
    <row r="16" spans="1:7" ht="13.5">
      <c r="A16" s="3001"/>
      <c r="B16" s="2995" t="s">
        <v>69</v>
      </c>
      <c r="C16" s="2996"/>
    </row>
    <row r="17" spans="1:3" ht="13.5">
      <c r="A17" s="3001"/>
      <c r="B17" s="2998" t="s">
        <v>1669</v>
      </c>
      <c r="C17" s="2002" t="s">
        <v>1668</v>
      </c>
    </row>
    <row r="18" spans="1:3" ht="13.5">
      <c r="A18" s="3001"/>
      <c r="B18" s="2998"/>
      <c r="C18" s="2002" t="s">
        <v>1670</v>
      </c>
    </row>
    <row r="19" spans="1:3" ht="13.5">
      <c r="A19" s="3001"/>
      <c r="B19" s="2998"/>
      <c r="C19" s="2002" t="s">
        <v>1671</v>
      </c>
    </row>
    <row r="20" spans="1:3" ht="13.5">
      <c r="A20" s="3002"/>
      <c r="B20" s="2997" t="s">
        <v>1672</v>
      </c>
      <c r="C20" s="2996"/>
    </row>
    <row r="21" spans="1:3" ht="13.5">
      <c r="A21" s="2003" t="s">
        <v>1673</v>
      </c>
      <c r="B21" s="2004"/>
      <c r="C21" s="2005"/>
    </row>
    <row r="22" spans="1:3" ht="13.5">
      <c r="A22" s="2999" t="s">
        <v>1674</v>
      </c>
      <c r="B22" s="2997" t="s">
        <v>1675</v>
      </c>
      <c r="C22" s="2996"/>
    </row>
    <row r="23" spans="1:3" ht="13.5">
      <c r="A23" s="2999"/>
      <c r="B23" s="2997" t="s">
        <v>1676</v>
      </c>
      <c r="C23" s="2996"/>
    </row>
    <row r="24" spans="1:3" ht="13.5">
      <c r="A24" s="2999"/>
      <c r="B24" s="2997" t="s">
        <v>1677</v>
      </c>
      <c r="C24" s="2996"/>
    </row>
    <row r="25" spans="1:3" ht="13.5">
      <c r="A25" s="2999"/>
      <c r="B25" s="2998" t="s">
        <v>1678</v>
      </c>
      <c r="C25" s="2002" t="s">
        <v>1679</v>
      </c>
    </row>
    <row r="26" spans="1:3" ht="13.5">
      <c r="A26" s="2999"/>
      <c r="B26" s="2998"/>
      <c r="C26" s="2002" t="s">
        <v>1680</v>
      </c>
    </row>
    <row r="27" spans="1:3" ht="13.5">
      <c r="A27" s="2999"/>
      <c r="B27" s="2998"/>
      <c r="C27" s="2002" t="s">
        <v>1681</v>
      </c>
    </row>
    <row r="28" spans="1:3" ht="13.5">
      <c r="A28" s="2999"/>
      <c r="B28" s="2998"/>
      <c r="C28" s="2002" t="s">
        <v>1682</v>
      </c>
    </row>
    <row r="29" spans="1:3" ht="13.5">
      <c r="A29" s="2999"/>
      <c r="B29" s="2998"/>
      <c r="C29" s="2002" t="s">
        <v>1683</v>
      </c>
    </row>
    <row r="30" spans="1:3" ht="13.5">
      <c r="A30" s="2999"/>
      <c r="B30" s="2998"/>
      <c r="C30" s="2002" t="s">
        <v>1684</v>
      </c>
    </row>
    <row r="31" spans="1:3" ht="13.5">
      <c r="A31" s="2999"/>
      <c r="B31" s="2998"/>
      <c r="C31" s="2002" t="s">
        <v>1685</v>
      </c>
    </row>
    <row r="32" spans="1:3" ht="13.5">
      <c r="A32" s="2999"/>
      <c r="B32" s="2998"/>
      <c r="C32" s="2002" t="s">
        <v>1686</v>
      </c>
    </row>
    <row r="33" spans="1:3" ht="13.5">
      <c r="A33" s="2999"/>
      <c r="B33" s="299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43292</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43359</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3041</v>
      </c>
      <c r="B12" s="1024">
        <v>1120110054</v>
      </c>
      <c r="C12" s="2941">
        <v>43937</v>
      </c>
      <c r="D12" s="1704" t="s">
        <v>3041</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41">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1333</v>
      </c>
      <c r="B24" s="1705" t="s">
        <v>1333</v>
      </c>
      <c r="C24" s="2350" t="s">
        <v>1333</v>
      </c>
      <c r="D24" s="2353" t="s">
        <v>1333</v>
      </c>
      <c r="E24" s="1705" t="s">
        <v>1333</v>
      </c>
      <c r="F24" s="1705" t="s">
        <v>1333</v>
      </c>
    </row>
    <row r="25" spans="1:7" ht="24" customHeight="1">
      <c r="A25" s="3003" t="s">
        <v>846</v>
      </c>
      <c r="B25" s="3003"/>
      <c r="C25" s="3003"/>
      <c r="D25" s="3003"/>
      <c r="E25" s="3003"/>
      <c r="F25" s="3003"/>
      <c r="G25" s="3003"/>
    </row>
    <row r="26" spans="1:7" s="1027" customFormat="1" ht="24" customHeight="1">
      <c r="A26" s="3004" t="s">
        <v>847</v>
      </c>
      <c r="B26" s="3004"/>
      <c r="C26" s="3005"/>
      <c r="D26" s="3006" t="s">
        <v>848</v>
      </c>
      <c r="E26" s="3004"/>
      <c r="F26" s="3004"/>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2018-07-11T01:54:56Z</dcterms:modified>
</cp:coreProperties>
</file>