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诺德中心\"/>
    </mc:Choice>
  </mc:AlternateContent>
  <bookViews>
    <workbookView xWindow="0" yWindow="0" windowWidth="19200" windowHeight="10716"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案例（1）" sheetId="82"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F10" i="79" l="1"/>
  <c r="AA10" i="79"/>
  <c r="D90" i="79"/>
  <c r="B89"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B91" i="79"/>
  <c r="F28" i="79"/>
  <c r="AA28" i="79"/>
  <c r="D109" i="79"/>
  <c r="F36" i="79"/>
  <c r="AA36" i="79"/>
  <c r="D112" i="79"/>
  <c r="E112" i="79"/>
  <c r="F112" i="79"/>
  <c r="G112" i="79"/>
  <c r="N20" i="1"/>
  <c r="N6" i="1"/>
  <c r="C37" i="79"/>
  <c r="F37" i="79"/>
  <c r="AA37" i="79"/>
  <c r="F38" i="79"/>
  <c r="AA38" i="79"/>
  <c r="F39" i="79"/>
  <c r="AA39" i="79"/>
  <c r="D118" i="79"/>
  <c r="F40" i="79"/>
  <c r="AA40" i="79"/>
  <c r="F41" i="79"/>
  <c r="AA41" i="79"/>
  <c r="D124" i="79"/>
  <c r="F43" i="79"/>
  <c r="AA43" i="79"/>
  <c r="D126" i="79"/>
  <c r="F44" i="79"/>
  <c r="AA44" i="79"/>
  <c r="R48" i="79"/>
  <c r="D3" i="4"/>
  <c r="B2" i="1"/>
  <c r="C7" i="79"/>
  <c r="E7" i="79"/>
  <c r="C59" i="79"/>
  <c r="D59" i="79"/>
  <c r="E59" i="79"/>
  <c r="F59" i="79"/>
  <c r="G59" i="79"/>
  <c r="H59" i="79"/>
  <c r="I59" i="79"/>
  <c r="J59" i="79"/>
  <c r="K59" i="79"/>
  <c r="L59" i="79"/>
  <c r="M59" i="79"/>
  <c r="N59" i="79"/>
  <c r="O59" i="79"/>
  <c r="F7" i="79"/>
  <c r="AA7" i="79"/>
  <c r="F8" i="79"/>
  <c r="AA8" i="79"/>
  <c r="C64" i="79"/>
  <c r="F9" i="79"/>
  <c r="AA9" i="79"/>
  <c r="F11" i="79"/>
  <c r="AA11" i="79"/>
  <c r="D78" i="79"/>
  <c r="F15" i="79"/>
  <c r="AA15" i="79"/>
  <c r="F19" i="6"/>
  <c r="C34" i="79"/>
  <c r="F34" i="79"/>
  <c r="AA34" i="79"/>
  <c r="F42" i="79"/>
  <c r="AA42"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8" i="79"/>
  <c r="G7" i="79"/>
  <c r="H7" i="79"/>
  <c r="AB7" i="79"/>
  <c r="H8" i="79"/>
  <c r="AB8" i="79"/>
  <c r="H9" i="79"/>
  <c r="AB9" i="79"/>
  <c r="H11" i="79"/>
  <c r="AB11" i="79"/>
  <c r="H15" i="79"/>
  <c r="AB15" i="79"/>
  <c r="H34" i="79"/>
  <c r="AB34" i="79"/>
  <c r="H42" i="79"/>
  <c r="AB42"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I7" i="79"/>
  <c r="J7" i="79"/>
  <c r="AC7" i="79"/>
  <c r="J8" i="79"/>
  <c r="AC8" i="79"/>
  <c r="J9" i="79"/>
  <c r="AC9" i="79"/>
  <c r="J11" i="79"/>
  <c r="AC11" i="79"/>
  <c r="J15" i="79"/>
  <c r="AC15" i="79"/>
  <c r="J34" i="79"/>
  <c r="AC34" i="79"/>
  <c r="J42" i="79"/>
  <c r="AC42" i="79"/>
  <c r="V49" i="79"/>
  <c r="R50" i="79"/>
  <c r="C50" i="79"/>
  <c r="U6" i="1"/>
  <c r="C19" i="6"/>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Y6" i="1"/>
  <c r="F13" i="67"/>
  <c r="C13" i="67"/>
  <c r="F37" i="67"/>
  <c r="C37" i="67"/>
  <c r="F38" i="67"/>
  <c r="C38" i="67"/>
  <c r="C30" i="67"/>
  <c r="C39" i="67"/>
  <c r="F42" i="67"/>
  <c r="F40" i="67"/>
  <c r="F15" i="4"/>
  <c r="F6" i="1"/>
  <c r="L48" i="67"/>
  <c r="M47" i="67"/>
  <c r="B24" i="1"/>
  <c r="J50" i="67"/>
  <c r="J51" i="67"/>
  <c r="J53" i="67"/>
  <c r="F1" i="67"/>
  <c r="AE6" i="1"/>
  <c r="F41" i="67"/>
  <c r="C40" i="67"/>
  <c r="M6" i="67"/>
  <c r="M8" i="67"/>
  <c r="M7" i="67"/>
  <c r="M9" i="67"/>
  <c r="J6" i="67"/>
  <c r="M11" i="67"/>
  <c r="J10" i="67"/>
  <c r="J5" i="67"/>
  <c r="J26" i="67"/>
  <c r="J29" i="67"/>
  <c r="J60" i="67"/>
  <c r="L46" i="67"/>
  <c r="D2" i="67"/>
  <c r="B3" i="67"/>
  <c r="C20" i="81"/>
  <c r="B89" i="34"/>
  <c r="F27" i="34"/>
  <c r="AA27" i="34"/>
  <c r="B93" i="34"/>
  <c r="F29" i="34"/>
  <c r="AA29" i="34"/>
  <c r="B95" i="34"/>
  <c r="F30" i="34"/>
  <c r="AA30" i="34"/>
  <c r="B97" i="34"/>
  <c r="F31" i="34"/>
  <c r="AA31" i="34"/>
  <c r="B99" i="34"/>
  <c r="F32" i="34"/>
  <c r="AA32" i="34"/>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D90" i="34"/>
  <c r="E90" i="34"/>
  <c r="H27" i="34"/>
  <c r="AB27" i="34"/>
  <c r="H29" i="34"/>
  <c r="AB29" i="34"/>
  <c r="H30" i="34"/>
  <c r="AB30" i="34"/>
  <c r="H31" i="34"/>
  <c r="AB31" i="34"/>
  <c r="H32" i="34"/>
  <c r="AB32"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27" i="34"/>
  <c r="AC27" i="34"/>
  <c r="J29" i="34"/>
  <c r="AC29" i="34"/>
  <c r="J30" i="34"/>
  <c r="AC30" i="34"/>
  <c r="J31" i="34"/>
  <c r="AC31" i="34"/>
  <c r="J32" i="34"/>
  <c r="AC32"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81"/>
  <c r="C17" i="81"/>
  <c r="D17" i="81"/>
  <c r="C18" i="81"/>
  <c r="D18" i="81"/>
  <c r="G20" i="81"/>
  <c r="R24" i="31"/>
  <c r="B25" i="31"/>
  <c r="D3" i="31"/>
  <c r="D4" i="31"/>
  <c r="B24" i="31"/>
  <c r="C25" i="31"/>
  <c r="E25" i="31"/>
  <c r="G25" i="31"/>
  <c r="I25" i="31"/>
  <c r="K25" i="31"/>
  <c r="M25" i="31"/>
  <c r="O25" i="31"/>
  <c r="Q25" i="31"/>
  <c r="R25" i="31"/>
  <c r="S25" i="31"/>
  <c r="B26" i="31"/>
  <c r="C26" i="31"/>
  <c r="E26" i="31"/>
  <c r="G26" i="31"/>
  <c r="I26" i="31"/>
  <c r="K26" i="31"/>
  <c r="M26" i="31"/>
  <c r="O26" i="31"/>
  <c r="Q26" i="31"/>
  <c r="R26" i="31"/>
  <c r="S26" i="31"/>
  <c r="B27" i="31"/>
  <c r="B7" i="4"/>
  <c r="BB5" i="3"/>
  <c r="BB10" i="3"/>
  <c r="BC10" i="3"/>
  <c r="BD10" i="3"/>
  <c r="BE10" i="3"/>
  <c r="BF10" i="3"/>
  <c r="BG10" i="3"/>
  <c r="BH10" i="3"/>
  <c r="BI10" i="3"/>
  <c r="BJ10" i="3"/>
  <c r="BK10" i="3"/>
  <c r="BC5" i="3"/>
  <c r="BD5" i="3"/>
  <c r="BE5" i="3"/>
  <c r="BF5" i="3"/>
  <c r="BG5" i="3"/>
  <c r="BH5" i="3"/>
  <c r="BI5" i="3"/>
  <c r="BJ5" i="3"/>
  <c r="BK5" i="3"/>
  <c r="E8" i="6"/>
  <c r="F27" i="6"/>
  <c r="S24" i="31"/>
  <c r="C27" i="31"/>
  <c r="Q27" i="31"/>
  <c r="E27" i="31"/>
  <c r="G27" i="31"/>
  <c r="I27" i="31"/>
  <c r="K27" i="31"/>
  <c r="M27" i="31"/>
  <c r="O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8" i="31"/>
  <c r="M28"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AC5" i="3"/>
  <c r="BP5" i="3"/>
  <c r="BN5" i="3"/>
  <c r="G29"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<sst xmlns="http://schemas.openxmlformats.org/spreadsheetml/2006/main" count="8131" uniqueCount="3171">
  <si>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</si>
  <si>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</si>
  <si>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</si>
  <si>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</si>
  <si>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</si>
  <si>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</si>
  <si>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</si>
  <si>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</si>
  <si>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</si>
  <si>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</si>
  <si>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</si>
  <si>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</si>
  <si>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</si>
  <si>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</si>
  <si>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</si>
  <si>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</si>
  <si>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</si>
  <si>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</si>
  <si>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</si>
  <si>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</si>
  <si>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</si>
  <si>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</si>
  <si>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</si>
  <si>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</si>
  <si>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</si>
  <si>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</si>
  <si>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</si>
  <si>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</si>
  <si>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</si>
  <si>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</si>
  <si>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</si>
  <si>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</si>
  <si>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</si>
  <si>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</si>
  <si>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</si>
  <si>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</si>
  <si>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</si>
  <si>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</si>
  <si>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</si>
  <si>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</si>
  <si>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</si>
  <si>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</si>
  <si>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</si>
  <si>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</si>
  <si>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</si>
  <si>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</si>
  <si>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</si>
  <si>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</si>
  <si>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</si>
  <si>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</si>
  <si>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</si>
  <si>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</si>
  <si>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</si>
  <si>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</si>
  <si>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</si>
  <si>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</si>
  <si>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</si>
  <si>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</si>
  <si>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</si>
  <si>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</si>
  <si>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</si>
  <si>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</si>
  <si>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</si>
  <si>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</si>
  <si>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</si>
  <si>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</si>
  <si>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</si>
  <si>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</si>
  <si>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</si>
  <si>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</si>
  <si>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</si>
  <si>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</si>
  <si>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</si>
  <si>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</si>
  <si>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</si>
  <si>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</si>
  <si>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</si>
  <si>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</si>
  <si>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</si>
  <si>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</si>
  <si>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</si>
  <si>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</si>
  <si>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</si>
  <si>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</si>
  <si>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</si>
  <si>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</si>
  <si>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</si>
  <si>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</si>
  <si>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</si>
  <si>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</si>
  <si>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</si>
  <si>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</si>
  <si>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</si>
  <si>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</si>
  <si>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</si>
  <si>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</si>
  <si>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</si>
  <si>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</si>
  <si>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</si>
  <si>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</si>
  <si>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</si>
  <si>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</si>
  <si>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</si>
  <si>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</si>
  <si>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</si>
  <si>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</si>
  <si>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</si>
  <si>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</si>
  <si>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</si>
  <si>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</si>
  <si>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</si>
  <si>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</si>
  <si>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</si>
  <si>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</si>
  <si>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</si>
  <si>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</si>
  <si>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</si>
  <si>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</si>
  <si>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</si>
  <si>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</si>
  <si>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</si>
  <si>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</si>
  <si>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</si>
  <si>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</si>
  <si>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</si>
  <si>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</si>
  <si>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</si>
  <si>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</si>
  <si>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</si>
  <si>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</si>
  <si>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</si>
  <si>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</si>
  <si>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</si>
  <si>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</si>
  <si>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</si>
  <si>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</si>
  <si>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</si>
  <si>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</si>
  <si>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</si>
  <si>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</si>
  <si>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</si>
  <si>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</si>
  <si>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</si>
  <si>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</si>
  <si>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</si>
  <si>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</si>
  <si>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</si>
  <si>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</si>
  <si>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</si>
  <si>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</si>
  <si>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</si>
  <si>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</si>
  <si>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</si>
  <si>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</si>
  <si>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</si>
  <si>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</si>
  <si>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</si>
  <si>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</si>
  <si>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</si>
  <si>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</si>
  <si>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</si>
  <si>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</si>
  <si>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</si>
  <si>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</si>
  <si>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</si>
  <si>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</si>
  <si>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</si>
  <si>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</si>
  <si>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</si>
  <si>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</si>
  <si>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</si>
  <si>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</si>
  <si>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</si>
  <si>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</si>
  <si>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</si>
  <si>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</si>
  <si>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</si>
  <si>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</si>
  <si>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</si>
  <si>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</si>
  <si>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</si>
  <si>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</si>
  <si>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</si>
  <si>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</si>
  <si>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</si>
  <si>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</si>
  <si>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</si>
  <si>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</si>
  <si>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</si>
  <si>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</si>
  <si>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</si>
  <si>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</si>
  <si>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</si>
  <si>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</si>
  <si>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</si>
  <si>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</si>
  <si>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</si>
  <si>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</si>
  <si>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</si>
  <si>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</si>
  <si>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</si>
  <si>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</si>
  <si>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</si>
  <si>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</si>
  <si>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</si>
  <si>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</si>
  <si>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</si>
  <si>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</si>
  <si>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</si>
  <si>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</si>
  <si>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</si>
  <si>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</si>
  <si>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</si>
  <si>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</si>
  <si>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</si>
  <si>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</si>
  <si>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</si>
  <si>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</si>
  <si>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</si>
  <si>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</si>
  <si>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</si>
  <si>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</si>
  <si>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</si>
  <si>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</si>
  <si>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</si>
  <si>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</si>
  <si>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</si>
  <si>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</si>
  <si>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</si>
  <si>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</si>
  <si>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</si>
  <si>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</si>
  <si>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</si>
  <si>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</si>
  <si>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</si>
  <si>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</si>
  <si>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</si>
  <si>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</si>
  <si>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</si>
  <si>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</si>
  <si>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</si>
  <si>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</si>
  <si>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</si>
  <si>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</si>
  <si>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</si>
  <si>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</si>
  <si>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</si>
  <si>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</si>
  <si>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</si>
  <si>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</si>
  <si>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</si>
  <si>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</si>
  <si>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</si>
  <si>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</si>
  <si>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</si>
  <si>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</si>
  <si>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</si>
  <si>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</si>
  <si>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</si>
  <si>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</si>
  <si>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</si>
  <si>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</si>
  <si>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</si>
  <si>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</si>
  <si>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</si>
  <si>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</si>
  <si>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</si>
  <si>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</si>
  <si>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</si>
  <si>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</si>
  <si>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</si>
  <si>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</si>
  <si>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</si>
  <si>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</si>
  <si>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</si>
  <si>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</si>
  <si>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</si>
  <si>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</si>
  <si>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</si>
  <si>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</si>
  <si>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</si>
  <si>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</si>
  <si>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</si>
  <si>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</si>
  <si>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</si>
  <si>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</si>
  <si>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</si>
  <si>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</si>
  <si>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</si>
  <si>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</si>
  <si>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</si>
  <si>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</si>
  <si>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</si>
  <si>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</si>
  <si>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</si>
  <si>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</si>
  <si>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</si>
  <si>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</si>
  <si>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</si>
  <si>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</si>
  <si>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</si>
  <si>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</si>
  <si>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</si>
  <si>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</si>
  <si>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</si>
  <si>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</si>
  <si>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</si>
  <si>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</si>
  <si>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</si>
  <si>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</si>
  <si>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</si>
  <si>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</si>
  <si>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</si>
  <si>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</si>
  <si>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</si>
  <si>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</si>
  <si>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</si>
  <si>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</si>
  <si>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</si>
  <si>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</si>
  <si>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</si>
  <si>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</si>
  <si>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</si>
  <si>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</si>
  <si>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</si>
  <si>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</si>
  <si>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</si>
  <si>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</si>
  <si>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</si>
  <si>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</si>
  <si>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</si>
  <si>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</si>
  <si>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</si>
  <si>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</si>
  <si>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</si>
  <si>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</si>
  <si>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</si>
  <si>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</si>
  <si>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</si>
  <si>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</si>
  <si>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</si>
  <si>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</si>
  <si>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</si>
  <si>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</si>
  <si>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</si>
  <si>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</si>
  <si>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</si>
  <si>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</si>
  <si>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</si>
  <si>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</si>
  <si>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</si>
  <si>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</si>
  <si>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</si>
  <si>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</si>
  <si>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</si>
  <si>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</si>
  <si>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</si>
  <si>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</si>
  <si>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</si>
  <si>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</si>
  <si>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</si>
  <si>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</si>
  <si>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</si>
  <si>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</si>
  <si>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</si>
  <si>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</si>
  <si>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</si>
  <si>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</si>
  <si>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</si>
  <si>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</si>
  <si>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</si>
  <si>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</si>
  <si>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</si>
  <si>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</si>
  <si>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</si>
  <si>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</si>
  <si>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</si>
  <si>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</si>
  <si>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</si>
  <si>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</si>
  <si>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</si>
  <si>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</si>
  <si>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</si>
  <si>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</si>
  <si>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</si>
  <si>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</si>
  <si>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</si>
  <si>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</si>
  <si>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</si>
  <si>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</si>
  <si>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</si>
  <si>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</si>
  <si>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</si>
  <si>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</si>
  <si>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</si>
  <si>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</si>
  <si>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</si>
  <si>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</si>
  <si>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</si>
  <si>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</si>
  <si>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</si>
  <si>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</si>
  <si>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</si>
  <si>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</si>
  <si>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</si>
  <si>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</si>
  <si>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</si>
  <si>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</si>
  <si>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</si>
  <si>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</si>
  <si>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</si>
  <si>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</si>
  <si>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</si>
  <si>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</si>
  <si>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</si>
  <si>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</si>
  <si>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</si>
  <si>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</si>
  <si>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</si>
  <si>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</si>
  <si>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</si>
  <si>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</si>
  <si>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</si>
  <si>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</si>
  <si>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</si>
  <si>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</si>
  <si>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</si>
  <si>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</si>
  <si>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</si>
  <si>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</si>
  <si>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</si>
  <si>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</si>
  <si>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</si>
  <si>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</si>
  <si>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</si>
  <si>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</si>
  <si>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</si>
  <si>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</si>
  <si>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</si>
  <si>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</si>
  <si>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</si>
  <si>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</si>
  <si>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</si>
  <si>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</si>
  <si>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</si>
  <si>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</si>
  <si>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</si>
  <si>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</si>
  <si>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</si>
  <si>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</si>
  <si>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</si>
  <si>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</si>
  <si>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</si>
  <si>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</si>
  <si>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</si>
  <si>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</si>
  <si>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</si>
  <si>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</si>
  <si>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</si>
  <si>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</si>
  <si>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</si>
  <si>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</si>
  <si>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</si>
  <si>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</si>
  <si>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</si>
  <si>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</si>
  <si>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</si>
  <si>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</si>
  <si>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</si>
  <si>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</si>
  <si>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</si>
  <si>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</si>
  <si>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</si>
  <si>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</si>
  <si>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</si>
  <si>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</si>
  <si>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</si>
  <si>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</si>
  <si>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</si>
  <si>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</si>
  <si>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</si>
  <si>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</si>
  <si>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</si>
  <si>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</si>
  <si>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</si>
  <si>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</si>
  <si>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</si>
  <si>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</si>
  <si>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</si>
  <si>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</si>
  <si>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</si>
  <si>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</si>
  <si>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</si>
  <si>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</si>
  <si>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</si>
  <si>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</si>
  <si>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</si>
  <si>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</si>
  <si>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</si>
  <si>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</si>
  <si>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</si>
  <si>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</si>
  <si>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</si>
  <si>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</si>
  <si>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</si>
  <si>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</si>
  <si>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</si>
  <si>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</si>
  <si>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</si>
  <si>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</si>
  <si>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</si>
  <si>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</si>
  <si>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</si>
  <si>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</si>
  <si>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</si>
  <si>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</si>
  <si>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</si>
  <si>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</si>
  <si>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</si>
  <si>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</si>
  <si>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</si>
  <si>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</si>
  <si>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</si>
  <si>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</si>
  <si>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</si>
  <si>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</si>
  <si>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</si>
  <si>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</si>
  <si>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</si>
  <si>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</si>
  <si>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</si>
  <si>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</si>
  <si>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</si>
  <si>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</si>
  <si>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</si>
  <si>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</si>
  <si>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</si>
  <si>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</si>
  <si>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</si>
  <si>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</si>
  <si>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</si>
  <si>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</si>
  <si>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</si>
  <si>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</si>
  <si>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</si>
  <si>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</si>
  <si>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</si>
  <si>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</si>
  <si>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</si>
  <si>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</si>
  <si>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</si>
  <si>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</si>
  <si>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</si>
  <si>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</si>
  <si>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</si>
  <si>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</si>
  <si>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</si>
  <si>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</si>
  <si>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</si>
  <si>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</si>
  <si>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</si>
  <si>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</si>
  <si>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</si>
  <si>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</si>
  <si>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</si>
  <si>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</si>
  <si>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</si>
  <si>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</si>
  <si>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</si>
  <si>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</si>
  <si>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</si>
  <si>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</si>
  <si>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</si>
  <si>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</si>
  <si>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</si>
  <si>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</si>
  <si>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</si>
  <si>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</si>
  <si>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</si>
  <si>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</si>
  <si>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</si>
  <si>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</si>
  <si>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</si>
  <si>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</si>
  <si>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</si>
  <si>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</si>
  <si>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</si>
  <si>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</si>
  <si>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</si>
  <si>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</si>
  <si>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</si>
  <si>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</si>
  <si>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</si>
  <si>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</si>
  <si>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</si>
  <si>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</si>
  <si>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</si>
  <si>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</si>
  <si>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</si>
  <si>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</si>
  <si>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</si>
  <si>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</si>
  <si>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</si>
  <si>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</si>
  <si>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</si>
  <si>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</si>
  <si>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</si>
  <si>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</si>
  <si>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</si>
  <si>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</si>
  <si>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</si>
  <si>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</si>
  <si>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</si>
  <si>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</si>
  <si>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</si>
  <si>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</si>
  <si>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</si>
  <si>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</si>
  <si>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</si>
  <si>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</si>
  <si>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</si>
  <si>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</si>
  <si>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</si>
  <si>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</si>
  <si>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</si>
  <si>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</si>
  <si>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</si>
  <si>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</si>
  <si>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</si>
  <si>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</si>
  <si>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</si>
  <si>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</si>
  <si>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</si>
  <si>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</si>
  <si>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</si>
  <si>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</si>
  <si>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</si>
  <si>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</si>
  <si>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</si>
  <si>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</si>
  <si>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</si>
  <si>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</si>
  <si>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</si>
  <si>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</si>
  <si>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</si>
  <si>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</si>
  <si>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</si>
  <si>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</si>
  <si>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</si>
  <si>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</si>
  <si>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</si>
  <si>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</si>
  <si>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</si>
  <si>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</si>
  <si>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</si>
  <si>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</si>
  <si>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</si>
  <si>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</si>
  <si>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</si>
  <si>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</si>
  <si>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</si>
  <si>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</si>
  <si>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</si>
  <si>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</si>
  <si>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</si>
  <si>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</si>
  <si>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</si>
  <si>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</si>
  <si>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</si>
  <si>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</si>
  <si>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</si>
  <si>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</si>
  <si>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</si>
  <si>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</si>
  <si>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</si>
  <si>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</si>
  <si>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</si>
  <si>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</si>
  <si>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</si>
  <si>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</si>
  <si>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</si>
  <si>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</si>
  <si>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</si>
  <si>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</si>
  <si>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</si>
  <si>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</si>
  <si>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</si>
  <si>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</si>
  <si>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</si>
  <si>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</si>
  <si>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</si>
  <si>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</si>
  <si>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</si>
  <si>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</si>
  <si>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</si>
  <si>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</si>
  <si>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</si>
  <si>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</si>
  <si>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</si>
  <si>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</si>
  <si>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</si>
  <si>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</si>
  <si>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</si>
  <si>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</si>
  <si>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</si>
  <si>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</si>
  <si>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</si>
  <si>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</si>
  <si>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</si>
  <si>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</si>
  <si>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</si>
  <si>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</si>
  <si>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</si>
  <si>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</si>
  <si>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</si>
  <si>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</si>
  <si>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</si>
  <si>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</si>
  <si>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</si>
  <si>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</si>
  <si>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</si>
  <si>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</si>
  <si>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</si>
  <si>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</si>
  <si>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</si>
  <si>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</si>
  <si>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</si>
  <si>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</si>
  <si>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</si>
  <si>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</si>
  <si>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</si>
  <si>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</si>
  <si>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</si>
  <si>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</si>
  <si>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</si>
  <si>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</si>
  <si>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</si>
  <si>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</si>
  <si>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</si>
  <si>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</si>
  <si>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</si>
  <si>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</si>
  <si>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</si>
  <si>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</si>
  <si>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</si>
  <si>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</si>
  <si>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</si>
  <si>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</si>
  <si>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</si>
  <si>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</si>
  <si>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</si>
  <si>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</si>
  <si>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</si>
  <si>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</si>
  <si>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</si>
  <si>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</si>
  <si>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</si>
  <si>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</si>
  <si>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</si>
  <si>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</si>
  <si>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</si>
  <si>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</si>
  <si>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</si>
  <si>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</si>
  <si>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</si>
  <si>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</si>
  <si>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</si>
  <si>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</si>
  <si>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</si>
  <si>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</si>
  <si>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</si>
  <si>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</si>
  <si>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</si>
  <si>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</si>
  <si>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</si>
  <si>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</si>
  <si>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</si>
  <si>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</si>
  <si>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</si>
  <si>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</si>
  <si>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</si>
  <si>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</si>
  <si>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</si>
  <si>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</si>
  <si>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</si>
  <si>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</si>
  <si>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</si>
  <si>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</si>
  <si>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</si>
  <si>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</si>
  <si>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</si>
  <si>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</si>
  <si>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</si>
  <si>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</si>
  <si>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</si>
  <si>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</si>
  <si>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</si>
  <si>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</si>
  <si>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</si>
  <si>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</si>
  <si>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</si>
  <si>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</si>
  <si>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</si>
  <si>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</si>
  <si>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</si>
  <si>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</si>
  <si>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</si>
  <si>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</si>
  <si>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</si>
  <si>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</si>
  <si>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</si>
  <si>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</si>
  <si>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</si>
  <si>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</si>
  <si>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</si>
  <si>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</si>
  <si>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</si>
  <si>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</si>
  <si>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</si>
  <si>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</si>
  <si>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</si>
  <si>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</si>
  <si>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</si>
  <si>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</si>
  <si>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</si>
  <si>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</si>
  <si>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</si>
  <si>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</si>
  <si>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</si>
  <si>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</si>
  <si>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</si>
  <si>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</si>
  <si>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</si>
  <si>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</si>
  <si>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</si>
  <si>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</si>
  <si>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</si>
  <si>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</si>
  <si>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</si>
  <si>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</si>
  <si>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</si>
  <si>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</si>
  <si>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</si>
  <si>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</si>
  <si>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</si>
  <si>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</si>
  <si>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</si>
  <si>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</si>
  <si>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</si>
  <si>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</si>
  <si>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</si>
  <si>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</si>
  <si>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</si>
  <si>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</si>
  <si>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</si>
  <si>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</si>
  <si>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</si>
  <si>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</si>
  <si>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</si>
  <si>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</si>
  <si>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</si>
  <si>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</si>
  <si>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</si>
  <si>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</si>
  <si>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</si>
  <si>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</si>
  <si>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</si>
  <si>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</si>
  <si>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</si>
  <si>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</si>
  <si>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</si>
  <si>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</si>
  <si>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</si>
  <si>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</si>
  <si>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</si>
  <si>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</si>
  <si>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</si>
  <si>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</si>
  <si>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</si>
  <si>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</si>
  <si>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</si>
  <si>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</si>
  <si>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</si>
  <si>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</si>
  <si>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</si>
  <si>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</si>
  <si>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</si>
  <si>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</si>
  <si>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</si>
  <si>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</si>
  <si>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</si>
  <si>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</si>
  <si>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</si>
  <si>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</si>
  <si>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</si>
  <si>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</si>
  <si>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</si>
  <si>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</si>
  <si>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</si>
  <si>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</si>
  <si>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</si>
  <si>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</si>
  <si>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</si>
  <si>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</si>
  <si>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</si>
  <si>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</si>
  <si>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</si>
  <si>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</si>
  <si>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</si>
  <si>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</si>
  <si>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</si>
  <si>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</si>
  <si>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</si>
  <si>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</si>
  <si>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</si>
  <si>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</si>
  <si>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</si>
  <si>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</si>
  <si>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</si>
  <si>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</si>
  <si>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</si>
  <si>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</si>
  <si>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</si>
  <si>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</si>
  <si>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</si>
  <si>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</si>
  <si>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</si>
  <si>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</si>
  <si>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</si>
  <si>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</si>
  <si>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</si>
  <si>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</si>
  <si>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</si>
  <si>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</si>
  <si>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</si>
  <si>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</si>
  <si>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</si>
  <si>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</si>
  <si>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</si>
  <si>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</si>
  <si>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</si>
  <si>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</si>
  <si>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</si>
  <si>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</si>
  <si>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</si>
  <si>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</si>
  <si>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</si>
  <si>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</si>
  <si>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</si>
  <si>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</si>
  <si>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</si>
  <si>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</si>
  <si>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</si>
  <si>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</si>
  <si>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</si>
  <si>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</si>
  <si>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</si>
  <si>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</si>
  <si>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</si>
  <si>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</si>
  <si>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</si>
  <si>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</si>
  <si>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</si>
  <si>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</si>
  <si>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</si>
  <si>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</si>
  <si>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</si>
  <si>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</si>
  <si>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</si>
  <si>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</si>
  <si>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</si>
  <si>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</si>
  <si>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</si>
  <si>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</si>
  <si>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</si>
  <si>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</si>
  <si>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</si>
  <si>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</si>
  <si>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</si>
  <si>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</si>
  <si>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</si>
  <si>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</si>
  <si>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</si>
  <si>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</si>
  <si>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</si>
  <si>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</si>
  <si>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</si>
  <si>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</si>
  <si>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</si>
  <si>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</si>
  <si>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</si>
  <si>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</si>
  <si>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</si>
  <si>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</si>
  <si>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</si>
  <si>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</si>
  <si>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</si>
  <si>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</si>
  <si>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</si>
  <si>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</si>
  <si>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</si>
  <si>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</si>
  <si>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</si>
  <si>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</si>
  <si>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</si>
  <si>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</si>
  <si>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</si>
  <si>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</si>
  <si>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</si>
  <si>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</si>
  <si>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</si>
  <si>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</si>
  <si>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</si>
  <si>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</si>
  <si>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</si>
  <si>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</si>
  <si>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</si>
  <si>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</si>
  <si>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</si>
  <si>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</si>
  <si>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</si>
  <si>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</si>
  <si>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</si>
  <si>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</si>
  <si>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</si>
  <si>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</si>
  <si>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</si>
  <si>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</si>
  <si>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</si>
  <si>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</si>
  <si>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</si>
  <si>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</si>
  <si>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</si>
  <si>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</si>
  <si>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</si>
  <si>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</si>
  <si>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</si>
  <si>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</si>
  <si>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</si>
  <si>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</si>
  <si>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</si>
  <si>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</si>
  <si>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</si>
  <si>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</si>
  <si>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</si>
  <si>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</si>
  <si>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</si>
  <si>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</si>
  <si>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</si>
  <si>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</si>
  <si>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</si>
  <si>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</si>
  <si>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</si>
  <si>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</si>
  <si>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</si>
  <si>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</si>
  <si>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</si>
  <si>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</si>
  <si>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</si>
  <si>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</si>
  <si>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</si>
  <si>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</si>
  <si>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</si>
  <si>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</si>
  <si>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</si>
  <si>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</si>
  <si>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</si>
  <si>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</si>
  <si>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</si>
  <si>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</si>
  <si>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</si>
  <si>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</si>
  <si>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</si>
  <si>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</si>
  <si>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</si>
  <si>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</si>
  <si>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</si>
  <si>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</si>
  <si>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</si>
  <si>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</si>
  <si>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</si>
  <si>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</si>
  <si>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</si>
  <si>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</si>
  <si>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</si>
  <si>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</si>
  <si>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</si>
  <si>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</si>
  <si>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</si>
  <si>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</si>
  <si>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</si>
  <si>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</si>
  <si>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</si>
  <si>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</si>
  <si>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</si>
  <si>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</si>
  <si>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</si>
  <si>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</si>
  <si>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</si>
  <si>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</si>
  <si>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</si>
  <si>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</si>
  <si>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</si>
  <si>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</si>
  <si>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</si>
  <si>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</si>
  <si>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</si>
  <si>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</si>
  <si>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</si>
  <si>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</si>
  <si>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</si>
  <si>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</si>
  <si>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</si>
  <si>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</si>
  <si>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</si>
  <si>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</si>
  <si>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</si>
  <si>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</si>
  <si>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</si>
  <si>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</si>
  <si>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</si>
  <si>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</si>
  <si>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</si>
  <si>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</si>
  <si>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</si>
  <si>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</si>
  <si>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</si>
  <si>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</si>
  <si>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</si>
  <si>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</si>
  <si>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</si>
  <si>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</si>
  <si>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</si>
  <si>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</si>
  <si>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</si>
  <si>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</si>
  <si>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</si>
  <si>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</si>
  <si>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</si>
  <si>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</si>
  <si>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</si>
  <si>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</si>
  <si>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</si>
  <si>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</si>
  <si>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</si>
  <si>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</si>
  <si>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</si>
  <si>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</si>
  <si>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</si>
  <si>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</si>
  <si>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</si>
  <si>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</si>
  <si>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</si>
  <si>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</si>
  <si>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</si>
  <si>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</si>
  <si>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</si>
  <si>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</si>
  <si>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</si>
  <si>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</si>
  <si>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</si>
  <si>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</si>
  <si>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</si>
  <si>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</si>
  <si>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</si>
  <si>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</si>
  <si>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</si>
  <si>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</si>
  <si>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</si>
  <si>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</si>
  <si>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</si>
  <si>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</si>
  <si>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</si>
  <si>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</si>
  <si>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</si>
  <si>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</si>
  <si>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</si>
  <si>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</si>
  <si>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</si>
  <si>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</si>
  <si>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</si>
  <si>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</si>
  <si>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</si>
  <si>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</si>
  <si>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</si>
  <si>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</si>
  <si>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</si>
  <si>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</si>
  <si>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</si>
  <si>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</si>
  <si>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</si>
  <si>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</si>
  <si>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</si>
  <si>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</si>
  <si>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</si>
  <si>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</si>
  <si>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</si>
  <si>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</si>
  <si>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</si>
  <si>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</si>
  <si>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</si>
  <si>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</si>
  <si>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</si>
  <si>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</si>
  <si>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</si>
  <si>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</si>
  <si>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</si>
  <si>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</si>
  <si>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</si>
  <si>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</si>
  <si>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</si>
  <si>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</si>
  <si>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</si>
  <si>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</si>
  <si>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</si>
  <si>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</si>
  <si>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</si>
  <si>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</si>
  <si>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</si>
  <si>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</si>
  <si>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</si>
  <si>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</si>
  <si>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</si>
  <si>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</si>
  <si>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</si>
  <si>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</si>
  <si>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</si>
  <si>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</si>
  <si>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</si>
  <si>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</si>
  <si>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</si>
  <si>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</si>
  <si>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</si>
  <si>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</si>
  <si>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</si>
  <si>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</si>
  <si>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</si>
  <si>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</si>
  <si>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</si>
  <si>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</si>
  <si>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</si>
  <si>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</si>
  <si>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</si>
  <si>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</si>
  <si>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</si>
  <si>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</si>
  <si>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</si>
  <si>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</si>
  <si>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</si>
  <si>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</si>
  <si>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</si>
  <si>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</si>
  <si>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</si>
  <si>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</si>
  <si>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</si>
  <si>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</si>
  <si>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</si>
  <si>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</si>
  <si>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</si>
  <si>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</si>
  <si>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</si>
  <si>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</si>
  <si>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</si>
  <si>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</si>
  <si>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</si>
  <si>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</si>
  <si>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</si>
  <si>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</si>
  <si>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</si>
  <si>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</si>
  <si>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</si>
  <si>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</si>
  <si>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</si>
  <si>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</si>
  <si>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</si>
  <si>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</si>
  <si>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</si>
  <si>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</si>
  <si>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</si>
  <si>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</si>
  <si>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</si>
  <si>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</si>
  <si>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</si>
  <si>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</si>
  <si>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</si>
  <si>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</si>
  <si>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</si>
  <si>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</si>
  <si>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</si>
  <si>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</si>
  <si>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</si>
  <si>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</si>
  <si>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</si>
  <si>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</si>
  <si>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</si>
  <si>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</si>
  <si>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</si>
  <si>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</si>
  <si>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</si>
  <si>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</si>
  <si>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</si>
  <si>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</si>
  <si>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</si>
  <si>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</si>
  <si>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</si>
  <si>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</si>
  <si>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</si>
  <si>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</si>
  <si>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</si>
  <si>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</si>
  <si>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</si>
  <si>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</si>
  <si>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</si>
  <si>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</si>
  <si>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</si>
  <si>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</si>
  <si>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</si>
  <si>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</si>
  <si>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</si>
  <si>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</si>
  <si>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</si>
  <si>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</si>
  <si>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</si>
  <si>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</si>
  <si>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</si>
  <si>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</si>
  <si>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</si>
  <si>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</si>
  <si>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</si>
  <si>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</si>
  <si>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</si>
  <si>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</si>
  <si>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</si>
  <si>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</si>
  <si>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</si>
  <si>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</si>
  <si>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</si>
  <si>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</si>
  <si>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</si>
  <si>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</si>
  <si>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</si>
  <si>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</si>
  <si>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</si>
  <si>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</si>
  <si>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</si>
  <si>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</si>
  <si>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</si>
  <si>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</si>
  <si>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</si>
  <si>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</si>
  <si>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</si>
  <si>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</si>
  <si>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</si>
  <si>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</si>
  <si>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</si>
  <si>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</si>
  <si>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</si>
  <si>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</si>
  <si>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</si>
  <si>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</si>
  <si>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</si>
  <si>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</si>
  <si>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</si>
  <si>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</si>
  <si>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</si>
  <si>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</si>
  <si>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</si>
  <si>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</si>
  <si>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</si>
  <si>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</si>
  <si>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</si>
  <si>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</si>
  <si>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</si>
  <si>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</si>
  <si>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</si>
  <si>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</si>
  <si>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</si>
  <si>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</si>
  <si>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</si>
  <si>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</si>
  <si>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</si>
  <si>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</si>
  <si>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</si>
  <si>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</si>
  <si>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</si>
  <si>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</si>
  <si>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</si>
  <si>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</si>
  <si>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</si>
  <si>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</si>
  <si>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</si>
  <si>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</si>
  <si>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</si>
  <si>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</si>
  <si>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</si>
  <si>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</si>
  <si>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</si>
  <si>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</si>
  <si>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</si>
  <si>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</si>
  <si>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</si>
  <si>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</si>
  <si>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</si>
  <si>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</si>
  <si>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</si>
  <si>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</si>
  <si>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</si>
  <si>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</si>
  <si>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</si>
  <si>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</si>
  <si>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</si>
  <si>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</si>
  <si>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</si>
  <si>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</si>
  <si>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</si>
  <si>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</si>
  <si>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</si>
  <si>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</si>
  <si>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</si>
  <si>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</si>
  <si>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</si>
  <si>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</si>
  <si>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</si>
  <si>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</si>
  <si>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</si>
  <si>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</si>
  <si>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</si>
  <si>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</si>
  <si>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</si>
  <si>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</si>
  <si>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</si>
  <si>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</si>
  <si>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</si>
  <si>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</si>
  <si>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</si>
  <si>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</si>
  <si>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</si>
  <si>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</si>
  <si>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</si>
  <si>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</si>
  <si>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</si>
  <si>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</si>
  <si>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</si>
  <si>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</si>
  <si>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</si>
  <si>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</si>
  <si>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</si>
  <si>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</si>
  <si>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</si>
  <si>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</si>
  <si>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</si>
  <si>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</si>
  <si>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</si>
  <si>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</si>
  <si>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</si>
  <si>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</si>
  <si>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</si>
  <si>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</si>
  <si>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</si>
  <si>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</si>
  <si>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</si>
  <si>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</si>
  <si>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</si>
  <si>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</si>
  <si>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</si>
  <si>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</si>
  <si>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</si>
  <si>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</si>
  <si>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</si>
  <si>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</si>
  <si>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</si>
  <si>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</si>
  <si>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</si>
  <si>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</si>
  <si>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</si>
  <si>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</si>
  <si>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</si>
  <si>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</si>
  <si>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</si>
  <si>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</si>
  <si>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</si>
  <si>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</si>
  <si>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</si>
  <si>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</si>
  <si>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</si>
  <si>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</si>
  <si>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</si>
  <si>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</si>
  <si>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</si>
  <si>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</si>
  <si>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</si>
  <si>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</si>
  <si>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</si>
  <si>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</si>
  <si>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</si>
  <si>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</si>
  <si>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</si>
  <si>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</si>
  <si>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</si>
  <si>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</si>
  <si>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</si>
  <si>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</si>
  <si>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</si>
  <si>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</si>
  <si>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</si>
  <si>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</si>
  <si>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</si>
  <si>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</si>
  <si>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</si>
  <si>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</si>
  <si>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</si>
  <si>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</si>
  <si>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</si>
  <si>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</si>
  <si>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</si>
  <si>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</si>
  <si>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</si>
  <si>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</si>
  <si>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</si>
  <si>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</si>
  <si>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</si>
  <si>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</si>
  <si>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</si>
  <si>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</si>
  <si>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</si>
  <si>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</si>
  <si>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</si>
  <si>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</si>
  <si>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</si>
  <si>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</si>
  <si>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</si>
  <si>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</si>
  <si>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</si>
  <si>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</si>
  <si>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</si>
  <si>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</si>
  <si>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</si>
  <si>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</si>
  <si>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</si>
  <si>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</si>
  <si>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</si>
  <si>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</si>
  <si>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</si>
  <si>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</si>
  <si>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</si>
  <si>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</si>
  <si>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</si>
  <si>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</si>
  <si>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</si>
  <si>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</si>
  <si>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</si>
  <si>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</si>
  <si>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</si>
  <si>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</si>
  <si>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</si>
  <si>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</si>
  <si>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</si>
  <si>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</si>
  <si>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</si>
  <si>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</si>
  <si>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</si>
  <si>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</si>
  <si>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</si>
  <si>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</si>
  <si>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</si>
  <si>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</si>
  <si>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</si>
  <si>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</si>
  <si>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</si>
  <si>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</si>
  <si>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</si>
  <si>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</si>
  <si>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</si>
  <si>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</si>
  <si>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</si>
  <si>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</si>
  <si>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</si>
  <si>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</si>
  <si>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</si>
  <si>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</si>
  <si>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</si>
  <si>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</si>
  <si>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</si>
  <si>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</si>
  <si>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</si>
  <si>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</si>
  <si>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</si>
  <si>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</si>
  <si>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</si>
  <si>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</si>
  <si>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</si>
  <si>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</si>
  <si>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</si>
  <si>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</si>
  <si>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</si>
  <si>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</si>
  <si>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</si>
  <si>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</si>
  <si>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</si>
  <si>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</si>
  <si>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</si>
  <si>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</si>
  <si>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</si>
  <si>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</si>
  <si>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</si>
  <si>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</si>
  <si>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</si>
  <si>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</si>
  <si>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</si>
  <si>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</si>
  <si>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</si>
  <si>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</si>
  <si>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</si>
  <si>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</si>
  <si>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</si>
  <si>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</si>
  <si>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</si>
  <si>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</si>
  <si>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</si>
  <si>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</si>
  <si>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</si>
  <si>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</si>
  <si>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</si>
  <si>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</si>
  <si>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</si>
  <si>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</si>
  <si>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</si>
  <si>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</si>
  <si>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</si>
  <si>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</si>
  <si>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</si>
  <si>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</si>
  <si>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</si>
  <si>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</si>
  <si>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</si>
  <si>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</si>
  <si>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</si>
  <si>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</si>
  <si>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</si>
  <si>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</si>
  <si>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</si>
  <si>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</si>
  <si>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</si>
  <si>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</si>
  <si>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</si>
  <si>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</si>
  <si>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</si>
  <si>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</si>
  <si>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</si>
  <si>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</si>
  <si>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</si>
  <si>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</si>
  <si>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</si>
  <si>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</si>
  <si>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</si>
  <si>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</si>
  <si>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</si>
  <si>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</si>
  <si>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</si>
  <si>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</si>
  <si>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</si>
  <si>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</si>
  <si>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</si>
  <si>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</si>
  <si>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</si>
  <si>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</si>
  <si>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</si>
  <si>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</si>
  <si>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</si>
  <si>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</si>
  <si>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</si>
  <si>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</si>
  <si>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</si>
  <si>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</si>
  <si>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</si>
  <si>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</si>
  <si>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</si>
  <si>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</si>
  <si>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</si>
  <si>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</si>
  <si>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</si>
  <si>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</si>
  <si>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</si>
  <si>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</si>
  <si>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</si>
  <si>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</si>
  <si>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</si>
  <si>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</si>
  <si>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</si>
  <si>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</si>
  <si>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</si>
  <si>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</si>
  <si>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</si>
  <si>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</si>
  <si>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</si>
  <si>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</si>
  <si>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</si>
  <si>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</si>
  <si>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</si>
  <si>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</si>
  <si>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</si>
  <si>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</si>
  <si>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</si>
  <si>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</si>
  <si>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</si>
  <si>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</si>
  <si>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</si>
  <si>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</si>
  <si>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</si>
  <si>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</si>
  <si>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</si>
  <si>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</si>
  <si>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</si>
  <si>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</si>
  <si>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</si>
  <si>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</si>
  <si>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</si>
  <si>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</si>
  <si>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</si>
  <si>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</si>
  <si>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</si>
  <si>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</si>
  <si>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</si>
  <si>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</si>
  <si>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</si>
  <si>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</si>
  <si>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</si>
  <si>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</si>
  <si>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</si>
  <si>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</si>
  <si>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</si>
  <si>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</si>
  <si>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</si>
  <si>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</si>
  <si>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</si>
  <si>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</si>
  <si>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</si>
  <si>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</si>
  <si>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</si>
  <si>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</si>
  <si>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</si>
  <si>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</si>
  <si>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</si>
  <si>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</si>
  <si>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</si>
  <si>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</si>
  <si>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</si>
  <si>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</si>
  <si>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</si>
  <si>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</si>
  <si>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</si>
  <si>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</si>
  <si>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</si>
  <si>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</si>
  <si>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</si>
  <si>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</si>
  <si>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</si>
  <si>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</si>
  <si>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</si>
  <si>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</si>
  <si>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</si>
  <si>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</si>
  <si>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</si>
  <si>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</si>
  <si>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</si>
  <si>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</si>
  <si>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</si>
  <si>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</si>
  <si>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</si>
  <si>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</si>
  <si>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</si>
  <si>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</si>
  <si>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</si>
  <si>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</si>
  <si>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</si>
  <si>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</si>
  <si>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</si>
  <si>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</si>
  <si>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</si>
  <si>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</si>
  <si>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</si>
  <si>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</si>
  <si>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</si>
  <si>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</si>
  <si>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</si>
  <si>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</si>
  <si>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</si>
  <si>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</si>
  <si>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</si>
  <si>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</si>
  <si>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</si>
  <si>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</si>
  <si>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</si>
  <si>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</si>
  <si>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</si>
  <si>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</si>
  <si>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</si>
  <si>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</si>
  <si>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</si>
  <si>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</si>
  <si>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</si>
  <si>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</si>
  <si>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</si>
  <si>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</si>
  <si>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</si>
  <si>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</si>
  <si>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</si>
  <si>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</si>
  <si>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</si>
  <si>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</si>
  <si>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</si>
  <si>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</si>
  <si>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</si>
  <si>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</si>
  <si>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</si>
  <si>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</si>
  <si>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</si>
  <si>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</si>
  <si>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</si>
  <si>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</si>
  <si>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</si>
  <si>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</si>
  <si>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</si>
  <si>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</si>
  <si>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</si>
  <si>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</si>
  <si>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</si>
  <si>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</si>
  <si>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</si>
  <si>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</si>
  <si>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</si>
  <si>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</si>
  <si>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</si>
  <si>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</si>
  <si>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</si>
  <si>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</si>
  <si>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</si>
  <si>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</si>
  <si>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</si>
  <si>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</si>
  <si>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</si>
  <si>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</si>
  <si>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</si>
  <si>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</si>
  <si>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</si>
  <si>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</si>
  <si>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</si>
  <si>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</si>
  <si>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</si>
  <si>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</si>
  <si>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</si>
  <si>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</si>
  <si>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</si>
  <si>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</si>
  <si>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</si>
  <si>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</si>
  <si>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</si>
  <si>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</si>
  <si>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</si>
  <si>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</si>
  <si>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</si>
  <si>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</si>
  <si>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</si>
  <si>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</si>
  <si>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</si>
  <si>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</si>
  <si>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</si>
  <si>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</si>
  <si>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</si>
  <si>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</si>
  <si>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</si>
  <si>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</si>
  <si>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</si>
  <si>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</si>
  <si>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</si>
  <si>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</si>
  <si>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</si>
  <si>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</si>
  <si>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</si>
  <si>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</si>
  <si>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</si>
  <si>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</si>
  <si>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</si>
  <si>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</si>
  <si>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</si>
  <si>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</si>
  <si>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</si>
  <si>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</si>
  <si>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</si>
  <si>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</si>
  <si>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</si>
  <si>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</si>
  <si>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</si>
  <si>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</si>
  <si>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</si>
  <si>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</si>
  <si>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</si>
  <si>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</si>
  <si>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</si>
  <si>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</si>
  <si>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</si>
  <si>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</si>
  <si>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</si>
  <si>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</si>
  <si>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</si>
  <si>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</si>
  <si>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</si>
  <si>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</si>
  <si>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</si>
  <si>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</si>
  <si>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</si>
  <si>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</si>
  <si>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</si>
  <si>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</si>
  <si>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</si>
  <si>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</si>
  <si>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</si>
  <si>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</si>
  <si>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</si>
  <si>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</si>
  <si>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</si>
  <si>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</si>
  <si>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</si>
  <si>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</si>
  <si>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</si>
  <si>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</si>
  <si>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</si>
  <si>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</si>
  <si>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</si>
  <si>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</si>
  <si>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</si>
  <si>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</si>
  <si>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</si>
  <si>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</si>
  <si>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</si>
  <si>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</si>
  <si>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</si>
  <si>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</si>
  <si>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</si>
  <si>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</si>
  <si>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</si>
  <si>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</si>
  <si>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</si>
  <si>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</si>
  <si>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</si>
  <si>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</si>
  <si>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</si>
  <si>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</si>
  <si>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</si>
  <si>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</si>
  <si>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</si>
  <si>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</si>
  <si>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</si>
  <si>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</si>
  <si>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</si>
  <si>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</si>
  <si>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</si>
  <si>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</si>
  <si>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</si>
  <si>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</si>
  <si>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</si>
  <si>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</si>
  <si>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</si>
  <si>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</si>
  <si>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</si>
  <si>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</si>
  <si>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</si>
  <si>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</si>
  <si>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</si>
  <si>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</si>
  <si>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</si>
  <si>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</si>
  <si>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</si>
  <si>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</si>
  <si>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</si>
  <si>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</si>
  <si>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</si>
  <si>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</si>
  <si>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</si>
  <si>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</si>
  <si>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</si>
  <si>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</si>
  <si>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</si>
  <si>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</si>
  <si>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</si>
  <si>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</si>
  <si>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</si>
  <si>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</si>
  <si>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</si>
  <si>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</si>
  <si>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</si>
  <si>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</si>
  <si>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</si>
  <si>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</si>
  <si>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</si>
  <si>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</si>
  <si>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</si>
  <si>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</si>
  <si>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</si>
  <si>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</si>
  <si>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</si>
  <si>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</si>
  <si>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</si>
  <si>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</si>
  <si>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</si>
  <si>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</si>
  <si>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</si>
  <si>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</si>
  <si>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</si>
  <si>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</si>
  <si>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</si>
  <si>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</si>
  <si>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</si>
  <si>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</si>
  <si>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</si>
  <si>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</si>
  <si>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</si>
  <si>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</si>
  <si>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</si>
  <si>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</si>
  <si>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</si>
  <si>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</si>
  <si>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</si>
  <si>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</si>
  <si>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</si>
  <si>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</si>
  <si>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</si>
  <si>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</si>
  <si>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</si>
  <si>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</si>
  <si>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</si>
  <si>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</si>
  <si>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</si>
  <si>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</si>
  <si>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</si>
  <si>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</si>
  <si>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</si>
  <si>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</si>
  <si>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</si>
  <si>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</si>
  <si>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</si>
  <si>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</si>
  <si>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</si>
  <si>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</si>
  <si>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</si>
  <si>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</si>
  <si>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</si>
  <si>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</si>
  <si>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</si>
  <si>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</si>
  <si>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</si>
  <si>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</si>
  <si>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</si>
  <si>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</si>
  <si>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</si>
  <si>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</si>
  <si>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</si>
  <si>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</si>
  <si>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</si>
  <si>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</si>
  <si>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</si>
  <si>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</si>
  <si>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</si>
  <si>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</si>
  <si>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</si>
  <si>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</si>
  <si>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</si>
  <si>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</si>
  <si>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</si>
  <si>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</si>
  <si>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</si>
  <si>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</si>
  <si>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</si>
  <si>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</si>
  <si>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</si>
  <si>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</si>
  <si>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</si>
  <si>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</si>
  <si>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</si>
  <si>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</si>
  <si>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</si>
  <si>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</si>
  <si>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</si>
  <si>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</si>
  <si>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</si>
  <si>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</si>
  <si>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</si>
  <si>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</si>
  <si>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</si>
  <si>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</si>
  <si>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</si>
  <si>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</si>
  <si>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</si>
  <si>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</si>
  <si>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</si>
  <si>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</si>
  <si>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</si>
  <si>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</si>
  <si>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</si>
  <si>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</si>
  <si>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</si>
  <si>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</si>
  <si>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</si>
  <si>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</si>
  <si>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</si>
  <si>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</si>
  <si>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</si>
  <si>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</si>
  <si>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</si>
  <si>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</si>
  <si>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</si>
  <si>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</si>
  <si>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</si>
  <si>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</si>
  <si>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</si>
  <si>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</si>
  <si>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</si>
  <si>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</si>
  <si>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</si>
  <si>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</si>
  <si>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</si>
  <si>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</si>
  <si>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</si>
  <si>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</si>
  <si>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</si>
  <si>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</si>
  <si>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</si>
  <si>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</si>
  <si>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</si>
  <si>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</si>
  <si>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</si>
  <si>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</si>
  <si>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</si>
  <si>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</si>
  <si>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</si>
  <si>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</si>
  <si>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</si>
  <si>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</si>
  <si>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</si>
  <si>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</si>
  <si>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</si>
  <si>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</si>
  <si>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</si>
  <si>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</si>
  <si>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</si>
  <si>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</si>
  <si>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</si>
  <si>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</si>
  <si>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</si>
  <si>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</si>
  <si>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</si>
  <si>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</si>
  <si>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</si>
  <si>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</si>
  <si>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</si>
  <si>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</si>
  <si>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</si>
  <si>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</si>
  <si>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</si>
  <si>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</si>
  <si>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</si>
  <si>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</si>
  <si>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</si>
  <si>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</si>
  <si>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</si>
  <si>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</si>
  <si>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</si>
  <si>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</si>
  <si>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</si>
  <si>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</si>
  <si>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</si>
  <si>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</si>
  <si>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</si>
  <si>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</si>
  <si>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</si>
  <si>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</si>
  <si>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</si>
  <si>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</si>
  <si>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</si>
  <si>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</si>
  <si>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</si>
  <si>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</si>
  <si>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</si>
  <si>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</si>
  <si>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</si>
  <si>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</si>
  <si>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</si>
  <si>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</si>
  <si>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</si>
  <si>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</si>
  <si>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</si>
  <si>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</si>
  <si>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</si>
  <si>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</si>
  <si>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</si>
  <si>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</si>
  <si>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</si>
  <si>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</si>
  <si>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</si>
  <si>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</si>
  <si>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</si>
  <si>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</si>
  <si>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</si>
  <si>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</si>
  <si>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</si>
  <si>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</si>
  <si>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</si>
  <si>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</si>
  <si>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</si>
  <si>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</si>
  <si>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</si>
  <si>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</si>
  <si>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</si>
  <si>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</si>
  <si>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</si>
  <si>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</si>
  <si>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</si>
  <si>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</si>
  <si>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</si>
  <si>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</si>
  <si>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</si>
  <si>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</si>
  <si>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</si>
  <si>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</si>
  <si>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</si>
  <si>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</si>
  <si>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</si>
  <si>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</si>
  <si>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</si>
  <si>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</si>
  <si>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</si>
  <si>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</si>
  <si>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</si>
  <si>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</si>
  <si>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</si>
  <si>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</si>
  <si>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</si>
  <si>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</si>
  <si>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</si>
  <si>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</si>
  <si>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</si>
  <si>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</si>
  <si>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</si>
  <si>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</si>
  <si>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</si>
  <si>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</si>
  <si>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</si>
  <si>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</si>
  <si>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</si>
  <si>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</si>
  <si>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</si>
  <si>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</si>
  <si>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</si>
  <si>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</si>
  <si>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</si>
  <si>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</si>
  <si>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</si>
  <si>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</si>
  <si>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</si>
  <si>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</si>
  <si>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</si>
  <si>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</si>
  <si>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</si>
  <si>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</si>
  <si>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</si>
  <si>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</si>
  <si>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</si>
  <si>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</si>
  <si>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</si>
  <si>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</si>
  <si>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</si>
  <si>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</si>
  <si>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</si>
  <si>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</si>
  <si>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</si>
  <si>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</si>
  <si>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</si>
  <si>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</si>
  <si>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</si>
  <si>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</si>
  <si>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</si>
  <si>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</si>
  <si>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</si>
  <si>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</si>
  <si>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</si>
  <si>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</si>
  <si>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</si>
  <si>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</si>
  <si>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</si>
  <si>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</si>
  <si>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</si>
  <si>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</si>
  <si>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</si>
  <si>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</si>
  <si>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</si>
  <si>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</si>
  <si>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</si>
  <si>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</si>
  <si>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</si>
  <si>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</si>
  <si>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</si>
  <si>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</si>
  <si>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</si>
  <si>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</si>
  <si>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</si>
  <si>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</si>
  <si>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</si>
  <si>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</si>
  <si>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</si>
  <si>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</si>
  <si>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</si>
  <si>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</si>
  <si>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</si>
  <si>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</si>
  <si>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</si>
  <si>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</si>
  <si>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</si>
  <si>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</si>
  <si>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</si>
  <si>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</si>
  <si>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</si>
  <si>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</si>
  <si>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</si>
  <si>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</si>
  <si>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</si>
  <si>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</si>
  <si>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</si>
  <si>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</si>
  <si>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</si>
  <si>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</si>
  <si>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</si>
  <si>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</si>
  <si>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</si>
  <si>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</si>
  <si>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</si>
  <si>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</si>
  <si>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</si>
  <si>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</si>
  <si>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</si>
  <si>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</si>
  <si>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</si>
  <si>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</si>
  <si>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</si>
  <si>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</si>
  <si>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</si>
  <si>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</si>
  <si>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</si>
  <si>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</si>
  <si>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</si>
  <si>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</si>
  <si>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</si>
  <si>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</si>
  <si>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</si>
  <si>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</si>
  <si>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</si>
  <si>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</si>
  <si>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</si>
  <si>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</si>
  <si>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</si>
  <si>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</si>
  <si>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</si>
  <si>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</si>
  <si>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</si>
  <si>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</si>
  <si>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</si>
  <si>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</si>
  <si>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</si>
  <si>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</si>
  <si>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</si>
  <si>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</si>
  <si>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</si>
  <si>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</si>
  <si>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</si>
  <si>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</si>
  <si>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</si>
  <si>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</si>
  <si>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</si>
  <si>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</si>
  <si>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</si>
  <si>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</si>
  <si>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</si>
  <si>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</si>
  <si>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</si>
  <si>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</si>
  <si>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</si>
  <si>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</si>
  <si>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</si>
  <si>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</si>
  <si>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</si>
  <si>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</si>
  <si>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</si>
  <si>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</si>
  <si>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</si>
  <si>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</si>
  <si>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</si>
  <si>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</si>
  <si>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</si>
  <si>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</si>
  <si>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</si>
  <si>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</si>
  <si>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</si>
  <si>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</si>
  <si>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</si>
  <si>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</si>
  <si>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</si>
  <si>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</si>
  <si>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</si>
  <si>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</si>
  <si>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</si>
  <si>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</si>
  <si>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</si>
  <si>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</si>
  <si>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</si>
  <si>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</si>
  <si>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</si>
  <si>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</si>
  <si>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</si>
  <si>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</si>
  <si>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</si>
  <si>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</si>
  <si>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</si>
  <si>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</si>
  <si>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</si>
  <si>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</si>
  <si>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</si>
  <si>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</si>
  <si>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</si>
  <si>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</si>
  <si>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</si>
  <si>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</si>
  <si>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</si>
  <si>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</si>
  <si>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</si>
  <si>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</si>
  <si>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</si>
  <si>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</si>
  <si>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</si>
  <si>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</si>
  <si>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</si>
  <si>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</si>
  <si>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</si>
  <si>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</si>
  <si>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</si>
  <si>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</si>
  <si>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</si>
  <si>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</si>
  <si>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</si>
  <si>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</si>
  <si>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</si>
  <si>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</si>
  <si>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</si>
  <si>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</si>
  <si>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</si>
  <si>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</si>
  <si>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</si>
  <si>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</si>
  <si>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</si>
  <si>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</si>
  <si>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</si>
  <si>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</si>
  <si>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</si>
  <si>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</si>
  <si>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</si>
  <si>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</si>
  <si>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</si>
  <si>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</si>
  <si>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</si>
  <si>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</si>
  <si>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</si>
  <si>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</si>
  <si>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</si>
  <si>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</si>
  <si>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</si>
  <si>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</si>
  <si>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</si>
  <si>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</si>
  <si>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</si>
  <si>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</si>
  <si>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</si>
  <si>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</si>
  <si>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</si>
  <si>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</si>
  <si>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</si>
  <si>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</si>
  <si>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</si>
  <si>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</si>
  <si>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</si>
  <si>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</si>
  <si>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</si>
  <si>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</si>
  <si>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</si>
  <si>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</si>
  <si>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</si>
  <si>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</si>
  <si>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</si>
  <si>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</si>
  <si>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</si>
  <si>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</si>
  <si>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</si>
  <si>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</si>
  <si>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</si>
  <si>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</si>
  <si>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</si>
  <si>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</si>
  <si>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</si>
  <si>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</si>
  <si>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</si>
  <si>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</si>
  <si>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</si>
  <si>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</si>
  <si>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</si>
  <si>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</si>
  <si>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</si>
  <si>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</si>
  <si>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</si>
  <si>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</si>
  <si>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</si>
  <si>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</si>
  <si>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</si>
  <si>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</si>
  <si>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</si>
  <si>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</si>
  <si>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</si>
  <si>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</si>
  <si>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</si>
  <si>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</si>
  <si>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</si>
  <si>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</si>
  <si>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</si>
  <si>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</si>
  <si>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</si>
  <si>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</si>
  <si>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</si>
  <si>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</si>
  <si>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</si>
  <si>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</si>
  <si>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</si>
  <si>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</si>
  <si>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</si>
  <si>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</si>
  <si>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</si>
  <si>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</si>
  <si>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</si>
  <si>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</si>
  <si>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</si>
  <si>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</si>
  <si>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</si>
  <si>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</si>
  <si>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</si>
  <si>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</si>
  <si>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</si>
  <si>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</si>
  <si>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</si>
  <si>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</si>
  <si>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</si>
  <si>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</si>
  <si>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</si>
  <si>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</si>
  <si>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</si>
  <si>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</si>
  <si>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</si>
  <si>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</si>
  <si>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</si>
  <si>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</si>
  <si>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</si>
  <si>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</si>
  <si>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</si>
  <si>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</si>
  <si>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</si>
  <si>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</si>
  <si>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</si>
  <si>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</si>
  <si>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</si>
  <si>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</si>
  <si>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</si>
  <si>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</si>
  <si>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</si>
  <si>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</si>
  <si>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</si>
  <si>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</si>
  <si>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</si>
  <si>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</si>
  <si>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</si>
  <si>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</si>
  <si>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</si>
  <si>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</si>
  <si>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</si>
  <si>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</si>
  <si>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</si>
  <si>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</si>
  <si>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</si>
  <si>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</si>
  <si>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</si>
  <si>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</si>
  <si>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</si>
  <si>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</si>
  <si>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</si>
  <si>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</si>
  <si>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</si>
  <si>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</si>
  <si>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</si>
  <si>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</si>
  <si>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</si>
  <si>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</si>
  <si>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</si>
  <si>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</si>
  <si>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</si>
  <si>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</si>
  <si>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</si>
  <si>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</si>
  <si>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</si>
  <si>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</si>
  <si>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</si>
  <si>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</si>
  <si>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</si>
  <si>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</si>
  <si>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</si>
  <si>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</si>
  <si>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</si>
  <si>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</si>
  <si>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</si>
  <si>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</si>
  <si>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</si>
  <si>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</si>
  <si>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</si>
  <si>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</si>
  <si>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</si>
  <si>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</si>
  <si>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</si>
  <si>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</si>
  <si>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</si>
  <si>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</si>
  <si>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</si>
  <si>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</si>
  <si>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</si>
  <si>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</si>
  <si>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</si>
  <si>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</si>
  <si>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</si>
  <si>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</si>
  <si>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</si>
  <si>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</si>
  <si>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</si>
  <si>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</si>
  <si>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</si>
  <si>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</si>
  <si>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</si>
  <si>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</si>
  <si>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</si>
  <si>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</si>
  <si>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</si>
  <si>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</si>
  <si>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</si>
  <si>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</si>
  <si>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</si>
  <si>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</si>
  <si>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</si>
  <si>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</si>
  <si>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</si>
  <si>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</si>
  <si>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</si>
  <si>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</si>
  <si>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</si>
  <si>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</si>
  <si>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</si>
  <si>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</si>
  <si>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</si>
  <si>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</si>
  <si>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</si>
  <si>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</si>
  <si>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</si>
  <si>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</si>
  <si>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</si>
  <si>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</si>
  <si>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</si>
  <si>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</si>
  <si>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</si>
  <si>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</si>
  <si>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</si>
  <si>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</si>
  <si>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</si>
  <si>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</si>
  <si>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</si>
  <si>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</si>
  <si>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</si>
  <si>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</si>
  <si>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</si>
  <si>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</si>
  <si>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</si>
  <si>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</si>
  <si>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</si>
  <si>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</si>
  <si>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</si>
  <si>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</si>
  <si>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</si>
  <si>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</si>
  <si>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</si>
  <si>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</si>
  <si>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</si>
  <si>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</si>
  <si>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</si>
  <si>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</si>
  <si>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</si>
  <si>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</si>
  <si>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</si>
  <si>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</si>
  <si>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</si>
  <si>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</si>
  <si>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</si>
  <si>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</si>
  <si>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</si>
  <si>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</si>
  <si>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</si>
  <si>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</si>
  <si>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</si>
  <si>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</si>
  <si>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</si>
  <si>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</si>
  <si>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</si>
  <si>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</si>
  <si>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</si>
  <si>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</si>
  <si>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</si>
  <si>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</si>
  <si>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</si>
  <si>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</si>
  <si>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</si>
  <si>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</si>
  <si>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</si>
  <si>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</si>
  <si>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</si>
  <si>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</si>
  <si>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</si>
  <si>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</si>
  <si>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</si>
  <si>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</si>
  <si>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</si>
  <si>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</si>
  <si>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</si>
  <si>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</si>
  <si>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</si>
  <si>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</si>
  <si>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</si>
  <si>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</si>
  <si>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</si>
  <si>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</si>
  <si>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</si>
  <si>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</si>
  <si>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</si>
  <si>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</si>
  <si>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</si>
  <si>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</si>
  <si>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</si>
  <si>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</si>
  <si>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</si>
  <si>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</si>
  <si>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</si>
  <si>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</si>
  <si>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</si>
  <si>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</si>
  <si>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</si>
  <si>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</si>
  <si>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</si>
  <si>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</si>
  <si>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</si>
  <si>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</si>
  <si>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</si>
  <si>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</si>
  <si>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</si>
  <si>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</si>
  <si>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</si>
  <si>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</si>
  <si>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</si>
  <si>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</si>
  <si>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</si>
  <si>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</si>
  <si>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</si>
  <si>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</si>
  <si>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</si>
  <si>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</si>
  <si>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</si>
  <si>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</si>
  <si>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</si>
  <si>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</si>
  <si>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</si>
  <si>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</si>
  <si>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</si>
  <si>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</si>
  <si>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</si>
  <si>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</si>
  <si>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</si>
  <si>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</si>
  <si>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</si>
  <si>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</si>
  <si>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</si>
  <si>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</si>
  <si>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</si>
  <si>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</si>
  <si>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</si>
  <si>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</si>
  <si>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</si>
  <si>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</si>
  <si>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</si>
  <si>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</si>
  <si>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</si>
  <si>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</si>
  <si>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</si>
  <si>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</si>
  <si>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</si>
  <si>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</si>
  <si>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</si>
  <si>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</si>
  <si>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</si>
  <si>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</si>
  <si>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</si>
  <si>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</si>
  <si>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</si>
  <si>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</si>
  <si>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</si>
  <si>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</si>
  <si>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</si>
  <si>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</si>
  <si>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</si>
  <si>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</si>
  <si>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</si>
  <si>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</si>
  <si>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</si>
  <si>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</si>
  <si>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</si>
  <si>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</si>
  <si>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</si>
  <si>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</si>
  <si>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</si>
  <si>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</si>
  <si>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</si>
  <si>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</si>
  <si>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</si>
  <si>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</si>
  <si>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</si>
  <si>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</si>
  <si>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</si>
  <si>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</si>
  <si>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</si>
  <si>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</si>
  <si>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</si>
  <si>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</si>
  <si>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</si>
  <si>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</si>
  <si>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</si>
  <si>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</si>
  <si>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</si>
  <si>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</si>
  <si>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</si>
  <si>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</si>
  <si>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</si>
  <si>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</si>
  <si>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</si>
  <si>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</si>
  <si>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</si>
  <si>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</si>
  <si>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</si>
  <si>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</si>
  <si>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</si>
  <si>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</si>
  <si>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</si>
  <si>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</si>
  <si>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</si>
  <si>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</si>
  <si>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</si>
  <si>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</si>
  <si>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</si>
  <si>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</si>
  <si>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</si>
  <si>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</si>
  <si>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</si>
  <si>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</si>
  <si>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</si>
  <si>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</si>
  <si>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</si>
  <si>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</si>
  <si>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</si>
  <si>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</si>
  <si>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</si>
  <si>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</si>
  <si>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</si>
  <si>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</si>
  <si>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</si>
  <si>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</si>
  <si>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</si>
  <si>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</si>
  <si>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</si>
  <si>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</si>
  <si>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</si>
  <si>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</si>
  <si>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</si>
  <si>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</si>
  <si>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</si>
  <si>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</si>
  <si>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</si>
  <si>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</si>
  <si>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</si>
  <si>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</si>
  <si>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</si>
  <si>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</si>
  <si>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</si>
  <si>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</si>
  <si>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</si>
  <si>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</si>
  <si>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</si>
  <si>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</si>
  <si>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</si>
  <si>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</si>
  <si>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</si>
  <si>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</si>
  <si>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</si>
  <si>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</si>
  <si>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</si>
  <si>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</si>
  <si>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</si>
  <si>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</si>
  <si>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</si>
  <si>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</si>
  <si>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</si>
  <si>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</si>
  <si>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</si>
  <si>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</si>
  <si>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</si>
  <si>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</si>
  <si>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</si>
  <si>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</si>
  <si>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</si>
  <si>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</si>
  <si>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</si>
  <si>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</si>
  <si>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</si>
  <si>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</si>
  <si>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</si>
  <si>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</si>
  <si>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</si>
  <si>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</si>
  <si>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</si>
  <si>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</si>
  <si>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</si>
  <si>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</si>
  <si>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</si>
  <si>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</si>
  <si>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</si>
  <si>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</si>
  <si>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</si>
  <si>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</si>
  <si>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</si>
  <si>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</si>
  <si>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</si>
  <si>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</si>
  <si>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</si>
  <si>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</si>
  <si>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</si>
  <si>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</si>
  <si>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</si>
  <si>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</si>
  <si>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</si>
  <si>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</si>
  <si>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</si>
  <si>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</si>
  <si>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</si>
  <si>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</si>
  <si>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</si>
  <si>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</si>
  <si>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</si>
  <si>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</si>
  <si>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</si>
  <si>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</si>
  <si>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</si>
  <si>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</si>
  <si>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</si>
  <si>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</si>
  <si>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</si>
  <si>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</si>
  <si>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</si>
  <si>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</si>
  <si>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</si>
  <si>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</si>
  <si>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</si>
  <si>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</si>
  <si>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</si>
  <si>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</si>
  <si>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</si>
  <si>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</si>
  <si>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</si>
  <si>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</si>
  <si>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</si>
  <si>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</si>
  <si>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</si>
  <si>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</si>
  <si>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</si>
  <si>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</si>
  <si>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</si>
  <si>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</si>
  <si>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</si>
  <si>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</si>
  <si>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</si>
  <si>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</si>
  <si>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</si>
  <si>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</si>
  <si>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</si>
  <si>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</si>
  <si>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</si>
  <si>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</si>
  <si>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</si>
  <si>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</si>
  <si>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</si>
  <si>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</si>
  <si>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</si>
  <si>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</si>
  <si>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</si>
  <si>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</si>
  <si>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</si>
  <si>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</si>
  <si>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</si>
  <si>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</si>
  <si>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</si>
  <si>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</si>
  <si>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</si>
  <si>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</si>
  <si>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</si>
  <si>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</si>
  <si>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</si>
  <si>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</si>
  <si>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</si>
  <si>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</si>
  <si>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</si>
  <si>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</si>
  <si>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</si>
  <si>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</si>
  <si>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</si>
  <si>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</si>
  <si>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</si>
  <si>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</si>
  <si>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</si>
  <si>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</si>
  <si>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</si>
  <si>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</si>
  <si>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</si>
  <si>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</si>
  <si>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</si>
  <si>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</si>
  <si>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</si>
  <si>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</si>
  <si>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</si>
  <si>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</si>
  <si>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</si>
  <si>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</si>
  <si>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</si>
  <si>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</si>
  <si>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</si>
  <si>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</si>
  <si>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</si>
  <si>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</si>
  <si>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</si>
  <si>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</si>
  <si>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</si>
  <si>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</si>
  <si>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</si>
  <si>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</si>
  <si>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</si>
  <si>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</si>
  <si>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</si>
  <si>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</si>
  <si>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</si>
  <si>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</si>
  <si>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</si>
  <si>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</si>
  <si>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</si>
  <si>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</si>
  <si>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</si>
  <si>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</si>
  <si>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</si>
  <si>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</si>
  <si>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</si>
  <si>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</si>
  <si>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</si>
  <si>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</si>
  <si>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</si>
  <si>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</si>
  <si>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</si>
  <si>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</si>
  <si>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</si>
  <si>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</si>
  <si>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</si>
  <si>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</si>
  <si>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</si>
  <si>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</si>
  <si>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</si>
  <si>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</si>
  <si>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</si>
  <si>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</si>
  <si>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</si>
  <si>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</si>
  <si>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</si>
  <si>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</si>
  <si>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</si>
  <si>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</si>
  <si>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</si>
  <si>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</si>
  <si>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</si>
  <si>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</si>
  <si>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</si>
  <si>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</si>
  <si>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</si>
  <si>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</si>
  <si>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</si>
  <si>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</si>
  <si>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</si>
  <si>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</si>
  <si>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</si>
  <si>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</si>
  <si>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</si>
  <si>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</si>
  <si>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</si>
  <si>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</si>
  <si>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</si>
  <si>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</si>
  <si>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</si>
  <si>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</si>
  <si>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丰科中心</t>
    <phoneticPr fontId="3" type="noConversion"/>
  </si>
  <si>
    <t>城市次干道——五圈路</t>
    <phoneticPr fontId="32" type="noConversion"/>
  </si>
  <si>
    <t>丰台汽车博物馆8号院</t>
    <phoneticPr fontId="3" type="noConversion"/>
  </si>
  <si>
    <t>丰台南四环西路128号院</t>
    <phoneticPr fontId="3" type="noConversion"/>
  </si>
  <si>
    <t>丰台南四环西路汽车博物馆东路2号院1至4号</t>
    <phoneticPr fontId="3" type="noConversion"/>
  </si>
  <si>
    <t>城市次干道——五圈路</t>
    <phoneticPr fontId="32" type="noConversion"/>
  </si>
  <si>
    <t>丰台西南四环汽车博物馆东路</t>
    <phoneticPr fontId="3" type="noConversion"/>
  </si>
  <si>
    <t>华夏幸福创新中心</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</si>
  <si>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</si>
  <si>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</si>
  <si>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</si>
  <si>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</si>
  <si>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</si>
  <si>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</si>
  <si>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</si>
  <si>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</si>
  <si>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</si>
  <si>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</si>
  <si>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</si>
  <si>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</si>
  <si>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</si>
  <si>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</si>
  <si>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</si>
  <si>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</si>
  <si>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</si>
  <si>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</si>
  <si>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</si>
  <si>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</si>
  <si>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</si>
  <si>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</si>
  <si>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</si>
  <si>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</si>
  <si>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</si>
  <si>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</si>
  <si>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</si>
  <si>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</si>
  <si>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</si>
  <si>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</si>
  <si>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</si>
  <si>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</si>
  <si>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</si>
  <si>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</si>
  <si>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</si>
  <si>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</si>
  <si>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</si>
  <si>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t>诺德中心一期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</si>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</sst>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2020年1月19日（评估专业人员实地查勘之日）</v>
      </c>
    </row>
    <row r="13" spans="1:2" s="1591" customFormat="1">
      <c r="A13" s="1589" t="s">
        <v>1223</v>
      </c>
      <c r="B13" s="1590" t="str">
        <f>'预评函-1'!A18</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本次评估采用的主估价方法为基准地价系数修正法和基准地价系数修正法。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3152</v>
      </c>
    </row>
    <row r="21" spans="1:2" s="1591" customFormat="1">
      <c r="A21" s="1589" t="s">
        <v>1231</v>
      </c>
      <c r="B21" s="1590">
        <f ca="1">'预评函-2'!D7</f>
        <v>40995</v>
      </c>
    </row>
    <row r="22" spans="1:2" s="1591" customFormat="1">
      <c r="A22" s="1589" t="s">
        <v>1232</v>
      </c>
      <c r="B22" s="1590" t="str">
        <f ca="1">'预评函-2'!D6</f>
        <v>叁仟壹佰伍拾贰万元整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3152</v>
      </c>
    </row>
    <row r="31" spans="1:2" s="1591" customFormat="1">
      <c r="A31" s="1589" t="s">
        <v>1270</v>
      </c>
      <c r="B31" s="1590">
        <f ca="1">'预评函-2'!D15</f>
        <v>40995</v>
      </c>
    </row>
    <row r="32" spans="1:2" s="1591" customFormat="1">
      <c r="A32" s="1589" t="s">
        <v>1237</v>
      </c>
      <c r="B32" s="1590" t="str">
        <f ca="1">'预评函-2'!D14</f>
        <v>叁仟壹佰伍拾贰万元整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ht="31.2">
      <c r="A42" s="1589" t="s">
        <v>1284</v>
      </c>
      <c r="B42" s="1590" t="str">
        <f>'预评函-3'!B2</f>
        <v>建筑面积</v>
      </c>
    </row>
    <row r="43" spans="1:2" s="1591" customFormat="1">
      <c r="A43" s="1589" t="s">
        <v>1285</v>
      </c>
      <c r="B43" s="1590">
        <f>'预评函-3'!B4</f>
        <v>768.88</v>
      </c>
    </row>
    <row r="44" spans="1:2" s="1591" customFormat="1" ht="31.2">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6.2" thickBot="1">
      <c r="A73" s="1592" t="s">
        <v>1259</v>
      </c>
      <c r="B73" s="1593">
        <f ca="1">'预评函-4'!B5</f>
        <v>0</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3162</v>
      </c>
      <c r="B18" s="2011" t="s">
        <v>3151</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3" sqref="N13"/>
    </sheetView>
  </sheetViews>
  <sheetFormatPr defaultColWidth="10" defaultRowHeight="18" customHeight="1"/>
  <cols>
    <col min="1" max="1" width="14.88671875" style="2029" customWidth="1"/>
    <col min="2" max="2" width="12.6640625" style="2029" customWidth="1"/>
    <col min="3" max="3" width="11.44140625" style="2029" customWidth="1"/>
    <col min="4" max="4" width="11.109375" style="2029" customWidth="1"/>
    <col min="5" max="6" width="10" style="2029" customWidth="1"/>
    <col min="7" max="7" width="10.77734375" style="2029" customWidth="1"/>
    <col min="8" max="8" width="10" style="2029" customWidth="1"/>
    <col min="9" max="9" width="11.10937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56" t="str">
        <f>IF(B10="北京市","北京市",C10)&amp;F10&amp;IF(结果表!G1="在建","出让国有建设用地使用权及在建建筑物",IF(结果表!G1="土地","出让国有建设用地使用权",))&amp;B9&amp;"预评估"</f>
        <v>北京市丰台区汽车博物馆东路1号房地产抵押价值预评估</v>
      </c>
      <c r="C1" s="3057"/>
      <c r="D1" s="3057"/>
      <c r="E1" s="3057"/>
      <c r="F1" s="3057"/>
      <c r="G1" s="3057"/>
      <c r="H1" s="3057"/>
      <c r="I1" s="305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43849</v>
      </c>
      <c r="C3" s="2034" t="s">
        <v>1773</v>
      </c>
      <c r="D3" s="2033">
        <f>B3</f>
        <v>43849</v>
      </c>
      <c r="E3" s="2023"/>
      <c r="F3" s="2023"/>
      <c r="G3" s="2023"/>
      <c r="H3" s="2023"/>
      <c r="I3" s="2023"/>
      <c r="J3" s="2023"/>
      <c r="K3" s="2024"/>
      <c r="L3" s="2025"/>
      <c r="M3" s="2025"/>
      <c r="N3" s="2026"/>
      <c r="O3" s="2027"/>
      <c r="P3" s="2026"/>
      <c r="Q3" s="2026"/>
      <c r="R3" s="2026"/>
      <c r="S3" s="2028"/>
    </row>
    <row r="4" spans="1:19" ht="18" customHeight="1" thickBot="1">
      <c r="A4" s="2035" t="s">
        <v>1774</v>
      </c>
      <c r="B4" s="2036" t="s">
        <v>3156</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3157</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3043</v>
      </c>
      <c r="C8" s="2050"/>
      <c r="D8" s="3059" t="s">
        <v>1779</v>
      </c>
      <c r="E8" s="2051" t="s">
        <v>3044</v>
      </c>
      <c r="F8" s="2052"/>
      <c r="G8" s="2023"/>
      <c r="H8" s="2023"/>
      <c r="I8" s="2023"/>
      <c r="J8" s="2039"/>
      <c r="K8" s="2040"/>
      <c r="L8" s="2025"/>
      <c r="M8" s="2025"/>
      <c r="N8" s="2026"/>
      <c r="O8" s="2027"/>
      <c r="P8" s="2026"/>
      <c r="Q8" s="2026"/>
      <c r="R8" s="2026"/>
    </row>
    <row r="9" spans="1:19" ht="18" customHeight="1" thickBot="1">
      <c r="A9" s="2037" t="s">
        <v>1780</v>
      </c>
      <c r="B9" s="2053" t="s">
        <v>3044</v>
      </c>
      <c r="C9" s="2054"/>
      <c r="D9" s="3060"/>
      <c r="E9" s="2053" t="s">
        <v>70</v>
      </c>
      <c r="F9" s="2055"/>
      <c r="G9" s="2056"/>
      <c r="H9" s="2056"/>
      <c r="I9" s="2056"/>
      <c r="J9" s="2039"/>
      <c r="K9" s="2048"/>
      <c r="L9" s="2025"/>
      <c r="M9" s="2025"/>
      <c r="N9" s="2026"/>
      <c r="O9" s="2027"/>
      <c r="P9" s="2026"/>
      <c r="Q9" s="2026"/>
      <c r="R9" s="2026"/>
    </row>
    <row r="10" spans="1:19" ht="18" customHeight="1" thickTop="1">
      <c r="A10" s="2057" t="s">
        <v>1781</v>
      </c>
      <c r="B10" s="2058" t="s">
        <v>3045</v>
      </c>
      <c r="C10" s="2059"/>
      <c r="D10" s="2043"/>
      <c r="E10" s="2060" t="s">
        <v>1782</v>
      </c>
      <c r="F10" s="3003" t="s">
        <v>3158</v>
      </c>
      <c r="G10" s="2061"/>
      <c r="H10" s="2062"/>
      <c r="I10" s="2043"/>
      <c r="J10" s="2039"/>
      <c r="K10" s="2048"/>
      <c r="L10" s="2025"/>
      <c r="M10" s="2025"/>
      <c r="N10" s="2026"/>
      <c r="O10" s="2027"/>
      <c r="P10" s="2026"/>
      <c r="Q10" s="2026"/>
      <c r="R10" s="2026"/>
    </row>
    <row r="11" spans="1:19" ht="18" customHeight="1">
      <c r="A11" s="2063" t="s">
        <v>1783</v>
      </c>
      <c r="B11" s="2064" t="s">
        <v>3046</v>
      </c>
      <c r="C11" s="3001"/>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3047</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59182</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42</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66" t="s">
        <v>3048</v>
      </c>
      <c r="C16" s="3067"/>
      <c r="D16" s="3068"/>
      <c r="E16" s="2078" t="s">
        <v>1796</v>
      </c>
      <c r="F16" s="3069" t="s">
        <v>3159</v>
      </c>
      <c r="G16" s="3070"/>
      <c r="H16" s="3070"/>
      <c r="I16" s="3071"/>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72" t="s">
        <v>3160</v>
      </c>
      <c r="F17" s="3073"/>
      <c r="G17" s="3073"/>
      <c r="H17" s="3073"/>
      <c r="I17" s="3074"/>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75" t="s">
        <v>1802</v>
      </c>
      <c r="F18" s="3076"/>
      <c r="G18" s="3076"/>
      <c r="H18" s="3076"/>
      <c r="I18" s="3077"/>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3049</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62" t="s">
        <v>1807</v>
      </c>
      <c r="C20" s="3063"/>
      <c r="D20" s="3064" t="s">
        <v>1808</v>
      </c>
      <c r="E20" s="3065"/>
      <c r="F20" s="2090" t="s">
        <v>1809</v>
      </c>
      <c r="G20" s="2039"/>
      <c r="H20" s="2039"/>
      <c r="I20" s="2039"/>
      <c r="J20" s="2039"/>
      <c r="K20" s="3061"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3050</v>
      </c>
      <c r="C21" s="2092" t="s">
        <v>3051</v>
      </c>
      <c r="D21" s="2093"/>
      <c r="E21" s="2094"/>
      <c r="F21" s="2095"/>
      <c r="G21" s="2039"/>
      <c r="H21" s="2039"/>
      <c r="I21" s="2039"/>
      <c r="J21" s="2039"/>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49" t="s">
        <v>1817</v>
      </c>
      <c r="B27" s="2057" t="s">
        <v>1818</v>
      </c>
      <c r="C27" s="2112" t="s">
        <v>3052</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49"/>
      <c r="B28" s="2032" t="s">
        <v>1819</v>
      </c>
      <c r="C28" s="2114" t="s">
        <v>3053</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49"/>
      <c r="B29" s="2032" t="s">
        <v>1820</v>
      </c>
      <c r="C29" s="2117" t="s">
        <v>3049</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0"/>
      <c r="B30" s="2032" t="s">
        <v>1821</v>
      </c>
      <c r="C30" s="3051"/>
      <c r="D30" s="305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3" t="s">
        <v>1822</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5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54"/>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3055</v>
      </c>
      <c r="C34" s="2126" t="s">
        <v>3056</v>
      </c>
      <c r="D34" s="2126" t="s">
        <v>3060</v>
      </c>
      <c r="E34" s="2126" t="s">
        <v>3057</v>
      </c>
      <c r="F34" s="2126" t="s">
        <v>3058</v>
      </c>
      <c r="G34" s="2126" t="s">
        <v>3059</v>
      </c>
      <c r="H34" s="2126"/>
      <c r="I34" s="2039"/>
      <c r="J34" s="2039"/>
      <c r="K34" s="1793">
        <f>COUNTIF(B34:H34,"——")</f>
        <v>0</v>
      </c>
      <c r="L34" s="2067" t="s">
        <v>1824</v>
      </c>
      <c r="M34" s="2067" t="s">
        <v>1825</v>
      </c>
      <c r="N34" s="2067" t="s">
        <v>1826</v>
      </c>
      <c r="O34" s="2067" t="s">
        <v>1827</v>
      </c>
      <c r="P34" s="2067" t="s">
        <v>1828</v>
      </c>
      <c r="Q34" s="2067" t="s">
        <v>1829</v>
      </c>
      <c r="R34" s="2067" t="s">
        <v>1830</v>
      </c>
      <c r="S34" s="3048" t="s">
        <v>1831</v>
      </c>
      <c r="T34" s="2127" t="str">
        <f>NUMBERSTRING(7-K34,1)&amp;"通"</f>
        <v>七通</v>
      </c>
      <c r="U34" s="2026"/>
      <c r="V34" s="2026"/>
    </row>
    <row r="35" spans="1:22" ht="18" customHeight="1">
      <c r="A35" s="2128"/>
      <c r="B35" s="3055" t="s">
        <v>1832</v>
      </c>
      <c r="C35" s="3055"/>
      <c r="D35" s="3055"/>
      <c r="E35" s="3055"/>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8"/>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88671875" defaultRowHeight="13.8"/>
  <cols>
    <col min="1" max="1" width="10.6640625" style="2152" customWidth="1"/>
    <col min="2" max="2" width="11.44140625" style="2152" customWidth="1"/>
    <col min="3" max="3" width="13.21875" style="2152" customWidth="1"/>
    <col min="4" max="4" width="9.109375" style="2152" customWidth="1"/>
    <col min="5" max="6" width="10" style="2215" customWidth="1"/>
    <col min="7" max="8" width="10" style="2152" customWidth="1"/>
    <col min="9" max="9" width="10.6640625" style="2152" customWidth="1"/>
    <col min="10" max="10" width="9.44140625" style="2152" customWidth="1"/>
    <col min="11" max="11" width="11" style="2152" customWidth="1"/>
    <col min="12" max="14" width="9.44140625" style="2152" customWidth="1"/>
    <col min="15" max="15" width="9.88671875" style="2152" customWidth="1"/>
    <col min="16" max="16" width="9.77734375" style="2152" customWidth="1"/>
    <col min="17" max="17" width="9.33203125" style="2152" customWidth="1"/>
    <col min="18" max="18" width="9.21875" style="2152" customWidth="1"/>
    <col min="19" max="19" width="10.88671875" style="2152" customWidth="1"/>
    <col min="20" max="21" width="10.77734375" style="2152" customWidth="1"/>
    <col min="22" max="22" width="10.88671875" style="2152" customWidth="1"/>
    <col min="23" max="27" width="10.77734375" style="2152" customWidth="1"/>
    <col min="28" max="28" width="10.88671875" style="2152" customWidth="1"/>
    <col min="29" max="29" width="11" style="2152" bestFit="1" customWidth="1"/>
    <col min="30" max="30" width="10" style="2152" bestFit="1" customWidth="1"/>
    <col min="31" max="31" width="9.77734375" style="2152" customWidth="1"/>
    <col min="32"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3.2">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5.2">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3.2">
      <c r="A9" s="2175"/>
      <c r="B9" s="2175"/>
      <c r="C9" s="2175"/>
      <c r="D9" s="2175"/>
      <c r="E9" s="2175"/>
      <c r="F9" s="2175"/>
      <c r="G9" s="1290"/>
      <c r="H9" s="2183" t="s">
        <v>1888</v>
      </c>
      <c r="I9" s="2184" t="s">
        <v>3062</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3.2">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3.2">
      <c r="A11" s="2175"/>
      <c r="B11" s="2175"/>
      <c r="C11" s="2175"/>
      <c r="D11" s="2175"/>
      <c r="E11" s="2175"/>
      <c r="F11" s="2175"/>
      <c r="G11" s="1290"/>
      <c r="H11" s="2192"/>
      <c r="I11" s="2195" t="s">
        <v>3161</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3164</v>
      </c>
      <c r="D13" s="2206" t="s">
        <v>3061</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3165</v>
      </c>
      <c r="D14" s="2206" t="s">
        <v>3061</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3166</v>
      </c>
      <c r="D15" s="2206" t="s">
        <v>3061</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3167</v>
      </c>
      <c r="D16" s="2206" t="s">
        <v>3061</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3.2">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6.8">
      <c r="A3" s="3078"/>
      <c r="B3" s="3078"/>
      <c r="C3" s="3078"/>
      <c r="D3" s="3079"/>
      <c r="E3" s="30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1927</v>
      </c>
      <c r="B1" s="1390"/>
      <c r="C1" s="1390"/>
      <c r="D1" s="1390"/>
      <c r="E1" s="1390"/>
      <c r="F1" s="1390"/>
      <c r="G1" s="1390"/>
      <c r="H1" s="1390"/>
      <c r="I1" s="1390"/>
      <c r="J1" s="1390"/>
      <c r="K1" s="1390"/>
      <c r="L1" s="1390"/>
      <c r="M1" s="1390"/>
      <c r="N1" s="1390"/>
      <c r="O1" s="1390"/>
      <c r="P1" s="1390"/>
    </row>
    <row r="2" spans="1:16" ht="14.4">
      <c r="A2" s="3089" t="s">
        <v>1928</v>
      </c>
      <c r="B2" s="3089"/>
      <c r="C2" s="3089"/>
      <c r="D2" s="966" t="s">
        <v>1904</v>
      </c>
      <c r="E2" s="2220" t="s">
        <v>1905</v>
      </c>
      <c r="F2" s="1390"/>
      <c r="G2" s="2221"/>
      <c r="H2" s="2222"/>
      <c r="I2" s="2223" t="s">
        <v>1929</v>
      </c>
      <c r="J2" s="1390"/>
      <c r="K2" s="1390"/>
      <c r="L2" s="1390"/>
      <c r="M2" s="1390"/>
      <c r="N2" s="1425"/>
      <c r="O2" s="1390"/>
      <c r="P2" s="1390"/>
    </row>
    <row r="3" spans="1:16" ht="1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ht="14.4">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ht="14.4">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ht="14.4">
      <c r="A7" s="3086"/>
      <c r="B7" s="3087"/>
      <c r="C7" s="3088"/>
      <c r="D7" s="2224" t="s">
        <v>1904</v>
      </c>
      <c r="E7" s="2229" t="s">
        <v>1911</v>
      </c>
      <c r="F7" s="1390"/>
      <c r="G7" s="2221" t="s">
        <v>1912</v>
      </c>
      <c r="H7" s="64"/>
      <c r="I7" s="420">
        <v>5.4</v>
      </c>
      <c r="J7" s="1390"/>
      <c r="K7" s="1390"/>
      <c r="L7" s="1390"/>
      <c r="M7" s="1390"/>
      <c r="N7" s="1390"/>
      <c r="O7" s="1390"/>
      <c r="P7" s="1390"/>
    </row>
    <row r="8" spans="1:16" ht="14.4">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ht="14.4">
      <c r="A9" s="2231"/>
      <c r="B9" s="2232"/>
      <c r="C9" s="48" t="s">
        <v>1916</v>
      </c>
      <c r="D9" s="48">
        <f t="shared" si="0"/>
        <v>0</v>
      </c>
      <c r="E9" s="52">
        <v>0</v>
      </c>
      <c r="F9" s="1390"/>
      <c r="G9" s="2230"/>
      <c r="H9" s="2230"/>
      <c r="I9" s="1390"/>
      <c r="J9" s="1390"/>
      <c r="K9" s="1390"/>
      <c r="L9" s="1390"/>
      <c r="M9" s="1390"/>
      <c r="N9" s="1390"/>
      <c r="O9" s="1390"/>
      <c r="P9" s="1390"/>
    </row>
    <row r="10" spans="1:16" ht="14.4">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ht="14.4">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ht="14.4">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ht="14.4">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ht="14.4">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ht="14.4">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ht="14.4">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ht="14.4">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ht="14.4">
      <c r="A20" s="2256"/>
      <c r="B20" s="50" t="s">
        <v>1950</v>
      </c>
      <c r="C20" s="2996" t="s">
        <v>3152</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ht="14.4">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ht="14.4">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ht="14.4">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ht="14.4">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ht="14.4">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ht="14.4">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ht="14.4">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ht="14.4">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I25" sqref="I25"/>
      <selection pane="topRight" activeCell="I25" sqref="I25"/>
      <selection pane="bottomLeft" activeCell="I25" sqref="I25"/>
      <selection pane="bottomRight" activeCell="E21" sqref="E21"/>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2"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30" width="6.77734375" style="2268" customWidth="1"/>
    <col min="31" max="31" width="8" style="2268" customWidth="1"/>
    <col min="32" max="34" width="7.2187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69" t="s">
        <v>1958</v>
      </c>
      <c r="B2" s="1264">
        <f>项目基本情况!D3</f>
        <v>43849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4.4"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57.6">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3064</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3.8">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59182</v>
      </c>
      <c r="F6" s="72">
        <f>SUMIF(项目基本情况!D$12:I$12,C6,项目基本情况!D$15:I$15)</f>
        <v>42</v>
      </c>
      <c r="G6" s="73">
        <f>IF(ISERROR(ROUND(POWER(1+H6,D6-F6)*(POWER(1+H6,F6)-1)/(POWER(1+H6,D6)-1),3)),0,ROUND(POWER(1+H6,D6-F6)*(POWER(1+H6,F6)-1)/(POWER(1+H6,D6)-1),3))</f>
        <v>0.94699999999999995</v>
      </c>
      <c r="H6" s="801">
        <v>4.4999999999999998E-2</v>
      </c>
      <c r="I6" s="2997">
        <v>5.5E-2</v>
      </c>
      <c r="J6" s="74">
        <v>0.08</v>
      </c>
      <c r="K6" s="1249">
        <f>SUMIF('数据-汇总表'!C$19:C$33,A6,'数据-汇总表'!E$19:E$33)</f>
        <v>264.85000000000002</v>
      </c>
      <c r="L6" s="2998">
        <v>4000</v>
      </c>
      <c r="M6" s="75">
        <f t="shared" ref="M6:M14" si="0">ROUND(K6*L6/10000,0)</f>
        <v>106</v>
      </c>
      <c r="N6" s="800">
        <f>N20</f>
        <v>0.92</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5.7</v>
      </c>
      <c r="V6" s="79">
        <v>0.03</v>
      </c>
      <c r="W6" s="79">
        <v>0.1</v>
      </c>
      <c r="X6" s="1259"/>
      <c r="Y6" s="80">
        <f>N6</f>
        <v>0.92</v>
      </c>
      <c r="Z6" s="81"/>
      <c r="AA6" s="74"/>
      <c r="AB6" s="74"/>
      <c r="AC6" s="1259"/>
      <c r="AD6" s="82"/>
      <c r="AE6" s="1260">
        <f ca="1">IF(AN6="",0,SUMIF(INDIRECT("'"&amp;AN6&amp;"'"&amp;"!E:E"),$AE$5,INDIRECT("'"&amp;AN6&amp;"'"&amp;"!F:F")))</f>
        <v>42</v>
      </c>
      <c r="AF6" s="1802"/>
      <c r="AG6" s="147">
        <f>IF(AF6="",0,AE6-AF6)</f>
        <v>0</v>
      </c>
      <c r="AH6" s="83"/>
      <c r="AI6" s="85">
        <v>365</v>
      </c>
      <c r="AJ6" s="86"/>
      <c r="AK6" s="87">
        <v>1.4999999999999999E-2</v>
      </c>
      <c r="AL6" s="88">
        <v>1.5E-3</v>
      </c>
      <c r="AM6" s="89">
        <v>0.01</v>
      </c>
      <c r="AN6" s="2302" t="s">
        <v>3153</v>
      </c>
      <c r="AO6" s="55">
        <f ca="1">SUMIF(INDIRECT("'"&amp;AN6&amp;"'"&amp;"!A:A"),"总价",INDIRECT("'"&amp;AN6&amp;"'"&amp;"!B:B"))</f>
        <v>970</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3.8">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3.8">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3.8">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3.8">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3.8">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3.8">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3.8">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4">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8.8">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 thickBot="1">
      <c r="A16" s="2306" t="s">
        <v>2006</v>
      </c>
      <c r="B16" s="97"/>
      <c r="C16" s="1004"/>
      <c r="D16" s="2307"/>
      <c r="E16" s="97"/>
      <c r="F16" s="97"/>
      <c r="G16" s="98">
        <f>ROUND(SUMPRODUCT(G6:G13,K6:K13)/SUMPRODUCT((G6:G13&gt;0)*(K6:K13)),3)</f>
        <v>0.94699999999999995</v>
      </c>
      <c r="H16" s="99">
        <f>ROUND(SUMPRODUCT(H6:H13,K6:K13)/SUMPRODUCT((H6:H13&gt;0)*(K6:K13)),3)</f>
        <v>4.4999999999999998E-2</v>
      </c>
      <c r="I16" s="100"/>
      <c r="J16" s="100"/>
      <c r="K16" s="101">
        <f>SUM(K6:K15)</f>
        <v>768.88</v>
      </c>
      <c r="L16" s="102">
        <f>ROUND(M16*10000/SUM(K6:K14),0)</f>
        <v>1379</v>
      </c>
      <c r="M16" s="102">
        <f>SUM(M6:M14)</f>
        <v>106</v>
      </c>
      <c r="N16" s="103">
        <f>ROUND(SUMPRODUCT(M6:M14,N6:N14)/M16,3)</f>
        <v>0.92</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0" t="s">
        <v>2010</v>
      </c>
      <c r="B20" s="113">
        <v>2</v>
      </c>
      <c r="C20" s="2270" t="s">
        <v>2011</v>
      </c>
      <c r="D20" s="2271"/>
      <c r="E20" s="2270"/>
      <c r="F20" s="2270"/>
      <c r="G20" s="2270"/>
      <c r="H20" s="2270"/>
      <c r="I20" s="2270"/>
      <c r="J20" s="2270"/>
      <c r="K20" s="168"/>
      <c r="L20" s="168"/>
      <c r="M20" s="1579"/>
      <c r="N20" s="1579">
        <f>ROUND(1-(2019-2014)/60,2)</f>
        <v>0.92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8.8">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8.8">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9.4"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8.8">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8.8">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9.4"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4">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4">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4">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7" sqref="F7"/>
    </sheetView>
  </sheetViews>
  <sheetFormatPr defaultColWidth="9" defaultRowHeight="13.8"/>
  <cols>
    <col min="1" max="1" width="9.44140625" style="2362"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1"/>
    <col min="30" max="16384" width="9" style="2362"/>
  </cols>
  <sheetData>
    <row r="1" spans="1:29" s="2355" customFormat="1" ht="18"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2074</v>
      </c>
      <c r="D2" s="2359"/>
      <c r="E2" s="2360"/>
      <c r="F2" s="2279"/>
      <c r="G2" s="2358" t="s">
        <v>2075</v>
      </c>
      <c r="H2" s="2361"/>
      <c r="I2" s="2361"/>
      <c r="J2" s="2361"/>
      <c r="K2" s="2361"/>
      <c r="L2" s="2361"/>
      <c r="M2" s="2361"/>
      <c r="N2" s="2361"/>
      <c r="O2" s="2361"/>
      <c r="P2" s="2361"/>
      <c r="Q2" s="2361"/>
      <c r="R2" s="2361"/>
    </row>
    <row r="3" spans="1:29" ht="43.2">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3.2">
      <c r="A4" s="431"/>
      <c r="B4" s="1793" t="s">
        <v>2080</v>
      </c>
      <c r="C4" s="2366"/>
      <c r="D4" s="2363"/>
      <c r="E4" s="2367"/>
      <c r="F4" s="42" t="s">
        <v>2081</v>
      </c>
      <c r="G4" s="2368" t="s">
        <v>2082</v>
      </c>
      <c r="H4" s="2361"/>
      <c r="I4" s="2361"/>
      <c r="J4" s="2361"/>
      <c r="K4" s="2361"/>
      <c r="L4" s="2361"/>
      <c r="M4" s="2361"/>
      <c r="N4" s="2361"/>
      <c r="O4" s="2361"/>
      <c r="P4" s="2361"/>
      <c r="Q4" s="2361"/>
      <c r="R4" s="2361"/>
    </row>
    <row r="5" spans="1:29" ht="86.4">
      <c r="A5" s="431"/>
      <c r="B5" s="1793" t="s">
        <v>2083</v>
      </c>
      <c r="C5" s="2967" t="s">
        <v>3135</v>
      </c>
      <c r="D5" s="2363"/>
      <c r="E5" s="2367"/>
      <c r="F5" s="1793" t="s">
        <v>2084</v>
      </c>
      <c r="G5" s="2368" t="s">
        <v>2085</v>
      </c>
      <c r="H5" s="2361"/>
      <c r="I5" s="2361"/>
      <c r="J5" s="2361"/>
      <c r="K5" s="2361"/>
      <c r="L5" s="2361"/>
      <c r="M5" s="2361"/>
      <c r="N5" s="2361"/>
      <c r="O5" s="2361"/>
      <c r="P5" s="2361"/>
      <c r="Q5" s="2361"/>
      <c r="R5" s="2361"/>
    </row>
    <row r="6" spans="1:29" ht="158.4">
      <c r="A6" s="431"/>
      <c r="B6" s="1793" t="s">
        <v>2086</v>
      </c>
      <c r="C6" s="2968" t="s">
        <v>3134</v>
      </c>
      <c r="D6" s="2363"/>
      <c r="E6" s="2367"/>
      <c r="F6" s="1793" t="s">
        <v>2087</v>
      </c>
      <c r="G6" s="2368" t="s">
        <v>2088</v>
      </c>
      <c r="H6" s="2361"/>
      <c r="I6" s="2361"/>
      <c r="J6" s="2361"/>
      <c r="K6" s="2361"/>
      <c r="L6" s="2361"/>
      <c r="M6" s="2361"/>
      <c r="N6" s="2361"/>
      <c r="O6" s="2361"/>
      <c r="P6" s="2361"/>
      <c r="Q6" s="2361"/>
      <c r="R6" s="2361"/>
    </row>
    <row r="7" spans="1:29" ht="159" thickBot="1">
      <c r="A7" s="431"/>
      <c r="B7" s="1793" t="s">
        <v>2084</v>
      </c>
      <c r="C7" s="2968" t="s">
        <v>3137</v>
      </c>
      <c r="D7" s="2369"/>
      <c r="E7" s="2370"/>
      <c r="F7" s="2371" t="s">
        <v>2089</v>
      </c>
      <c r="G7" s="2372" t="s">
        <v>2090</v>
      </c>
      <c r="H7" s="2361"/>
      <c r="I7" s="2361"/>
      <c r="J7" s="2361"/>
      <c r="K7" s="2361"/>
      <c r="L7" s="2361"/>
      <c r="M7" s="2361"/>
      <c r="N7" s="2361"/>
      <c r="O7" s="2361"/>
      <c r="P7" s="2361"/>
      <c r="Q7" s="2361"/>
      <c r="R7" s="2361"/>
    </row>
    <row r="8" spans="1:29" ht="14.4">
      <c r="A8" s="431"/>
      <c r="B8" s="1793" t="s">
        <v>2087</v>
      </c>
      <c r="C8" s="2968" t="s">
        <v>3138</v>
      </c>
      <c r="D8" s="2369"/>
      <c r="E8" s="2369"/>
      <c r="F8" s="1132"/>
      <c r="G8" s="1132"/>
      <c r="H8" s="2361"/>
      <c r="I8" s="2361"/>
      <c r="J8" s="2361"/>
      <c r="K8" s="2361"/>
      <c r="L8" s="2361"/>
      <c r="M8" s="2361"/>
      <c r="N8" s="2361"/>
      <c r="O8" s="2361"/>
      <c r="P8" s="2361"/>
      <c r="Q8" s="2361"/>
      <c r="R8" s="2361"/>
    </row>
    <row r="9" spans="1:29" ht="129.6">
      <c r="A9" s="431"/>
      <c r="B9" s="1793" t="s">
        <v>2091</v>
      </c>
      <c r="C9" s="2967" t="s">
        <v>3147</v>
      </c>
      <c r="D9" s="2363"/>
      <c r="E9" s="2369"/>
      <c r="F9" s="1132"/>
      <c r="G9" s="1132"/>
      <c r="H9" s="2361"/>
      <c r="I9" s="2361"/>
      <c r="J9" s="2361"/>
      <c r="K9" s="2361"/>
      <c r="L9" s="2361"/>
      <c r="M9" s="2361"/>
      <c r="N9" s="2361"/>
      <c r="O9" s="2361"/>
      <c r="P9" s="2361"/>
      <c r="Q9" s="2361"/>
      <c r="R9" s="2361"/>
    </row>
    <row r="10" spans="1:29" s="117" customFormat="1" ht="1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7.399999999999999">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8" thickBot="1">
      <c r="A13" s="2386" t="s">
        <v>2093</v>
      </c>
      <c r="B13" s="2380"/>
      <c r="C13" s="2380"/>
      <c r="D13" s="2387"/>
      <c r="E13" s="2380"/>
      <c r="F13" s="2380"/>
      <c r="G13" s="2380"/>
    </row>
    <row r="14" spans="1:29" ht="15" thickBot="1">
      <c r="A14" s="2391"/>
      <c r="B14" s="2392"/>
      <c r="C14" s="2393" t="s">
        <v>2094</v>
      </c>
      <c r="D14" s="2363"/>
      <c r="E14" s="2394"/>
      <c r="F14" s="2394"/>
      <c r="G14" s="2358" t="s">
        <v>2095</v>
      </c>
    </row>
    <row r="15" spans="1:29" ht="41.4">
      <c r="A15" s="68" t="s">
        <v>2096</v>
      </c>
      <c r="B15" s="1265" t="s">
        <v>2077</v>
      </c>
      <c r="C15" s="2395">
        <f>C3</f>
        <v>0</v>
      </c>
      <c r="D15" s="2363"/>
      <c r="E15" s="2396" t="s">
        <v>2097</v>
      </c>
      <c r="F15" s="1265" t="s">
        <v>2098</v>
      </c>
      <c r="G15" s="135" t="str">
        <f>G3</f>
        <v>估价对象位于XX开发区，园区建设成熟度XX，产业集聚程度XX</v>
      </c>
    </row>
    <row r="16" spans="1:29" ht="41.4">
      <c r="A16" s="645"/>
      <c r="B16" s="2397" t="s">
        <v>2080</v>
      </c>
      <c r="C16" s="2398">
        <f>C4</f>
        <v>0</v>
      </c>
      <c r="D16" s="2363"/>
      <c r="E16" s="2399"/>
      <c r="F16" s="2400" t="s">
        <v>2081</v>
      </c>
      <c r="G16" s="136" t="str">
        <f>G4</f>
        <v>估价对象周边道路状况、公共交通通达情况、停车便捷程度，综合评价交通便捷度较好</v>
      </c>
    </row>
    <row r="17" spans="1:18" ht="82.8">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51.80000000000001">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7.6">
      <c r="A19" s="645"/>
      <c r="B19" s="2400" t="s">
        <v>2100</v>
      </c>
      <c r="C19" s="1567"/>
      <c r="D19" s="2363"/>
      <c r="E19" s="2399"/>
      <c r="F19" s="1793" t="s">
        <v>2084</v>
      </c>
      <c r="G19" s="136" t="str">
        <f>G5</f>
        <v>估价对象所在区域公共配套设施齐备情况</v>
      </c>
    </row>
    <row r="20" spans="1:18" ht="124.2">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51.80000000000001">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768.88</v>
      </c>
      <c r="C1" s="1740"/>
      <c r="D1" s="1740"/>
      <c r="E1" s="1740"/>
      <c r="F1" s="1740"/>
      <c r="G1" s="1738"/>
    </row>
    <row r="2" spans="1:10" ht="16.2">
      <c r="A2" s="1741" t="s">
        <v>1349</v>
      </c>
      <c r="B2" s="1741">
        <f>SUM(C14:C23)</f>
        <v>0</v>
      </c>
      <c r="C2" s="1740"/>
      <c r="D2" s="1740"/>
      <c r="E2" s="1740"/>
      <c r="F2" s="1740"/>
      <c r="G2" s="1738"/>
    </row>
    <row r="3" spans="1:10" ht="15.6">
      <c r="A3" s="1741" t="s">
        <v>1358</v>
      </c>
      <c r="B3" s="1742">
        <f>项目基本情况!D3</f>
        <v>43849</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3152</v>
      </c>
      <c r="C5" s="1741">
        <f ca="1">ROUND(B5*10000/$B$1,0)</f>
        <v>40995</v>
      </c>
      <c r="D5" s="1741" t="e">
        <f ca="1">ROUND(B5*10000/$B$2,0)</f>
        <v>#DIV/0!</v>
      </c>
      <c r="E5" s="1740"/>
      <c r="F5" s="1738"/>
      <c r="G5" s="1738"/>
    </row>
    <row r="6" spans="1:10" ht="15.6">
      <c r="A6" s="1741" t="s">
        <v>1352</v>
      </c>
      <c r="B6" s="1741">
        <f ca="1">SUM(G14:G23)</f>
        <v>3152</v>
      </c>
      <c r="C6" s="1741">
        <f ca="1">ROUND(B6*10000/$B$1,0)</f>
        <v>40995</v>
      </c>
      <c r="D6" s="1741" t="e">
        <f ca="1">ROUND(B6*10000/$B$2,0)</f>
        <v>#DIV/0!</v>
      </c>
      <c r="E6" s="1740"/>
      <c r="F6" s="1738"/>
      <c r="G6" s="1738"/>
    </row>
    <row r="7" spans="1:10" ht="15.6">
      <c r="A7" s="1741" t="s">
        <v>1360</v>
      </c>
      <c r="B7" s="1741">
        <f>SUM(H14:H23)</f>
        <v>0</v>
      </c>
      <c r="C7" s="1741">
        <f>ROUND(B7*10000/$B$1,0)</f>
        <v>0</v>
      </c>
      <c r="D7" s="1741" t="e">
        <f>ROUND(B7*10000/$B$2,0)</f>
        <v>#DIV/0!</v>
      </c>
      <c r="E7" s="1740"/>
      <c r="F7" s="1738"/>
      <c r="G7" s="1738"/>
    </row>
    <row r="8" spans="1:10" ht="15.6">
      <c r="A8" s="1741" t="s">
        <v>1281</v>
      </c>
      <c r="B8" s="1741">
        <f>SUM(I14:I23)</f>
        <v>0</v>
      </c>
      <c r="C8" s="1741">
        <f>ROUND(B8*10000/$B$1,0)</f>
        <v>0</v>
      </c>
      <c r="D8" s="1741" t="e">
        <f>ROUND(B8*10000/$B$2,0)</f>
        <v>#DIV/0!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768.88</v>
      </c>
      <c r="C14" s="1739">
        <f>结果表!C118</f>
        <v>0</v>
      </c>
      <c r="D14" s="1739">
        <f ca="1">结果表!H118</f>
        <v>3152</v>
      </c>
      <c r="E14" s="1739">
        <f ca="1">ROUND(D14*10000/B14,0)</f>
        <v>40995</v>
      </c>
      <c r="F14" s="1739" t="e">
        <f ca="1">ROUND(D14*10000/C14,0)</f>
        <v>#DIV/0!</v>
      </c>
      <c r="G14" s="1739">
        <f ca="1">结果表!D122</f>
        <v>3152</v>
      </c>
      <c r="H14" s="1739" t="str">
        <f>结果表!D124</f>
        <v>——</v>
      </c>
      <c r="I14" s="1739" t="str">
        <f>结果表!D126</f>
        <v>——</v>
      </c>
      <c r="J14" s="1738"/>
    </row>
    <row r="15" spans="1:10" ht="15.6">
      <c r="A15" s="1737" t="s">
        <v>1345</v>
      </c>
      <c r="B15" s="2969"/>
      <c r="C15" s="2969"/>
      <c r="D15" s="2969"/>
      <c r="E15" s="1739" t="e">
        <f t="shared" ref="E15:E23" si="0">ROUND(D15*10000/B15,0)</f>
        <v>#DIV/0!</v>
      </c>
      <c r="F15" s="1739" t="e">
        <f t="shared" ref="F15:F23" si="1">ROUND(D15*10000/C15,0)</f>
        <v>#DIV/0!</v>
      </c>
      <c r="G15" s="2969"/>
      <c r="H15" s="1745"/>
      <c r="I15" s="1744"/>
      <c r="J15" s="1738"/>
    </row>
    <row r="16" spans="1:10" ht="15.6">
      <c r="A16" s="1737" t="s">
        <v>1344</v>
      </c>
      <c r="B16" s="2969"/>
      <c r="C16" s="2969"/>
      <c r="D16" s="2969"/>
      <c r="E16" s="1739" t="e">
        <f t="shared" si="0"/>
        <v>#DIV/0!</v>
      </c>
      <c r="F16" s="1739" t="e">
        <f t="shared" si="1"/>
        <v>#DIV/0!</v>
      </c>
      <c r="G16" s="2969"/>
      <c r="H16" s="1745"/>
      <c r="I16" s="1744"/>
    </row>
    <row r="17" spans="1:9" ht="15.6">
      <c r="A17" s="1737" t="s">
        <v>1343</v>
      </c>
      <c r="B17" s="2969"/>
      <c r="C17" s="2969"/>
      <c r="D17" s="2969"/>
      <c r="E17" s="1739" t="e">
        <f t="shared" si="0"/>
        <v>#DIV/0!</v>
      </c>
      <c r="F17" s="1739" t="e">
        <f t="shared" si="1"/>
        <v>#DIV/0!</v>
      </c>
      <c r="G17" s="2969"/>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640625" defaultRowHeight="21.75" customHeight="1"/>
  <cols>
    <col min="1" max="2" width="12.6640625" style="2417"/>
    <col min="3" max="4" width="12.6640625" style="2417" customWidth="1"/>
    <col min="5" max="9" width="12.6640625" style="2417"/>
    <col min="10" max="11" width="12.6640625" style="794" customWidth="1"/>
    <col min="12" max="12" width="12.6640625" style="794"/>
    <col min="13" max="13" width="14.109375" style="794" bestFit="1" customWidth="1"/>
    <col min="14" max="26" width="12.6640625" style="794"/>
    <col min="27" max="35" width="12.6640625" style="2416"/>
    <col min="36" max="16384" width="12.6640625" style="2417"/>
  </cols>
  <sheetData>
    <row r="1" spans="1:12" ht="21.75" customHeight="1" thickBot="1">
      <c r="A1" s="2218" t="s">
        <v>2106</v>
      </c>
      <c r="B1" s="2411"/>
      <c r="C1" s="2412"/>
      <c r="D1" s="2411"/>
      <c r="E1" s="2411"/>
      <c r="F1" s="2413" t="s">
        <v>2107</v>
      </c>
      <c r="G1" s="2064" t="s">
        <v>3054</v>
      </c>
      <c r="H1" s="2414" t="str">
        <f>IF(G1="现房","——","估价对象范围")</f>
        <v>——</v>
      </c>
      <c r="I1" s="2415"/>
    </row>
    <row r="2" spans="1:12" ht="21.75" customHeight="1" thickBot="1">
      <c r="A2" s="3130" t="str">
        <f>项目基本情况!S2</f>
        <v>北京市丰台区汽车博物馆东路1号房地产</v>
      </c>
      <c r="B2" s="3131"/>
      <c r="C2" s="3131"/>
      <c r="D2" s="3131"/>
      <c r="E2" s="3131"/>
      <c r="F2" s="3131"/>
      <c r="G2" s="3131"/>
      <c r="H2" s="3131"/>
      <c r="I2" s="3132"/>
    </row>
    <row r="3" spans="1:12" ht="13.2">
      <c r="A3" s="3134" t="s">
        <v>2108</v>
      </c>
      <c r="B3" s="3135"/>
      <c r="C3" s="3135"/>
      <c r="D3" s="3135"/>
      <c r="E3" s="3135"/>
      <c r="F3" s="3135"/>
      <c r="G3" s="3135"/>
      <c r="H3" s="3135"/>
      <c r="I3" s="3135"/>
    </row>
    <row r="4" spans="1:12" ht="14.4">
      <c r="A4" s="2418" t="s">
        <v>2109</v>
      </c>
      <c r="B4" s="2419" t="s">
        <v>2110</v>
      </c>
      <c r="C4" s="2420" t="s">
        <v>3150</v>
      </c>
      <c r="D4" s="2420" t="s">
        <v>3150</v>
      </c>
      <c r="E4" s="3127" t="s">
        <v>2111</v>
      </c>
      <c r="F4" s="3128"/>
      <c r="G4" s="3128"/>
      <c r="H4" s="3128"/>
      <c r="I4" s="3136"/>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10" t="s">
        <v>2112</v>
      </c>
      <c r="B5" s="3048">
        <v>25</v>
      </c>
      <c r="C5" s="3113"/>
      <c r="D5" s="3133"/>
      <c r="E5" s="140" t="s">
        <v>2113</v>
      </c>
      <c r="F5" s="2422"/>
      <c r="G5" s="2422"/>
      <c r="H5" s="2422"/>
      <c r="I5" s="1829"/>
    </row>
    <row r="6" spans="1:12" ht="13.2">
      <c r="A6" s="3110"/>
      <c r="B6" s="3048"/>
      <c r="C6" s="3114"/>
      <c r="D6" s="3133"/>
      <c r="E6" s="140" t="s">
        <v>2114</v>
      </c>
      <c r="F6" s="2422"/>
      <c r="G6" s="2422"/>
      <c r="H6" s="2422"/>
      <c r="I6" s="1829"/>
    </row>
    <row r="7" spans="1:12" ht="13.2">
      <c r="A7" s="3110"/>
      <c r="B7" s="3048"/>
      <c r="C7" s="3115"/>
      <c r="D7" s="3133"/>
      <c r="E7" s="140" t="s">
        <v>2115</v>
      </c>
      <c r="F7" s="2422"/>
      <c r="G7" s="2422"/>
      <c r="H7" s="2422"/>
      <c r="I7" s="1829"/>
    </row>
    <row r="8" spans="1:12" ht="13.2">
      <c r="A8" s="3110" t="s">
        <v>2116</v>
      </c>
      <c r="B8" s="3048">
        <v>15</v>
      </c>
      <c r="C8" s="3113"/>
      <c r="D8" s="3133"/>
      <c r="E8" s="140" t="s">
        <v>2117</v>
      </c>
      <c r="F8" s="2422"/>
      <c r="G8" s="2422"/>
      <c r="H8" s="2422"/>
      <c r="I8" s="1829"/>
    </row>
    <row r="9" spans="1:12" ht="13.2">
      <c r="A9" s="3110"/>
      <c r="B9" s="3048"/>
      <c r="C9" s="3115"/>
      <c r="D9" s="3133"/>
      <c r="E9" s="140" t="s">
        <v>2118</v>
      </c>
      <c r="F9" s="2422"/>
      <c r="G9" s="2422"/>
      <c r="H9" s="2422"/>
      <c r="I9" s="1829"/>
    </row>
    <row r="10" spans="1:12" ht="13.2">
      <c r="A10" s="3110" t="s">
        <v>2119</v>
      </c>
      <c r="B10" s="3048">
        <v>15</v>
      </c>
      <c r="C10" s="3113"/>
      <c r="D10" s="3133"/>
      <c r="E10" s="140" t="s">
        <v>2120</v>
      </c>
      <c r="F10" s="2422"/>
      <c r="G10" s="2422"/>
      <c r="H10" s="2422"/>
      <c r="I10" s="1829"/>
    </row>
    <row r="11" spans="1:12" ht="13.2">
      <c r="A11" s="3110"/>
      <c r="B11" s="3048"/>
      <c r="C11" s="3115"/>
      <c r="D11" s="3133"/>
      <c r="E11" s="140" t="s">
        <v>2121</v>
      </c>
      <c r="F11" s="2422"/>
      <c r="G11" s="2422"/>
      <c r="H11" s="2422"/>
      <c r="I11" s="1829"/>
    </row>
    <row r="12" spans="1:12" ht="13.2">
      <c r="A12" s="3110" t="s">
        <v>2122</v>
      </c>
      <c r="B12" s="3048">
        <v>15</v>
      </c>
      <c r="C12" s="3113"/>
      <c r="D12" s="3133"/>
      <c r="E12" s="140" t="s">
        <v>2123</v>
      </c>
      <c r="F12" s="2422"/>
      <c r="G12" s="2422"/>
      <c r="H12" s="2422"/>
      <c r="I12" s="1829"/>
    </row>
    <row r="13" spans="1:12" ht="13.2">
      <c r="A13" s="3110"/>
      <c r="B13" s="3048"/>
      <c r="C13" s="3115"/>
      <c r="D13" s="3133"/>
      <c r="E13" s="140" t="s">
        <v>2124</v>
      </c>
      <c r="F13" s="2422"/>
      <c r="G13" s="2422"/>
      <c r="H13" s="2422"/>
      <c r="I13" s="1829"/>
    </row>
    <row r="14" spans="1:12" ht="13.2">
      <c r="A14" s="3110" t="s">
        <v>2125</v>
      </c>
      <c r="B14" s="3048">
        <v>30</v>
      </c>
      <c r="C14" s="3113">
        <v>1</v>
      </c>
      <c r="D14" s="3133">
        <v>0</v>
      </c>
      <c r="E14" s="140" t="s">
        <v>2126</v>
      </c>
      <c r="F14" s="2422"/>
      <c r="G14" s="2422"/>
      <c r="H14" s="2422"/>
      <c r="I14" s="1829"/>
    </row>
    <row r="15" spans="1:12" ht="13.2">
      <c r="A15" s="3110"/>
      <c r="B15" s="3048"/>
      <c r="C15" s="3114"/>
      <c r="D15" s="3133"/>
      <c r="E15" s="140" t="s">
        <v>2127</v>
      </c>
      <c r="F15" s="2422"/>
      <c r="G15" s="2422"/>
      <c r="H15" s="2422"/>
      <c r="I15" s="1829"/>
    </row>
    <row r="16" spans="1:12" ht="13.2">
      <c r="A16" s="3110"/>
      <c r="B16" s="3048"/>
      <c r="C16" s="3115"/>
      <c r="D16" s="3133"/>
      <c r="E16" s="140" t="s">
        <v>2128</v>
      </c>
      <c r="F16" s="2422"/>
      <c r="G16" s="2422"/>
      <c r="H16" s="2422"/>
      <c r="I16" s="1829"/>
    </row>
    <row r="17" spans="1:35" ht="14.4">
      <c r="A17" s="2423" t="s">
        <v>2129</v>
      </c>
      <c r="B17" s="64"/>
      <c r="C17" s="141">
        <f>SUM(C5:C16)</f>
        <v>1</v>
      </c>
      <c r="D17" s="141">
        <f>SUM(D5:D16)</f>
        <v>0</v>
      </c>
      <c r="E17" s="138"/>
      <c r="F17" s="138"/>
      <c r="G17" s="138"/>
      <c r="H17" s="138"/>
      <c r="I17" s="138"/>
      <c r="K17" s="2421"/>
      <c r="L17" s="2424" t="s">
        <v>2130</v>
      </c>
      <c r="M17" s="2424" t="s">
        <v>2131</v>
      </c>
    </row>
    <row r="18" spans="1:35" ht="1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4.4">
      <c r="A19" s="2427" t="s">
        <v>2134</v>
      </c>
      <c r="B19" s="2428" t="s">
        <v>2135</v>
      </c>
      <c r="C19" s="143">
        <f ca="1">SUMIF(INDIRECT("'"&amp;C4&amp;"'"&amp;"!A:A"),结果表!B19,INDIRECT("'"&amp;C4&amp;"'"&amp;"!B:B"))</f>
        <v>3152</v>
      </c>
      <c r="D19" s="144">
        <f ca="1">SUMIF(INDIRECT("'"&amp;D4&amp;"'"&amp;"!A:A"),结果表!B19,INDIRECT("'"&amp;D4&amp;"'"&amp;"!B:B"))</f>
        <v>3152</v>
      </c>
      <c r="E19" s="2427" t="s">
        <v>2136</v>
      </c>
      <c r="F19" s="2428" t="s">
        <v>2135</v>
      </c>
      <c r="G19" s="145">
        <f ca="1">ROUND(C19*$C$18+D19*$D$18,0)</f>
        <v>3152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4">
      <c r="A20" s="2430"/>
      <c r="B20" s="1245" t="s">
        <v>2139</v>
      </c>
      <c r="C20" s="146">
        <f ca="1">SUMIF(INDIRECT("'"&amp;C4&amp;"'"&amp;"!A:A"),结果表!B20,INDIRECT("'"&amp;C4&amp;"'"&amp;"!B:B"))</f>
        <v>40995</v>
      </c>
      <c r="D20" s="147">
        <f ca="1">SUMIF(INDIRECT("'"&amp;D4&amp;"'"&amp;"!A:A"),结果表!B20,INDIRECT("'"&amp;D4&amp;"'"&amp;"!B:B"))</f>
        <v>40995</v>
      </c>
      <c r="E20" s="2430"/>
      <c r="F20" s="1245" t="s">
        <v>2139</v>
      </c>
      <c r="G20" s="148">
        <f ca="1">ROUND(C20*$C$18+D20*$D$18,0)</f>
        <v>40995</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v>
      </c>
      <c r="E22" s="138"/>
      <c r="F22" s="138"/>
      <c r="G22" s="138"/>
      <c r="H22" s="138"/>
      <c r="I22" s="138"/>
    </row>
    <row r="23" spans="1:35" ht="13.8" thickBot="1">
      <c r="A23" s="2411"/>
      <c r="B23" s="2411"/>
      <c r="C23" s="2411"/>
      <c r="D23" s="2411"/>
      <c r="E23" s="138"/>
      <c r="F23" s="138"/>
      <c r="G23" s="138"/>
      <c r="H23" s="138"/>
      <c r="I23" s="138"/>
    </row>
    <row r="24" spans="1:35" ht="14.4">
      <c r="A24" s="3104" t="s">
        <v>2143</v>
      </c>
      <c r="B24" s="2428" t="s">
        <v>2135</v>
      </c>
      <c r="C24" s="145">
        <f>IF(B30=0,0,D30)</f>
        <v>0</v>
      </c>
      <c r="D24" s="2435"/>
      <c r="E24" s="138"/>
      <c r="F24" s="138"/>
      <c r="G24" s="138"/>
      <c r="H24" s="138"/>
      <c r="I24" s="138"/>
    </row>
    <row r="25" spans="1:35" ht="14.4">
      <c r="A25" s="3105"/>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2148</v>
      </c>
      <c r="B30" s="151"/>
      <c r="C30" s="151"/>
      <c r="D30" s="151"/>
      <c r="E30" s="2910" t="s">
        <v>3021</v>
      </c>
      <c r="F30" s="138"/>
      <c r="G30" s="138"/>
      <c r="H30" s="138"/>
      <c r="I30" s="138"/>
    </row>
    <row r="31" spans="1:35" s="2439" customFormat="1" ht="14.4"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 thickBot="1">
      <c r="A32" s="2440" t="s">
        <v>2149</v>
      </c>
      <c r="B32" s="2441"/>
      <c r="C32" s="153">
        <f ca="1">IF(D32="总价",G19-C24,G20-C25)</f>
        <v>3152</v>
      </c>
      <c r="D32" s="2442" t="s">
        <v>2150</v>
      </c>
      <c r="E32" s="138"/>
      <c r="F32" s="138"/>
      <c r="G32" s="138"/>
      <c r="H32" s="138"/>
      <c r="I32" s="138"/>
    </row>
    <row r="33" spans="1:15" ht="14.4">
      <c r="A33" s="956" t="s">
        <v>2151</v>
      </c>
      <c r="B33" s="2443"/>
      <c r="C33" s="2444"/>
      <c r="D33" s="2445"/>
      <c r="E33" s="2446" t="s">
        <v>2152</v>
      </c>
      <c r="F33" s="2447" t="str">
        <f>IF(D32="楼面单价","取值（单价）","取值（总价）")</f>
        <v>取值（总价）</v>
      </c>
      <c r="G33" s="138"/>
      <c r="H33" s="138"/>
      <c r="I33" s="138"/>
    </row>
    <row r="34" spans="1:15" ht="14.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 thickBot="1">
      <c r="A36" s="3122" t="s">
        <v>2157</v>
      </c>
      <c r="B36" s="2454" t="s">
        <v>2158</v>
      </c>
      <c r="C36" s="154"/>
      <c r="D36" s="2455"/>
      <c r="E36" s="2456"/>
      <c r="F36" s="2457"/>
      <c r="G36" s="138"/>
      <c r="H36" s="138"/>
      <c r="I36" s="138"/>
    </row>
    <row r="37" spans="1:15" ht="15" thickBot="1">
      <c r="A37" s="3123"/>
      <c r="B37" s="2260" t="s">
        <v>2159</v>
      </c>
      <c r="C37" s="156"/>
      <c r="D37" s="1390"/>
      <c r="E37" s="1390"/>
      <c r="F37" s="2457"/>
      <c r="G37" s="138"/>
      <c r="H37" s="138"/>
      <c r="I37" s="138"/>
    </row>
    <row r="38" spans="1:15" ht="15" thickBot="1">
      <c r="A38" s="3124"/>
      <c r="B38" s="2458" t="s">
        <v>2160</v>
      </c>
      <c r="C38" s="726"/>
      <c r="D38" s="2459" t="s">
        <v>2161</v>
      </c>
      <c r="E38" s="1390"/>
      <c r="F38" s="2457"/>
      <c r="G38" s="138"/>
      <c r="H38" s="138"/>
      <c r="I38" s="138"/>
    </row>
    <row r="39" spans="1:15" ht="14.4">
      <c r="A39" s="2430" t="s">
        <v>2162</v>
      </c>
      <c r="B39" s="2460" t="s">
        <v>2163</v>
      </c>
      <c r="C39" s="2461" t="s">
        <v>2164</v>
      </c>
      <c r="D39" s="2461" t="s">
        <v>2165</v>
      </c>
      <c r="E39" s="2462" t="s">
        <v>2166</v>
      </c>
      <c r="F39" s="2457"/>
      <c r="G39" s="138"/>
      <c r="H39" s="138"/>
      <c r="I39" s="138"/>
    </row>
    <row r="40" spans="1:15" ht="13.8">
      <c r="A40" s="2463" t="s">
        <v>2167</v>
      </c>
      <c r="B40" s="158"/>
      <c r="C40" s="159"/>
      <c r="D40" s="159"/>
      <c r="E40" s="160"/>
      <c r="F40" s="2457"/>
      <c r="G40" s="138"/>
      <c r="H40" s="138"/>
      <c r="I40" s="138"/>
    </row>
    <row r="41" spans="1:15" ht="13.8">
      <c r="A41" s="2463" t="s">
        <v>2168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8"/>
      <c r="B43" s="2158"/>
      <c r="C43" s="2158"/>
      <c r="D43" s="2158"/>
      <c r="E43" s="2158"/>
      <c r="F43" s="2465"/>
      <c r="G43" s="2465"/>
      <c r="H43" s="2465"/>
      <c r="I43" s="2466"/>
    </row>
    <row r="44" spans="1:15" ht="17.399999999999999">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01" t="s">
        <v>2171</v>
      </c>
      <c r="B45" s="3102"/>
      <c r="C45" s="3103"/>
      <c r="D45" s="164">
        <f ca="1">ROUND(H101*F45,0)</f>
        <v>3152</v>
      </c>
      <c r="E45" s="165" t="s">
        <v>2172</v>
      </c>
      <c r="F45" s="166">
        <v>1</v>
      </c>
      <c r="G45" s="167" t="s">
        <v>2173</v>
      </c>
      <c r="H45" s="138"/>
      <c r="I45" s="138"/>
      <c r="J45" s="3161" t="s">
        <v>2174</v>
      </c>
      <c r="K45" s="3161"/>
      <c r="L45" s="3161"/>
      <c r="M45" s="3161"/>
      <c r="N45" s="3161"/>
      <c r="O45" s="3161"/>
    </row>
    <row r="46" spans="1:15" ht="14.25" customHeight="1">
      <c r="A46" s="3098" t="s">
        <v>2175</v>
      </c>
      <c r="B46" s="3099"/>
      <c r="C46" s="3099"/>
      <c r="D46" s="3099"/>
      <c r="E46" s="3099"/>
      <c r="F46" s="3099"/>
      <c r="G46" s="3100"/>
      <c r="H46" s="2473"/>
      <c r="I46" s="168"/>
      <c r="J46" s="1807">
        <v>1</v>
      </c>
      <c r="K46" s="3161" t="s">
        <v>2176</v>
      </c>
      <c r="L46" s="3161"/>
      <c r="M46" s="3181"/>
      <c r="N46" s="3181"/>
      <c r="O46" s="3181"/>
    </row>
    <row r="47" spans="1:15" ht="12" customHeight="1">
      <c r="A47" s="169" t="s">
        <v>2177</v>
      </c>
      <c r="B47" s="170"/>
      <c r="C47" s="171"/>
      <c r="D47" s="172" t="s">
        <v>2178</v>
      </c>
      <c r="E47" s="24" t="s">
        <v>2179</v>
      </c>
      <c r="F47" s="173" t="s">
        <v>2180</v>
      </c>
      <c r="G47" s="174" t="s">
        <v>2181</v>
      </c>
      <c r="H47" s="2473"/>
      <c r="I47" s="168"/>
      <c r="J47" s="1807">
        <v>2</v>
      </c>
      <c r="K47" s="3161" t="s">
        <v>2182</v>
      </c>
      <c r="L47" s="3161"/>
      <c r="M47" s="3182">
        <f>'数据-取费表'!B2</f>
        <v>43849</v>
      </c>
      <c r="N47" s="3182"/>
      <c r="O47" s="3182"/>
    </row>
    <row r="48" spans="1:15" ht="26.4">
      <c r="A48" s="3129" t="s">
        <v>2183</v>
      </c>
      <c r="B48" s="3112"/>
      <c r="C48" s="3112"/>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61" t="s">
        <v>2186</v>
      </c>
      <c r="L48" s="3161"/>
      <c r="M48" s="3183">
        <f ca="1">H101</f>
        <v>3152</v>
      </c>
      <c r="N48" s="3183"/>
      <c r="O48" s="3183"/>
    </row>
    <row r="49" spans="1:35" ht="25.5" customHeight="1">
      <c r="A49" s="176" t="s">
        <v>2187</v>
      </c>
      <c r="B49" s="3097" t="s">
        <v>2188</v>
      </c>
      <c r="C49" s="3097"/>
      <c r="D49" s="177">
        <v>0</v>
      </c>
      <c r="E49" s="23" t="s">
        <v>2189</v>
      </c>
      <c r="F49" s="28" t="s">
        <v>34</v>
      </c>
      <c r="G49" s="3167"/>
      <c r="H49" s="138"/>
      <c r="I49" s="2476"/>
      <c r="J49" s="1807">
        <v>4</v>
      </c>
      <c r="K49" s="3161" t="str">
        <f>IF(项目基本情况!E8="房地产抵押价值","房地产抵押价值","抵押担保权已注销时的房地产抵押价值")</f>
        <v>房地产抵押价值</v>
      </c>
      <c r="L49" s="3161"/>
      <c r="M49" s="3183">
        <f ca="1">IF(项目基本情况!E8="房地产抵押价值",H107,H109)</f>
        <v>3152</v>
      </c>
      <c r="N49" s="3183"/>
      <c r="O49" s="3183"/>
    </row>
    <row r="50" spans="1:35" ht="25.5" customHeight="1">
      <c r="A50" s="178"/>
      <c r="B50" s="3097" t="s">
        <v>2190</v>
      </c>
      <c r="C50" s="3097"/>
      <c r="D50" s="179"/>
      <c r="E50" s="31"/>
      <c r="F50" s="180"/>
      <c r="G50" s="3168"/>
      <c r="H50" s="138"/>
      <c r="I50" s="2476"/>
      <c r="J50" s="3161" t="s">
        <v>2191</v>
      </c>
      <c r="K50" s="3161"/>
      <c r="L50" s="3161"/>
      <c r="M50" s="3161"/>
      <c r="N50" s="3161"/>
      <c r="O50" s="3161"/>
    </row>
    <row r="51" spans="1:35" ht="12" customHeight="1">
      <c r="A51" s="181"/>
      <c r="B51" s="3097" t="s">
        <v>2192</v>
      </c>
      <c r="C51" s="3097"/>
      <c r="D51" s="182"/>
      <c r="E51" s="30"/>
      <c r="F51" s="180"/>
      <c r="G51" s="3169"/>
      <c r="H51" s="138"/>
      <c r="I51" s="2476"/>
      <c r="J51" s="2477" t="s">
        <v>2193</v>
      </c>
      <c r="K51" s="3161" t="s">
        <v>2194</v>
      </c>
      <c r="L51" s="3161"/>
      <c r="M51" s="2477" t="s">
        <v>2195</v>
      </c>
      <c r="N51" s="2477" t="s">
        <v>2196</v>
      </c>
      <c r="O51" s="2477" t="s">
        <v>2197</v>
      </c>
    </row>
    <row r="52" spans="1:35" ht="24" customHeight="1">
      <c r="A52" s="183" t="s">
        <v>2198</v>
      </c>
      <c r="B52" s="3097" t="s">
        <v>2199</v>
      </c>
      <c r="C52" s="3097"/>
      <c r="D52" s="182">
        <f ca="1">ROUND(D45*'数据-取费表'!B41/(1+'数据-取费表'!C42),0)</f>
        <v>168</v>
      </c>
      <c r="E52" s="11" t="s">
        <v>2200</v>
      </c>
      <c r="F52" s="184">
        <f>'数据-取费表'!B41</f>
        <v>5.6000000000000001E-2</v>
      </c>
      <c r="G52" s="2478"/>
      <c r="H52" s="138"/>
      <c r="I52" s="2476"/>
      <c r="J52" s="1807">
        <v>1</v>
      </c>
      <c r="K52" s="3162" t="s">
        <v>2201</v>
      </c>
      <c r="L52" s="3162"/>
      <c r="M52" s="1749">
        <f>D48</f>
        <v>0</v>
      </c>
      <c r="N52" s="1807" t="str">
        <f>E48</f>
        <v>销售额×税（费）率</v>
      </c>
      <c r="O52" s="1750" t="str">
        <f>F48</f>
        <v>免征</v>
      </c>
    </row>
    <row r="53" spans="1:35" ht="12" customHeight="1">
      <c r="A53" s="183" t="s">
        <v>2202</v>
      </c>
      <c r="B53" s="3120" t="s">
        <v>2203</v>
      </c>
      <c r="C53" s="3121"/>
      <c r="D53" s="182">
        <f ca="1">ROUND(D45*'数据-取费表'!B41/(1+'数据-取费表'!C42),0)</f>
        <v>168</v>
      </c>
      <c r="E53" s="11" t="s">
        <v>2200</v>
      </c>
      <c r="F53" s="184">
        <f>'数据-取费表'!B41</f>
        <v>5.6000000000000001E-2</v>
      </c>
      <c r="G53" s="2478"/>
      <c r="H53" s="138"/>
      <c r="I53" s="2476"/>
      <c r="J53" s="1807">
        <v>2</v>
      </c>
      <c r="K53" s="3162" t="s">
        <v>2204</v>
      </c>
      <c r="L53" s="3162"/>
      <c r="M53" s="1749">
        <f t="shared" ref="M53:O54" ca="1" si="0">D55</f>
        <v>2</v>
      </c>
      <c r="N53" s="1807" t="str">
        <f t="shared" si="0"/>
        <v>销售额×税（费）率</v>
      </c>
      <c r="O53" s="1750">
        <f t="shared" si="0"/>
        <v>5.0000000000000001E-4</v>
      </c>
    </row>
    <row r="54" spans="1:35" ht="12" customHeight="1">
      <c r="A54" s="183" t="s">
        <v>2205</v>
      </c>
      <c r="B54" s="3120" t="s">
        <v>2206</v>
      </c>
      <c r="C54" s="3121"/>
      <c r="D54" s="182">
        <f ca="1">C68</f>
        <v>168</v>
      </c>
      <c r="E54" s="30" t="s">
        <v>2207</v>
      </c>
      <c r="F54" s="184">
        <f>'数据-取费表'!B41</f>
        <v>5.6000000000000001E-2</v>
      </c>
      <c r="G54" s="2478"/>
      <c r="H54" s="2479"/>
      <c r="I54" s="2476"/>
      <c r="J54" s="1807">
        <v>3</v>
      </c>
      <c r="K54" s="3162" t="s">
        <v>2208</v>
      </c>
      <c r="L54" s="3162"/>
      <c r="M54" s="1749">
        <f t="shared" ca="1" si="0"/>
        <v>1784</v>
      </c>
      <c r="N54" s="1807" t="str">
        <f t="shared" si="0"/>
        <v>增值额×税（费）率</v>
      </c>
      <c r="O54" s="1751" t="str">
        <f t="shared" si="0"/>
        <v>——</v>
      </c>
    </row>
    <row r="55" spans="1:35" ht="24" customHeight="1">
      <c r="A55" s="3111" t="s">
        <v>2209</v>
      </c>
      <c r="B55" s="3112"/>
      <c r="C55" s="3112"/>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62" t="str">
        <f>IF(H59="非个人房产","——","个人所得税")</f>
        <v>——</v>
      </c>
      <c r="L55" s="3162"/>
      <c r="M55" s="1752" t="str">
        <f>D59</f>
        <v>——</v>
      </c>
      <c r="N55" s="1805" t="str">
        <f>E59</f>
        <v>——</v>
      </c>
      <c r="O55" s="1753" t="str">
        <f>F59</f>
        <v>——</v>
      </c>
    </row>
    <row r="56" spans="1:35" ht="25.2">
      <c r="A56" s="3111" t="s">
        <v>2212</v>
      </c>
      <c r="B56" s="3112"/>
      <c r="C56" s="3112"/>
      <c r="D56" s="185">
        <f ca="1">IF(H56="个人住宅",D57,D58)</f>
        <v>1784</v>
      </c>
      <c r="E56" s="11" t="s">
        <v>2213</v>
      </c>
      <c r="F56" s="184" t="str">
        <f>IF(H56="正常",F58,"免征")</f>
        <v>——</v>
      </c>
      <c r="G56" s="2480" t="s">
        <v>2214</v>
      </c>
      <c r="H56" s="2481" t="s">
        <v>2211</v>
      </c>
      <c r="I56" s="2482"/>
      <c r="J56" s="1807" t="str">
        <f>IF(项目基本情况!K6="上海银行",IF(J55="",4,J55+1),"")</f>
        <v/>
      </c>
      <c r="K56" s="3185" t="str">
        <f>IF(项目基本情况!K6="上海银行","其他处置费用","")</f>
        <v/>
      </c>
      <c r="L56" s="3186"/>
      <c r="M56" s="1749" t="str">
        <f>IF(项目基本情况!K6="上海银行",M69,"")</f>
        <v/>
      </c>
      <c r="N56" s="3188" t="str">
        <f>IF(项目基本情况!K6="上海银行","包含处置中涉及的律师、诉讼、拍卖、评估等费用","")</f>
        <v/>
      </c>
      <c r="O56" s="3189"/>
    </row>
    <row r="57" spans="1:35" ht="13.2">
      <c r="A57" s="183" t="s">
        <v>2187</v>
      </c>
      <c r="B57" s="3127" t="s">
        <v>2215</v>
      </c>
      <c r="C57" s="3136"/>
      <c r="D57" s="187">
        <v>0</v>
      </c>
      <c r="E57" s="23" t="s">
        <v>2189</v>
      </c>
      <c r="F57" s="155"/>
      <c r="G57" s="2478"/>
      <c r="H57" s="2482"/>
      <c r="I57" s="2482"/>
      <c r="J57" s="3162">
        <f>IF(AND(J55="",J56=""),4,IF(项目基本情况!K6="上海银行",结果表!J56+1,结果表!J55+1))</f>
        <v>4</v>
      </c>
      <c r="K57" s="3162" t="s">
        <v>2216</v>
      </c>
      <c r="L57" s="2483" t="s">
        <v>2217</v>
      </c>
      <c r="M57" s="1754"/>
      <c r="N57" s="1755">
        <f ca="1">SUMIF(M52:M56,"&lt;9e307")</f>
        <v>1786</v>
      </c>
      <c r="O57" s="2484"/>
      <c r="P57" s="1748">
        <f ca="1">N57/M49</f>
        <v>0.56662436548223349</v>
      </c>
    </row>
    <row r="58" spans="1:35" ht="25.2">
      <c r="A58" s="183" t="s">
        <v>2198</v>
      </c>
      <c r="B58" s="3127" t="s">
        <v>2218</v>
      </c>
      <c r="C58" s="3128"/>
      <c r="D58" s="185">
        <f ca="1">IF(H58="转让取得",C81,C97)</f>
        <v>1784</v>
      </c>
      <c r="E58" s="11" t="s">
        <v>2213</v>
      </c>
      <c r="F58" s="24" t="s">
        <v>34</v>
      </c>
      <c r="G58" s="2478"/>
      <c r="H58" s="2481" t="s">
        <v>2219</v>
      </c>
      <c r="I58" s="2482"/>
      <c r="J58" s="3162"/>
      <c r="K58" s="3162"/>
      <c r="L58" s="2483" t="s">
        <v>2220</v>
      </c>
      <c r="M58" s="1756"/>
      <c r="N58" s="2485" t="str">
        <f ca="1">NUMBERSTRING(INT(N57*10000),2)&amp;"元整"</f>
        <v>壹仟柒佰捌拾陆万元整</v>
      </c>
      <c r="O58" s="2486"/>
    </row>
    <row r="59" spans="1:35" ht="24.6" thickBot="1">
      <c r="A59" s="3165" t="s">
        <v>2221</v>
      </c>
      <c r="B59" s="3166"/>
      <c r="C59" s="3166"/>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3">
        <f>J57+1</f>
        <v>5</v>
      </c>
      <c r="K59" s="3162" t="s">
        <v>2223</v>
      </c>
      <c r="L59" s="1807" t="s">
        <v>2217</v>
      </c>
      <c r="M59" s="1757"/>
      <c r="N59" s="1758">
        <f ca="1">M49-N57</f>
        <v>1366</v>
      </c>
      <c r="O59" s="2488"/>
    </row>
    <row r="60" spans="1:35" ht="12" customHeight="1">
      <c r="A60" s="2489"/>
      <c r="B60" s="2411"/>
      <c r="C60" s="2411"/>
      <c r="D60" s="2411"/>
      <c r="E60" s="2159"/>
      <c r="F60" s="2482"/>
      <c r="G60" s="2482"/>
      <c r="H60" s="2490"/>
      <c r="I60" s="138"/>
      <c r="J60" s="3164"/>
      <c r="K60" s="3162"/>
      <c r="L60" s="2483" t="s">
        <v>2220</v>
      </c>
      <c r="M60" s="1756"/>
      <c r="N60" s="2485" t="str">
        <f ca="1">NUMBERSTRING(INT(N59*10000),2)&amp;"元整"</f>
        <v>壹仟叁佰陆拾陆万元整</v>
      </c>
      <c r="O60" s="2486"/>
    </row>
    <row r="61" spans="1:35" ht="13.8" thickBot="1">
      <c r="A61" s="3109" t="s">
        <v>2224</v>
      </c>
      <c r="B61" s="3109"/>
      <c r="C61" s="3109"/>
      <c r="D61" s="3109"/>
      <c r="E61" s="3109"/>
      <c r="F61" s="2482"/>
      <c r="G61" s="2482"/>
      <c r="H61" s="2490"/>
      <c r="I61" s="138"/>
      <c r="J61" s="1807">
        <f>J59+1</f>
        <v>6</v>
      </c>
      <c r="K61" s="3162" t="s">
        <v>2225</v>
      </c>
      <c r="L61" s="3162"/>
      <c r="M61" s="1759"/>
      <c r="N61" s="1760">
        <f ca="1">ROUND(N59*10000/'数据-汇总表'!E3,0)</f>
        <v>17766</v>
      </c>
      <c r="O61" s="2491"/>
    </row>
    <row r="62" spans="1:35" ht="13.2">
      <c r="A62" s="3125" t="s">
        <v>2226</v>
      </c>
      <c r="B62" s="3126"/>
      <c r="C62" s="1799"/>
      <c r="D62" s="1799" t="s">
        <v>2227</v>
      </c>
      <c r="E62" s="192" t="s">
        <v>2228</v>
      </c>
      <c r="F62" s="2482"/>
      <c r="G62" s="2482"/>
      <c r="H62" s="2490"/>
      <c r="I62" s="138"/>
    </row>
    <row r="63" spans="1:35" ht="13.2">
      <c r="A63" s="203" t="s">
        <v>775</v>
      </c>
      <c r="B63" s="193" t="s">
        <v>2229</v>
      </c>
      <c r="C63" s="194">
        <f ca="1">ROUND((C64+C65)/(1+'数据-取费表'!C42),0)</f>
        <v>3002</v>
      </c>
      <c r="D63" s="195"/>
      <c r="E63" s="196"/>
      <c r="F63" s="2482"/>
      <c r="G63" s="2482"/>
      <c r="H63" s="2490"/>
      <c r="I63" s="138"/>
      <c r="J63" s="3187" t="s">
        <v>2230</v>
      </c>
      <c r="K63" s="2492" t="s">
        <v>2231</v>
      </c>
      <c r="L63" s="1747">
        <f ca="1">IF(M49&gt;10000,M49*0.5%,IF(AND(M49&gt;1000,M49&lt;=10000),M49*1%,IF(AND(M49&gt;100,M49&lt;=1000),M49*3%,IF(AND(M49&gt;10,M49&lt;=100),M49*5%,M49*8%))))</f>
        <v>31.52</v>
      </c>
      <c r="M63" s="24">
        <f ca="1">ROUND(L63,1)</f>
        <v>31.5</v>
      </c>
      <c r="Z63" s="2416"/>
      <c r="AI63" s="2417"/>
    </row>
    <row r="64" spans="1:35" ht="14.25" customHeight="1">
      <c r="A64" s="197" t="s">
        <v>770</v>
      </c>
      <c r="B64" s="198" t="s">
        <v>2232</v>
      </c>
      <c r="C64" s="199">
        <f ca="1">D45</f>
        <v>3152</v>
      </c>
      <c r="D64" s="200" t="s">
        <v>32</v>
      </c>
      <c r="E64" s="201"/>
      <c r="F64" s="2482"/>
      <c r="G64" s="2482"/>
      <c r="H64" s="2490"/>
      <c r="I64" s="138"/>
      <c r="J64" s="3187"/>
      <c r="K64" s="2492" t="s">
        <v>2233</v>
      </c>
      <c r="L64" s="1747">
        <f ca="1">IF(M49&gt;2000,M49*0.5%,IF(AND(M49&gt;1000,M49&lt;=2000),M49*0.6%,IF(AND(M49&gt;500,M49&lt;=1000),M49*0.7%,IF(AND(M49&gt;200,M49&lt;=500),M49*0.8%,IF(AND(M49&gt;100,M49&lt;=200),M49*0.9%,IF(AND(M49&gt;50,M49&lt;=100),M49*1%,IF(AND(M49&gt;20,M49&lt;=50),M49*1.5%,IF(AND(M49&gt;10,M49&lt;=20),M49*2%,IF(AND(M49&gt;1,M49&lt;=10),M49*2.5%)))))))))</f>
        <v>15.76</v>
      </c>
      <c r="M64" s="24">
        <f t="shared" ref="M64:M65" ca="1" si="1">ROUND(L64,1)</f>
        <v>15.8</v>
      </c>
      <c r="N64" s="138" t="s">
        <v>2234</v>
      </c>
      <c r="Z64" s="2416"/>
      <c r="AI64" s="2417"/>
    </row>
    <row r="65" spans="1:35" ht="14.25" customHeight="1">
      <c r="A65" s="197" t="s">
        <v>771</v>
      </c>
      <c r="B65" s="198" t="s">
        <v>2235</v>
      </c>
      <c r="C65" s="202"/>
      <c r="D65" s="200"/>
      <c r="E65" s="201"/>
      <c r="F65" s="2482"/>
      <c r="G65" s="2482"/>
      <c r="H65" s="2490"/>
      <c r="I65" s="138"/>
      <c r="J65" s="3187"/>
      <c r="K65" s="2492" t="s">
        <v>2236</v>
      </c>
      <c r="L65" s="1747">
        <f ca="1">IF(M49&gt;1000,M49*0.1%,IF(AND(M49&gt;500,M49&lt;=1000),M49*0.5%,IF(AND(M49&gt;50,M49&lt;=500),M49*1%,IF(AND(M49&gt;1,M49&lt;=50),M49*1.5%))))</f>
        <v>3.1520000000000001</v>
      </c>
      <c r="M65" s="24">
        <f t="shared" ca="1" si="1"/>
        <v>3.2</v>
      </c>
      <c r="N65" s="138" t="s">
        <v>2234</v>
      </c>
      <c r="Z65" s="2416"/>
      <c r="AI65" s="2417"/>
    </row>
    <row r="66" spans="1:35" ht="14.25" customHeight="1">
      <c r="A66" s="203" t="s">
        <v>772</v>
      </c>
      <c r="B66" s="204" t="s">
        <v>2237</v>
      </c>
      <c r="C66" s="205"/>
      <c r="D66" s="206" t="s">
        <v>32</v>
      </c>
      <c r="E66" s="1771" t="s">
        <v>1367</v>
      </c>
      <c r="F66" s="2482"/>
      <c r="G66" s="2482"/>
      <c r="H66" s="2490"/>
      <c r="I66" s="138"/>
      <c r="J66" s="3187"/>
      <c r="K66" s="2492" t="s">
        <v>2238</v>
      </c>
      <c r="L66" s="1747">
        <f ca="1">M49*0.5%</f>
        <v>15.76</v>
      </c>
      <c r="M66" s="24">
        <f ca="1">IF(L66&gt;0.5,0.5,ROUND(L66,0))</f>
        <v>0.5</v>
      </c>
      <c r="N66" s="138" t="s">
        <v>2239</v>
      </c>
      <c r="Z66" s="2416"/>
      <c r="AI66" s="2417"/>
    </row>
    <row r="67" spans="1:35" ht="14.25" customHeight="1">
      <c r="A67" s="203" t="s">
        <v>773</v>
      </c>
      <c r="B67" s="204" t="s">
        <v>2240</v>
      </c>
      <c r="C67" s="207">
        <f ca="1">C63-C66</f>
        <v>3002</v>
      </c>
      <c r="D67" s="200" t="s">
        <v>32</v>
      </c>
      <c r="E67" s="201"/>
      <c r="F67" s="2482"/>
      <c r="G67" s="2482"/>
      <c r="H67" s="2490"/>
      <c r="I67" s="138"/>
      <c r="J67" s="318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168</v>
      </c>
      <c r="D68" s="211">
        <f>'数据-取费表'!B41</f>
        <v>5.6000000000000001E-2</v>
      </c>
      <c r="E68" s="212"/>
      <c r="F68" s="2482"/>
      <c r="G68" s="2482"/>
      <c r="H68" s="2490"/>
      <c r="I68" s="138"/>
      <c r="J68" s="3187"/>
      <c r="K68" s="2492" t="s">
        <v>2243</v>
      </c>
      <c r="L68" s="1747">
        <f ca="1">IF(M49&gt;10000,M49*0.5%,IF(AND(M49&gt;5000,M49&lt;=10000),M49*1%,IF(AND(M49&gt;1000,M49&lt;=5000),M49*2%,IF(AND(M49&gt;200,M49&lt;=1000),M49*3%,M49*5%))))</f>
        <v>63.04</v>
      </c>
      <c r="M68" s="24">
        <f ca="1">ROUND(L68,1)</f>
        <v>63</v>
      </c>
      <c r="Z68" s="2416"/>
      <c r="AI68" s="2417"/>
    </row>
    <row r="69" spans="1:35" s="2439" customFormat="1" ht="16.5" customHeight="1">
      <c r="A69" s="2493"/>
      <c r="B69" s="2494"/>
      <c r="C69" s="2495"/>
      <c r="D69" s="2496"/>
      <c r="E69" s="2497"/>
      <c r="F69" s="2159"/>
      <c r="G69" s="2159"/>
      <c r="H69" s="2158"/>
      <c r="I69" s="2411"/>
      <c r="J69" s="3187"/>
      <c r="K69" s="2492" t="s">
        <v>2244</v>
      </c>
      <c r="L69" s="2498"/>
      <c r="M69" s="24">
        <f ca="1">ROUND(SUM(M63:M68),0)</f>
        <v>116</v>
      </c>
      <c r="N69" s="1748">
        <f ca="1">M69/M49</f>
        <v>3.6802030456852791E-2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4" thickBot="1">
      <c r="A70" s="3146" t="s">
        <v>2245</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25" t="s">
        <v>2226</v>
      </c>
      <c r="B71" s="3126"/>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2246</v>
      </c>
      <c r="C72" s="207">
        <f ca="1">ROUND(D45/(1+'数据-取费表'!C42),0)</f>
        <v>3002</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20" t="s">
        <v>2254</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06" t="s">
        <v>2259</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2260</v>
      </c>
      <c r="C79" s="207">
        <f ca="1">C72-C73</f>
        <v>2984</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165.77777777777777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2262</v>
      </c>
      <c r="C81" s="228">
        <f ca="1">ROUND(IF(C79&lt;=0,0,IF(C80&gt;=200%,C79*60%-C73*35%,IF(C80&gt;=100%,C79*50%-C73*15%,IF(C80&gt;=50%,C79*40%-C73*5%,IF(C80&lt;50%,C79*30%,0))))),0)</f>
        <v>1784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46" t="s">
        <v>2263</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25" t="s">
        <v>2226</v>
      </c>
      <c r="B84" s="3126"/>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2246</v>
      </c>
      <c r="C85" s="207">
        <f ca="1">ROUND(D45/(1+'数据-取费表'!C42),0)</f>
        <v>3002</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06" t="s">
        <v>2272</v>
      </c>
      <c r="F91" s="3107"/>
      <c r="G91" s="3107"/>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06" t="s">
        <v>2276</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06" t="s">
        <v>2259</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17" t="s">
        <v>2280</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2260</v>
      </c>
      <c r="C95" s="207">
        <f ca="1">ROUND(C85-C86,0)</f>
        <v>2984</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165.77777777777777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2262</v>
      </c>
      <c r="C97" s="228">
        <f ca="1">ROUND(IF(C95&lt;=0,0,IF(C96&gt;=200%,C95*60%-C86*35%,IF(C96&gt;=100%,C95*50%-C86*15%,IF(C96&gt;=50%,C95*40%-C86*5%,IF(C96&lt;50%,C95*30%,0))))),0)</f>
        <v>1784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08"/>
      <c r="E100" s="3092" t="s">
        <v>2283</v>
      </c>
      <c r="F100" s="3092"/>
      <c r="G100" s="3092"/>
      <c r="H100" s="3108"/>
      <c r="I100" s="138"/>
    </row>
    <row r="101" spans="1:35" ht="18.75" customHeight="1">
      <c r="A101" s="3170" t="s">
        <v>2284</v>
      </c>
      <c r="B101" s="3171"/>
      <c r="C101" s="735" t="str">
        <f>C4</f>
        <v>典型户型修正</v>
      </c>
      <c r="D101" s="736" t="str">
        <f>D4</f>
        <v>典型户型修正</v>
      </c>
      <c r="E101" s="3184" t="s">
        <v>2285</v>
      </c>
      <c r="F101" s="3138"/>
      <c r="G101" s="2513" t="s">
        <v>2286</v>
      </c>
      <c r="H101" s="1044">
        <f ca="1">H118</f>
        <v>3152</v>
      </c>
      <c r="I101" s="138"/>
    </row>
    <row r="102" spans="1:35" ht="18.75" customHeight="1">
      <c r="A102" s="3140" t="s">
        <v>2287</v>
      </c>
      <c r="B102" s="2513" t="s">
        <v>2286</v>
      </c>
      <c r="C102" s="735">
        <f ca="1">C19</f>
        <v>3152</v>
      </c>
      <c r="D102" s="736">
        <f ca="1">D19</f>
        <v>3152</v>
      </c>
      <c r="E102" s="3184"/>
      <c r="F102" s="3138"/>
      <c r="G102" s="2513" t="s">
        <v>2288</v>
      </c>
      <c r="H102" s="371">
        <f ca="1">I118</f>
        <v>40995</v>
      </c>
      <c r="I102" s="138"/>
    </row>
    <row r="103" spans="1:35" ht="42.75" customHeight="1">
      <c r="A103" s="3140"/>
      <c r="B103" s="2513" t="s">
        <v>2288</v>
      </c>
      <c r="C103" s="737">
        <f ca="1">C20</f>
        <v>40995</v>
      </c>
      <c r="D103" s="738">
        <f ca="1">D20</f>
        <v>40995</v>
      </c>
      <c r="E103" s="3179" t="s">
        <v>2289</v>
      </c>
      <c r="F103" s="3180"/>
      <c r="G103" s="2514" t="s">
        <v>2290</v>
      </c>
      <c r="H103" s="1044">
        <f>IF(D36="正常操作",H104+H105+H106,H105+H106)</f>
        <v>0</v>
      </c>
      <c r="I103" s="138"/>
    </row>
    <row r="104" spans="1:35" ht="18.75" customHeight="1">
      <c r="A104" s="3140" t="s">
        <v>2291</v>
      </c>
      <c r="B104" s="2515" t="s">
        <v>2286</v>
      </c>
      <c r="C104" s="739">
        <f ca="1">H118</f>
        <v>3152</v>
      </c>
      <c r="D104" s="740"/>
      <c r="E104" s="2260" t="s">
        <v>2292</v>
      </c>
      <c r="F104" s="2251"/>
      <c r="G104" s="2514" t="s">
        <v>2290</v>
      </c>
      <c r="H104" s="1045">
        <f>IF(D36="同一抵押权人同一抵押物续贷",C36&amp;"（未扣减，详见特别提示）",C36)</f>
        <v>0</v>
      </c>
      <c r="I104" s="138"/>
    </row>
    <row r="105" spans="1:35" ht="18.75" customHeight="1" thickBot="1">
      <c r="A105" s="3141"/>
      <c r="B105" s="2516" t="s">
        <v>2288</v>
      </c>
      <c r="C105" s="741">
        <f ca="1">I118</f>
        <v>40995</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7" t="str">
        <f>IF(项目基本情况!E8="已注销","——","3.房地产抵押价值")</f>
        <v>3.房地产抵押价值</v>
      </c>
      <c r="F107" s="3138"/>
      <c r="G107" s="2513" t="s">
        <v>2286</v>
      </c>
      <c r="H107" s="1044">
        <f ca="1">IF(E107="——","——",H101-H103)</f>
        <v>3152</v>
      </c>
      <c r="I107" s="138"/>
    </row>
    <row r="108" spans="1:35" ht="18.75" customHeight="1">
      <c r="A108" s="138"/>
      <c r="B108" s="138"/>
      <c r="C108" s="138"/>
      <c r="D108" s="138"/>
      <c r="E108" s="3137"/>
      <c r="F108" s="3138"/>
      <c r="G108" s="2513" t="s">
        <v>2288</v>
      </c>
      <c r="H108" s="371">
        <f ca="1">ROUND(H107*10000/'数据-汇总表'!E3,0)</f>
        <v>40995</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3" t="s">
        <v>2286</v>
      </c>
      <c r="H109" s="348" t="str">
        <f>IF(E109="——","——",H101-H105-H106)</f>
        <v>——</v>
      </c>
      <c r="I109" s="138"/>
    </row>
    <row r="110" spans="1:35" ht="18.75" customHeight="1">
      <c r="A110" s="138"/>
      <c r="B110" s="138"/>
      <c r="C110" s="138"/>
      <c r="D110" s="138"/>
      <c r="E110" s="3137"/>
      <c r="F110" s="3138"/>
      <c r="G110" s="2513" t="s">
        <v>2288</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3" t="s">
        <v>2286</v>
      </c>
      <c r="H111" s="1044" t="str">
        <f>IF(E111="——","——",N59)</f>
        <v>——</v>
      </c>
      <c r="I111" s="138"/>
    </row>
    <row r="112" spans="1:35" ht="18.75" customHeight="1" thickBot="1">
      <c r="A112" s="138"/>
      <c r="B112" s="138"/>
      <c r="C112" s="138"/>
      <c r="D112" s="138"/>
      <c r="E112" s="3174"/>
      <c r="F112" s="3175"/>
      <c r="G112" s="2518" t="s">
        <v>2288</v>
      </c>
      <c r="H112" s="789" t="str">
        <f>IF(E111="——","——",N61)</f>
        <v>——</v>
      </c>
      <c r="I112" s="138"/>
    </row>
    <row r="113" spans="1:11" ht="18.75" customHeight="1">
      <c r="A113" s="138"/>
      <c r="B113" s="138"/>
      <c r="C113" s="138"/>
      <c r="D113" s="138"/>
      <c r="E113" s="3142" t="s">
        <v>2294</v>
      </c>
      <c r="F113" s="3142"/>
      <c r="G113" s="3142"/>
      <c r="H113" s="3142"/>
      <c r="I113" s="138"/>
    </row>
    <row r="114" spans="1:11" ht="3.75" customHeight="1">
      <c r="A114" s="2411"/>
      <c r="B114" s="2411"/>
      <c r="C114" s="2411"/>
      <c r="D114" s="2411"/>
      <c r="E114" s="2489"/>
      <c r="F114" s="2489"/>
      <c r="G114" s="2489"/>
      <c r="H114" s="2489"/>
      <c r="I114" s="2411"/>
    </row>
    <row r="115" spans="1:11" ht="18.75" customHeight="1">
      <c r="A115" s="3155" t="s">
        <v>2296</v>
      </c>
      <c r="B115" s="3156"/>
      <c r="C115" s="3156"/>
      <c r="D115" s="3156"/>
      <c r="E115" s="3156"/>
      <c r="F115" s="3156"/>
      <c r="G115" s="3156"/>
      <c r="H115" s="3156"/>
      <c r="I115" s="3157"/>
    </row>
    <row r="116" spans="1:11" ht="27" customHeight="1">
      <c r="A116" s="3048" t="s">
        <v>2297</v>
      </c>
      <c r="B116" s="3143" t="s">
        <v>2298</v>
      </c>
      <c r="C116" s="3143" t="s">
        <v>2299</v>
      </c>
      <c r="D116" s="3159" t="s">
        <v>2300</v>
      </c>
      <c r="E116" s="3160"/>
      <c r="F116" s="3151" t="s">
        <v>2301</v>
      </c>
      <c r="G116" s="3151"/>
      <c r="H116" s="3048" t="s">
        <v>2302</v>
      </c>
      <c r="I116" s="3048"/>
    </row>
    <row r="117" spans="1:11" ht="18.75" customHeight="1">
      <c r="A117" s="3048"/>
      <c r="B117" s="3144"/>
      <c r="C117" s="314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3152</v>
      </c>
      <c r="I118" s="1793">
        <f ca="1">ROUND(IF(D32="楼面单价",C32,H118*10000/B118),0)</f>
        <v>40995</v>
      </c>
    </row>
    <row r="119" spans="1:11" ht="18.75" customHeight="1">
      <c r="A119" s="3048" t="s">
        <v>2306</v>
      </c>
      <c r="B119" s="3048"/>
      <c r="C119" s="3048"/>
      <c r="D119" s="3148" t="e">
        <f ca="1">NUMBERSTRING(INT(D118*10000),2)&amp;"元整"</f>
        <v>#REF!</v>
      </c>
      <c r="E119" s="3150"/>
      <c r="F119" s="3148" t="e">
        <f ca="1">NUMBERSTRING(INT(F118*10000),2)&amp;"元整"</f>
        <v>#REF!</v>
      </c>
      <c r="G119" s="3150"/>
      <c r="H119" s="3148" t="str">
        <f ca="1">NUMBERSTRING(INT(H118*10000),2)&amp;"元整"</f>
        <v>叁仟壹佰伍拾贰万元整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2306</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3152</v>
      </c>
      <c r="E122" s="3177"/>
      <c r="F122" s="3177"/>
      <c r="G122" s="3177"/>
      <c r="H122" s="3177"/>
      <c r="I122" s="3178"/>
    </row>
    <row r="123" spans="1:11" ht="18.75" customHeight="1">
      <c r="A123" s="3048" t="s">
        <v>2306</v>
      </c>
      <c r="B123" s="3048"/>
      <c r="C123" s="3048"/>
      <c r="D123" s="3148" t="str">
        <f ca="1">NUMBERSTRING(INT(D122*10000),2)&amp;"元整"</f>
        <v>叁仟壹佰伍拾贰万元整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2306</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2306</v>
      </c>
      <c r="B127" s="3048"/>
      <c r="C127" s="3048"/>
      <c r="D127" s="3148" t="e">
        <f>NUMBERSTRING(INT(D126*10000),2)&amp;"元整"</f>
        <v>#VALUE!</v>
      </c>
      <c r="E127" s="3149"/>
      <c r="F127" s="3149"/>
      <c r="G127" s="3149"/>
      <c r="H127" s="3149"/>
      <c r="I127" s="3150"/>
    </row>
    <row r="128" spans="1:11" ht="21.75" customHeight="1">
      <c r="A128" s="3158" t="s">
        <v>2307</v>
      </c>
      <c r="B128" s="3158"/>
      <c r="C128" s="3158"/>
      <c r="D128" s="3158"/>
      <c r="E128" s="3158"/>
      <c r="F128" s="3158"/>
      <c r="G128" s="3158"/>
      <c r="H128" s="3158"/>
      <c r="I128" s="315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6.2">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c r="A8" s="948" t="s">
        <v>2330</v>
      </c>
      <c r="B8" s="259" t="s">
        <v>2331</v>
      </c>
      <c r="C8" s="264">
        <f>IF(G8="已包含在土地购买价格中","0",IF(B1="",'数据-取费表'!B29,IF(G9="全部缴纳",C9+C10,H9)))</f>
        <v>0</v>
      </c>
      <c r="D8" s="266"/>
      <c r="E8" s="264"/>
      <c r="F8" s="265"/>
      <c r="G8" s="2545" t="s">
        <v>3079</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3080</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50" t="s">
        <v>2362</v>
      </c>
      <c r="B25" s="259" t="s">
        <v>2363</v>
      </c>
      <c r="C25" s="1353">
        <f ca="1">ROUND(IF('数据-取费表'!B22&lt;=1,C20*F22*'数据-取费表'!B23/2,C20*(POWER((1+F22),'数据-取费表'!B23/2)-1)),0)</f>
        <v>0</v>
      </c>
      <c r="D25" s="282"/>
      <c r="E25" s="285"/>
      <c r="F25" s="283"/>
      <c r="G25" s="286" t="s">
        <v>2364</v>
      </c>
    </row>
    <row r="26" spans="1:7" s="258" customFormat="1">
      <c r="A26" s="950" t="s">
        <v>795</v>
      </c>
      <c r="B26" s="259" t="s">
        <v>2365</v>
      </c>
      <c r="C26" s="282">
        <f ca="1">ROUND(IF('数据-取费表'!B22&lt;=1,F21*F22*'数据-取费表'!B23/2,F21*(POWER((1+F22),'数据-取费表'!B23/2)-1)),4)</f>
        <v>1E-3</v>
      </c>
      <c r="D26" s="282"/>
      <c r="E26" s="285"/>
      <c r="F26" s="283"/>
      <c r="G26" s="287"/>
    </row>
    <row r="27" spans="1:7" s="258" customFormat="1" ht="26.4">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6.2">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4">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0.92</v>
      </c>
      <c r="G50" s="291" t="s">
        <v>2411</v>
      </c>
    </row>
    <row r="51" spans="1:7" ht="16.5" customHeight="1">
      <c r="A51" s="299" t="s">
        <v>2412</v>
      </c>
      <c r="B51" s="254" t="s">
        <v>2413</v>
      </c>
      <c r="C51" s="276" t="e">
        <f ca="1">ROUND(C49*F50,0)</f>
        <v>#N/A</v>
      </c>
      <c r="D51" s="276"/>
      <c r="E51" s="276"/>
      <c r="F51" s="308"/>
      <c r="G51" s="278" t="s">
        <v>2414</v>
      </c>
    </row>
    <row r="52" spans="1:7" s="252" customFormat="1" ht="16.8"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204</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2653</v>
      </c>
      <c r="C3" s="243" t="s">
        <v>2319</v>
      </c>
      <c r="D3" s="243"/>
      <c r="E3" s="243"/>
      <c r="F3" s="243"/>
      <c r="G3" s="243"/>
    </row>
    <row r="4" spans="1:8" s="252" customFormat="1" ht="16.2">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4">
      <c r="A25" s="950" t="s">
        <v>2330</v>
      </c>
      <c r="B25" s="259" t="s">
        <v>2441</v>
      </c>
      <c r="C25" s="1379">
        <f ca="1">ROUND(IF('数据-取费表'!B22&lt;=1,C20*F22*'数据-取费表'!B22/2,C20*(POWER((1+F22),'数据-取费表'!B22/2)-1)),0)</f>
        <v>292</v>
      </c>
      <c r="D25" s="282"/>
      <c r="E25" s="285"/>
      <c r="F25" s="283"/>
      <c r="G25" s="286" t="s">
        <v>2442</v>
      </c>
    </row>
    <row r="26" spans="1:7" s="258" customFormat="1">
      <c r="A26" s="950" t="s">
        <v>795</v>
      </c>
      <c r="B26" s="259" t="s">
        <v>2365</v>
      </c>
      <c r="C26" s="282">
        <f ca="1">ROUND(IF('数据-取费表'!B22&lt;=1,F21*F22*'数据-取费表'!B22/2,F21*(POWER((1+F22),'数据-取费表'!B22/2)-1)),4)</f>
        <v>1E-3</v>
      </c>
      <c r="D26" s="282"/>
      <c r="E26" s="285"/>
      <c r="F26" s="283"/>
      <c r="G26" s="287"/>
    </row>
    <row r="27" spans="1:7" s="258" customFormat="1" ht="26.4">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6.2">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4">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c r="A50" s="299" t="s">
        <v>2409</v>
      </c>
      <c r="B50" s="254" t="s">
        <v>2410</v>
      </c>
      <c r="C50" s="276"/>
      <c r="D50" s="276"/>
      <c r="E50" s="276"/>
      <c r="F50" s="308">
        <f>IF('数据-取费表'!B24=0,'数据-取费表'!N16,1)</f>
        <v>0.92</v>
      </c>
      <c r="G50" s="291"/>
    </row>
    <row r="51" spans="1:7" ht="16.5" customHeight="1">
      <c r="A51" s="299" t="s">
        <v>2412</v>
      </c>
      <c r="B51" s="254" t="s">
        <v>2447</v>
      </c>
      <c r="C51" s="276">
        <f ca="1">ROUND(C49*F50,0)</f>
        <v>1601408</v>
      </c>
      <c r="D51" s="276"/>
      <c r="E51" s="276"/>
      <c r="F51" s="308"/>
      <c r="G51" s="278" t="s">
        <v>2414</v>
      </c>
    </row>
    <row r="52" spans="1:7" s="252" customFormat="1" ht="16.8" thickBot="1">
      <c r="A52" s="309" t="s">
        <v>2415</v>
      </c>
      <c r="B52" s="310"/>
      <c r="C52" s="311">
        <f ca="1">C31+C51</f>
        <v>2042601</v>
      </c>
      <c r="D52" s="310"/>
      <c r="E52" s="310"/>
      <c r="F52" s="310"/>
      <c r="G52" s="312"/>
    </row>
    <row r="55" spans="1:7" ht="15">
      <c r="B55" s="314" t="s">
        <v>2416</v>
      </c>
      <c r="C55" s="315"/>
    </row>
    <row r="56" spans="1:7">
      <c r="B56" s="317" t="s">
        <v>1508</v>
      </c>
      <c r="C56" s="319">
        <f ca="1">1-C57</f>
        <v>0.21599999999999997</v>
      </c>
    </row>
    <row r="57" spans="1:7">
      <c r="B57" s="317" t="s">
        <v>1509</v>
      </c>
      <c r="C57" s="318">
        <f ca="1">ROUND(C51/C52,3)</f>
        <v>0.78400000000000003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5.2">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J18" sqref="J18"/>
    </sheetView>
  </sheetViews>
  <sheetFormatPr defaultColWidth="12.6640625" defaultRowHeight="21.75" customHeight="1"/>
  <cols>
    <col min="1" max="2" width="12.6640625" style="2417"/>
    <col min="3" max="4" width="12.6640625" style="2417" customWidth="1"/>
    <col min="5" max="9" width="12.6640625" style="2417"/>
    <col min="10" max="11" width="12.6640625" style="794" customWidth="1"/>
    <col min="12" max="12" width="12.6640625" style="794"/>
    <col min="13" max="13" width="14.109375" style="794" bestFit="1" customWidth="1"/>
    <col min="14" max="26" width="12.6640625" style="794"/>
    <col min="27" max="35" width="12.6640625" style="2416"/>
    <col min="36" max="16384" width="12.6640625" style="2417"/>
  </cols>
  <sheetData>
    <row r="1" spans="1:12" ht="21.75" customHeight="1" thickBot="1">
      <c r="A1" s="2218" t="s">
        <v>2106</v>
      </c>
      <c r="B1" s="2411"/>
      <c r="C1" s="2412" t="s">
        <v>3163</v>
      </c>
      <c r="D1" s="2411"/>
      <c r="E1" s="2411"/>
      <c r="F1" s="2413" t="s">
        <v>2107</v>
      </c>
      <c r="G1" s="2064" t="s">
        <v>3054</v>
      </c>
      <c r="H1" s="2414" t="str">
        <f>IF(G1="现房","——","估价对象范围")</f>
        <v>——</v>
      </c>
      <c r="I1" s="2415"/>
    </row>
    <row r="2" spans="1:12" ht="21.75" customHeight="1" thickBot="1">
      <c r="A2" s="3130" t="str">
        <f>项目基本情况!S2</f>
        <v>北京市丰台区汽车博物馆东路1号房地产</v>
      </c>
      <c r="B2" s="3131"/>
      <c r="C2" s="3131"/>
      <c r="D2" s="3131"/>
      <c r="E2" s="3131"/>
      <c r="F2" s="3131"/>
      <c r="G2" s="3131"/>
      <c r="H2" s="3131"/>
      <c r="I2" s="3132"/>
    </row>
    <row r="3" spans="1:12" ht="13.2">
      <c r="A3" s="3134" t="s">
        <v>2108</v>
      </c>
      <c r="B3" s="3135"/>
      <c r="C3" s="3135"/>
      <c r="D3" s="3135"/>
      <c r="E3" s="3135"/>
      <c r="F3" s="3135"/>
      <c r="G3" s="3135"/>
      <c r="H3" s="3135"/>
      <c r="I3" s="3135"/>
    </row>
    <row r="4" spans="1:12" ht="14.4">
      <c r="A4" s="2418" t="s">
        <v>2109</v>
      </c>
      <c r="B4" s="2419" t="s">
        <v>2110</v>
      </c>
      <c r="C4" s="2420" t="s">
        <v>3153</v>
      </c>
      <c r="D4" s="2420" t="s">
        <v>3065</v>
      </c>
      <c r="E4" s="3127" t="s">
        <v>2111</v>
      </c>
      <c r="F4" s="3128"/>
      <c r="G4" s="3128"/>
      <c r="H4" s="3128"/>
      <c r="I4" s="3136"/>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3.2">
      <c r="A5" s="3110" t="s">
        <v>2112</v>
      </c>
      <c r="B5" s="3048">
        <v>25</v>
      </c>
      <c r="C5" s="3113"/>
      <c r="D5" s="3133"/>
      <c r="E5" s="140" t="s">
        <v>2113</v>
      </c>
      <c r="F5" s="2422"/>
      <c r="G5" s="2422"/>
      <c r="H5" s="2422"/>
      <c r="I5" s="1829"/>
    </row>
    <row r="6" spans="1:12" ht="13.2">
      <c r="A6" s="3110"/>
      <c r="B6" s="3048"/>
      <c r="C6" s="3114"/>
      <c r="D6" s="3133"/>
      <c r="E6" s="140" t="s">
        <v>2114</v>
      </c>
      <c r="F6" s="2422"/>
      <c r="G6" s="2422"/>
      <c r="H6" s="2422"/>
      <c r="I6" s="1829"/>
    </row>
    <row r="7" spans="1:12" ht="13.2">
      <c r="A7" s="3110"/>
      <c r="B7" s="3048"/>
      <c r="C7" s="3115"/>
      <c r="D7" s="3133"/>
      <c r="E7" s="140" t="s">
        <v>2115</v>
      </c>
      <c r="F7" s="2422"/>
      <c r="G7" s="2422"/>
      <c r="H7" s="2422"/>
      <c r="I7" s="1829"/>
    </row>
    <row r="8" spans="1:12" ht="13.2">
      <c r="A8" s="3110" t="s">
        <v>2116</v>
      </c>
      <c r="B8" s="3048">
        <v>15</v>
      </c>
      <c r="C8" s="3113"/>
      <c r="D8" s="3133"/>
      <c r="E8" s="140" t="s">
        <v>2117</v>
      </c>
      <c r="F8" s="2422"/>
      <c r="G8" s="2422"/>
      <c r="H8" s="2422"/>
      <c r="I8" s="1829"/>
    </row>
    <row r="9" spans="1:12" ht="13.2">
      <c r="A9" s="3110"/>
      <c r="B9" s="3048"/>
      <c r="C9" s="3115"/>
      <c r="D9" s="3133"/>
      <c r="E9" s="140" t="s">
        <v>2118</v>
      </c>
      <c r="F9" s="2422"/>
      <c r="G9" s="2422"/>
      <c r="H9" s="2422"/>
      <c r="I9" s="1829"/>
    </row>
    <row r="10" spans="1:12" ht="13.2">
      <c r="A10" s="3110" t="s">
        <v>2119</v>
      </c>
      <c r="B10" s="3048">
        <v>15</v>
      </c>
      <c r="C10" s="3113"/>
      <c r="D10" s="3133"/>
      <c r="E10" s="140" t="s">
        <v>2120</v>
      </c>
      <c r="F10" s="2422"/>
      <c r="G10" s="2422"/>
      <c r="H10" s="2422"/>
      <c r="I10" s="1829"/>
    </row>
    <row r="11" spans="1:12" ht="13.2">
      <c r="A11" s="3110"/>
      <c r="B11" s="3048"/>
      <c r="C11" s="3115"/>
      <c r="D11" s="3133"/>
      <c r="E11" s="140" t="s">
        <v>2121</v>
      </c>
      <c r="F11" s="2422"/>
      <c r="G11" s="2422"/>
      <c r="H11" s="2422"/>
      <c r="I11" s="1829"/>
    </row>
    <row r="12" spans="1:12" ht="13.2">
      <c r="A12" s="3110" t="s">
        <v>2122</v>
      </c>
      <c r="B12" s="3048">
        <v>15</v>
      </c>
      <c r="C12" s="3113"/>
      <c r="D12" s="3133"/>
      <c r="E12" s="140" t="s">
        <v>2123</v>
      </c>
      <c r="F12" s="2422"/>
      <c r="G12" s="2422"/>
      <c r="H12" s="2422"/>
      <c r="I12" s="1829"/>
    </row>
    <row r="13" spans="1:12" ht="13.2">
      <c r="A13" s="3110"/>
      <c r="B13" s="3048"/>
      <c r="C13" s="3115"/>
      <c r="D13" s="3133"/>
      <c r="E13" s="140" t="s">
        <v>2124</v>
      </c>
      <c r="F13" s="2422"/>
      <c r="G13" s="2422"/>
      <c r="H13" s="2422"/>
      <c r="I13" s="1829"/>
    </row>
    <row r="14" spans="1:12" ht="13.2">
      <c r="A14" s="3110" t="s">
        <v>2125</v>
      </c>
      <c r="B14" s="3048">
        <v>30</v>
      </c>
      <c r="C14" s="3113">
        <v>5</v>
      </c>
      <c r="D14" s="3133">
        <v>5</v>
      </c>
      <c r="E14" s="140" t="s">
        <v>2126</v>
      </c>
      <c r="F14" s="2422"/>
      <c r="G14" s="2422"/>
      <c r="H14" s="2422"/>
      <c r="I14" s="1829"/>
    </row>
    <row r="15" spans="1:12" ht="13.2">
      <c r="A15" s="3110"/>
      <c r="B15" s="3048"/>
      <c r="C15" s="3114"/>
      <c r="D15" s="3133"/>
      <c r="E15" s="140" t="s">
        <v>2127</v>
      </c>
      <c r="F15" s="2422"/>
      <c r="G15" s="2422"/>
      <c r="H15" s="2422"/>
      <c r="I15" s="1829"/>
    </row>
    <row r="16" spans="1:12" ht="13.2">
      <c r="A16" s="3110"/>
      <c r="B16" s="3048"/>
      <c r="C16" s="3115"/>
      <c r="D16" s="3133"/>
      <c r="E16" s="140" t="s">
        <v>2128</v>
      </c>
      <c r="F16" s="2422"/>
      <c r="G16" s="2422"/>
      <c r="H16" s="2422"/>
      <c r="I16" s="1829"/>
    </row>
    <row r="17" spans="1:35" ht="14.4">
      <c r="A17" s="2423" t="s">
        <v>2129</v>
      </c>
      <c r="B17" s="64"/>
      <c r="C17" s="141">
        <f>SUM(C5:C16)</f>
        <v>5</v>
      </c>
      <c r="D17" s="141">
        <f>SUM(D5:D16)</f>
        <v>5</v>
      </c>
      <c r="E17" s="138"/>
      <c r="F17" s="138"/>
      <c r="G17" s="138"/>
      <c r="H17" s="138"/>
      <c r="I17" s="138"/>
      <c r="K17" s="2421"/>
      <c r="L17" s="2424" t="s">
        <v>2130</v>
      </c>
      <c r="M17" s="2424" t="s">
        <v>2131</v>
      </c>
    </row>
    <row r="18" spans="1:35" ht="15" thickBot="1">
      <c r="A18" s="2425" t="s">
        <v>2132</v>
      </c>
      <c r="B18" s="2426"/>
      <c r="C18" s="142">
        <f>ROUND(C17/SUM(C17:D17),2)</f>
        <v>0.5</v>
      </c>
      <c r="D18" s="142">
        <f>1-C18</f>
        <v>0.5</v>
      </c>
      <c r="E18" s="138"/>
      <c r="F18" s="138"/>
      <c r="G18" s="138"/>
      <c r="H18" s="138"/>
      <c r="I18" s="138"/>
      <c r="K18" s="2421" t="s">
        <v>2133</v>
      </c>
      <c r="L18" s="2421">
        <f>IF(C1="",'数据-汇总表'!E3,SUMIF(项目类型,C1,'数据-汇总表'!E17:E26)+SUMIF(项目类型,C1,'数据-汇总表'!I17:I26))</f>
        <v>264.85000000000002</v>
      </c>
      <c r="M18" s="2421">
        <f>IF(C1="",'数据-汇总表'!E3,SUMIF(项目类型,C1,'数据-汇总表'!E17:E26))</f>
        <v>264.85000000000002</v>
      </c>
    </row>
    <row r="19" spans="1:35" ht="14.4">
      <c r="A19" s="2427" t="s">
        <v>2134</v>
      </c>
      <c r="B19" s="2428" t="s">
        <v>2135</v>
      </c>
      <c r="C19" s="143">
        <f ca="1">SUMIF(INDIRECT("'"&amp;C4&amp;"'"&amp;"!A:A"),'结果表 (2601)'!B19,INDIRECT("'"&amp;C4&amp;"'"&amp;"!B:B"))</f>
        <v>970</v>
      </c>
      <c r="D19" s="144">
        <f ca="1">SUMIF(INDIRECT("'"&amp;D4&amp;"'"&amp;"!A:A"),'结果表 (2601)'!B19,INDIRECT("'"&amp;D4&amp;"'"&amp;"!B:B"))</f>
        <v>1201</v>
      </c>
      <c r="E19" s="2427" t="s">
        <v>2136</v>
      </c>
      <c r="F19" s="2428" t="s">
        <v>2135</v>
      </c>
      <c r="G19" s="145">
        <f ca="1">ROUND(C19*$C$18+D19*$D$18,0)</f>
        <v>1086</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4.4">
      <c r="A20" s="2430"/>
      <c r="B20" s="1245" t="s">
        <v>2139</v>
      </c>
      <c r="C20" s="146">
        <f ca="1">SUMIF(INDIRECT("'"&amp;C4&amp;"'"&amp;"!A:A"),'结果表 (2601)'!B20,INDIRECT("'"&amp;C4&amp;"'"&amp;"!B:B"))</f>
        <v>36643</v>
      </c>
      <c r="D20" s="147">
        <f ca="1">SUMIF(INDIRECT("'"&amp;D4&amp;"'"&amp;"!A:A"),'结果表 (2601)'!B20,INDIRECT("'"&amp;D4&amp;"'"&amp;"!B:B"))</f>
        <v>45340</v>
      </c>
      <c r="E20" s="2430"/>
      <c r="F20" s="1245" t="s">
        <v>2139</v>
      </c>
      <c r="G20" s="148">
        <f ca="1">ROUND(C20*$C$18+D20*$D$18,0)</f>
        <v>40992</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0.23814432989690726</v>
      </c>
      <c r="E22" s="138"/>
      <c r="F22" s="138"/>
      <c r="G22" s="138"/>
      <c r="H22" s="138"/>
      <c r="I22" s="138"/>
    </row>
    <row r="23" spans="1:35" ht="13.8" thickBot="1">
      <c r="A23" s="2411"/>
      <c r="B23" s="2411"/>
      <c r="C23" s="2411"/>
      <c r="D23" s="2411"/>
      <c r="E23" s="138"/>
      <c r="F23" s="138"/>
      <c r="G23" s="138"/>
      <c r="H23" s="138"/>
      <c r="I23" s="138"/>
    </row>
    <row r="24" spans="1:35" ht="14.4">
      <c r="A24" s="3104" t="s">
        <v>2143</v>
      </c>
      <c r="B24" s="2428" t="s">
        <v>2135</v>
      </c>
      <c r="C24" s="145">
        <f>IF(B30=0,0,D30)</f>
        <v>0</v>
      </c>
      <c r="D24" s="2435"/>
      <c r="E24" s="138"/>
      <c r="F24" s="138"/>
      <c r="G24" s="138"/>
      <c r="H24" s="138"/>
      <c r="I24" s="138"/>
    </row>
    <row r="25" spans="1:35" ht="14.4">
      <c r="A25" s="3105"/>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2148</v>
      </c>
      <c r="B30" s="151"/>
      <c r="C30" s="151"/>
      <c r="D30" s="151"/>
      <c r="E30" s="2910" t="s">
        <v>3021</v>
      </c>
      <c r="F30" s="138"/>
      <c r="G30" s="138"/>
      <c r="H30" s="138"/>
      <c r="I30" s="138"/>
    </row>
    <row r="31" spans="1:35" s="2439" customFormat="1" ht="14.4"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 thickBot="1">
      <c r="A32" s="2440" t="s">
        <v>2149</v>
      </c>
      <c r="B32" s="2441"/>
      <c r="C32" s="153">
        <f ca="1">IF(D32="总价",G19-C24,G20-C25)</f>
        <v>1086</v>
      </c>
      <c r="D32" s="2442" t="s">
        <v>2150</v>
      </c>
      <c r="E32" s="138"/>
      <c r="F32" s="138"/>
      <c r="G32" s="138"/>
      <c r="H32" s="138"/>
      <c r="I32" s="138"/>
    </row>
    <row r="33" spans="1:15" ht="14.4">
      <c r="A33" s="956" t="s">
        <v>2151</v>
      </c>
      <c r="B33" s="2443"/>
      <c r="C33" s="2444"/>
      <c r="D33" s="2445"/>
      <c r="E33" s="2446" t="s">
        <v>2152</v>
      </c>
      <c r="F33" s="2972" t="str">
        <f>IF(D32="楼面单价","取值（单价）","取值（总价）")</f>
        <v>取值（总价）</v>
      </c>
      <c r="G33" s="138"/>
      <c r="H33" s="138"/>
      <c r="I33" s="138"/>
    </row>
    <row r="34" spans="1:15" ht="14.4">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 thickBot="1">
      <c r="A36" s="3122" t="s">
        <v>2157</v>
      </c>
      <c r="B36" s="2454" t="s">
        <v>2158</v>
      </c>
      <c r="C36" s="154"/>
      <c r="D36" s="2455"/>
      <c r="E36" s="2456"/>
      <c r="F36" s="2457"/>
      <c r="G36" s="138"/>
      <c r="H36" s="138"/>
      <c r="I36" s="138"/>
    </row>
    <row r="37" spans="1:15" ht="15" thickBot="1">
      <c r="A37" s="3123"/>
      <c r="B37" s="2260" t="s">
        <v>2159</v>
      </c>
      <c r="C37" s="156"/>
      <c r="D37" s="1390"/>
      <c r="E37" s="1390"/>
      <c r="F37" s="2457"/>
      <c r="G37" s="138"/>
      <c r="H37" s="138"/>
      <c r="I37" s="138"/>
    </row>
    <row r="38" spans="1:15" ht="15" thickBot="1">
      <c r="A38" s="3124"/>
      <c r="B38" s="2458" t="s">
        <v>2160</v>
      </c>
      <c r="C38" s="726"/>
      <c r="D38" s="2459" t="s">
        <v>2161</v>
      </c>
      <c r="E38" s="1390"/>
      <c r="F38" s="2457"/>
      <c r="G38" s="138"/>
      <c r="H38" s="138"/>
      <c r="I38" s="138"/>
    </row>
    <row r="39" spans="1:15" ht="14.4">
      <c r="A39" s="2430" t="s">
        <v>2162</v>
      </c>
      <c r="B39" s="2460" t="s">
        <v>2145</v>
      </c>
      <c r="C39" s="2461" t="s">
        <v>2164</v>
      </c>
      <c r="D39" s="2461" t="s">
        <v>2165</v>
      </c>
      <c r="E39" s="2462" t="s">
        <v>2166</v>
      </c>
      <c r="F39" s="2457"/>
      <c r="G39" s="138"/>
      <c r="H39" s="138"/>
      <c r="I39" s="138"/>
    </row>
    <row r="40" spans="1:15" ht="13.8">
      <c r="A40" s="2463" t="s">
        <v>2167</v>
      </c>
      <c r="B40" s="158"/>
      <c r="C40" s="159"/>
      <c r="D40" s="159"/>
      <c r="E40" s="160"/>
      <c r="F40" s="2457"/>
      <c r="G40" s="138"/>
      <c r="H40" s="138"/>
      <c r="I40" s="138"/>
    </row>
    <row r="41" spans="1:15" ht="13.8">
      <c r="A41" s="2463" t="s">
        <v>2168</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8"/>
      <c r="B43" s="2158"/>
      <c r="C43" s="2158"/>
      <c r="D43" s="2158"/>
      <c r="E43" s="2158"/>
      <c r="F43" s="2465"/>
      <c r="G43" s="2465"/>
      <c r="H43" s="2465"/>
      <c r="I43" s="2466"/>
    </row>
    <row r="44" spans="1:15" ht="17.399999999999999">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01" t="s">
        <v>2171</v>
      </c>
      <c r="B45" s="3102"/>
      <c r="C45" s="3103"/>
      <c r="D45" s="164">
        <f ca="1">ROUND(H101*F45,0)</f>
        <v>1086</v>
      </c>
      <c r="E45" s="165" t="s">
        <v>2172</v>
      </c>
      <c r="F45" s="166">
        <v>1</v>
      </c>
      <c r="G45" s="167" t="s">
        <v>2173</v>
      </c>
      <c r="H45" s="138"/>
      <c r="I45" s="138"/>
      <c r="J45" s="3161" t="s">
        <v>2174</v>
      </c>
      <c r="K45" s="3161"/>
      <c r="L45" s="3161"/>
      <c r="M45" s="3161"/>
      <c r="N45" s="3161"/>
      <c r="O45" s="3161"/>
    </row>
    <row r="46" spans="1:15" ht="14.25" customHeight="1">
      <c r="A46" s="3098" t="s">
        <v>2175</v>
      </c>
      <c r="B46" s="3099"/>
      <c r="C46" s="3099"/>
      <c r="D46" s="3099"/>
      <c r="E46" s="3099"/>
      <c r="F46" s="3099"/>
      <c r="G46" s="3100"/>
      <c r="H46" s="2473"/>
      <c r="I46" s="168"/>
      <c r="J46" s="2977">
        <v>1</v>
      </c>
      <c r="K46" s="3161" t="s">
        <v>2176</v>
      </c>
      <c r="L46" s="3161"/>
      <c r="M46" s="3181"/>
      <c r="N46" s="3181"/>
      <c r="O46" s="3181"/>
    </row>
    <row r="47" spans="1:15" ht="12" customHeight="1">
      <c r="A47" s="169" t="s">
        <v>2177</v>
      </c>
      <c r="B47" s="170"/>
      <c r="C47" s="171"/>
      <c r="D47" s="172" t="s">
        <v>2178</v>
      </c>
      <c r="E47" s="24" t="s">
        <v>2179</v>
      </c>
      <c r="F47" s="173" t="s">
        <v>2180</v>
      </c>
      <c r="G47" s="174" t="s">
        <v>2181</v>
      </c>
      <c r="H47" s="2473"/>
      <c r="I47" s="168"/>
      <c r="J47" s="2977">
        <v>2</v>
      </c>
      <c r="K47" s="3161" t="s">
        <v>2182</v>
      </c>
      <c r="L47" s="3161"/>
      <c r="M47" s="3182">
        <f>'数据-取费表'!B2</f>
        <v>43849</v>
      </c>
      <c r="N47" s="3182"/>
      <c r="O47" s="3182"/>
    </row>
    <row r="48" spans="1:15" ht="26.4">
      <c r="A48" s="3129" t="s">
        <v>2183</v>
      </c>
      <c r="B48" s="3112"/>
      <c r="C48" s="3112"/>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161" t="s">
        <v>2186</v>
      </c>
      <c r="L48" s="3161"/>
      <c r="M48" s="3183">
        <f ca="1">H101</f>
        <v>1086</v>
      </c>
      <c r="N48" s="3183"/>
      <c r="O48" s="3183"/>
    </row>
    <row r="49" spans="1:35" ht="25.5" customHeight="1">
      <c r="A49" s="176" t="s">
        <v>2187</v>
      </c>
      <c r="B49" s="3097" t="s">
        <v>2188</v>
      </c>
      <c r="C49" s="3097"/>
      <c r="D49" s="177">
        <v>0</v>
      </c>
      <c r="E49" s="23" t="s">
        <v>2189</v>
      </c>
      <c r="F49" s="28" t="s">
        <v>34</v>
      </c>
      <c r="G49" s="3167"/>
      <c r="H49" s="138"/>
      <c r="I49" s="2476"/>
      <c r="J49" s="2977">
        <v>4</v>
      </c>
      <c r="K49" s="3161" t="str">
        <f>IF(项目基本情况!E8="房地产抵押价值","房地产抵押价值","抵押担保权已注销时的房地产抵押价值")</f>
        <v>房地产抵押价值</v>
      </c>
      <c r="L49" s="3161"/>
      <c r="M49" s="3183">
        <f ca="1">IF(项目基本情况!E8="房地产抵押价值",H107,H109)</f>
        <v>1086</v>
      </c>
      <c r="N49" s="3183"/>
      <c r="O49" s="3183"/>
    </row>
    <row r="50" spans="1:35" ht="25.5" customHeight="1">
      <c r="A50" s="178"/>
      <c r="B50" s="3097" t="s">
        <v>2190</v>
      </c>
      <c r="C50" s="3097"/>
      <c r="D50" s="179"/>
      <c r="E50" s="31"/>
      <c r="F50" s="180"/>
      <c r="G50" s="3168"/>
      <c r="H50" s="138"/>
      <c r="I50" s="2476"/>
      <c r="J50" s="3161" t="s">
        <v>2191</v>
      </c>
      <c r="K50" s="3161"/>
      <c r="L50" s="3161"/>
      <c r="M50" s="3161"/>
      <c r="N50" s="3161"/>
      <c r="O50" s="3161"/>
    </row>
    <row r="51" spans="1:35" ht="12" customHeight="1">
      <c r="A51" s="181"/>
      <c r="B51" s="3097" t="s">
        <v>2192</v>
      </c>
      <c r="C51" s="3097"/>
      <c r="D51" s="182"/>
      <c r="E51" s="30"/>
      <c r="F51" s="180"/>
      <c r="G51" s="3169"/>
      <c r="H51" s="138"/>
      <c r="I51" s="2476"/>
      <c r="J51" s="2974" t="s">
        <v>2193</v>
      </c>
      <c r="K51" s="3161" t="s">
        <v>2194</v>
      </c>
      <c r="L51" s="3161"/>
      <c r="M51" s="2974" t="s">
        <v>2195</v>
      </c>
      <c r="N51" s="2974" t="s">
        <v>2196</v>
      </c>
      <c r="O51" s="2974" t="s">
        <v>2197</v>
      </c>
    </row>
    <row r="52" spans="1:35" ht="24" customHeight="1">
      <c r="A52" s="183" t="s">
        <v>2198</v>
      </c>
      <c r="B52" s="3097" t="s">
        <v>2199</v>
      </c>
      <c r="C52" s="3097"/>
      <c r="D52" s="182">
        <f ca="1">ROUND(D45*'数据-取费表'!B41/(1+'数据-取费表'!C42),0)</f>
        <v>58</v>
      </c>
      <c r="E52" s="11" t="s">
        <v>2200</v>
      </c>
      <c r="F52" s="184">
        <f>'数据-取费表'!B41</f>
        <v>5.6000000000000001E-2</v>
      </c>
      <c r="G52" s="2478"/>
      <c r="H52" s="138"/>
      <c r="I52" s="2476"/>
      <c r="J52" s="2977">
        <v>1</v>
      </c>
      <c r="K52" s="3162" t="s">
        <v>2201</v>
      </c>
      <c r="L52" s="3162"/>
      <c r="M52" s="1749">
        <f>D48</f>
        <v>0</v>
      </c>
      <c r="N52" s="2977" t="str">
        <f>E48</f>
        <v>销售额×税（费）率</v>
      </c>
      <c r="O52" s="1750" t="str">
        <f>F48</f>
        <v>免征</v>
      </c>
    </row>
    <row r="53" spans="1:35" ht="12" customHeight="1">
      <c r="A53" s="183" t="s">
        <v>2202</v>
      </c>
      <c r="B53" s="3120" t="s">
        <v>2203</v>
      </c>
      <c r="C53" s="3121"/>
      <c r="D53" s="182">
        <f ca="1">ROUND(D45*'数据-取费表'!B41/(1+'数据-取费表'!C42),0)</f>
        <v>58</v>
      </c>
      <c r="E53" s="11" t="s">
        <v>2200</v>
      </c>
      <c r="F53" s="184">
        <f>'数据-取费表'!B41</f>
        <v>5.6000000000000001E-2</v>
      </c>
      <c r="G53" s="2478"/>
      <c r="H53" s="138"/>
      <c r="I53" s="2476"/>
      <c r="J53" s="2977">
        <v>2</v>
      </c>
      <c r="K53" s="3162" t="s">
        <v>2204</v>
      </c>
      <c r="L53" s="3162"/>
      <c r="M53" s="1749">
        <f t="shared" ref="M53:O54" ca="1" si="0">D55</f>
        <v>1</v>
      </c>
      <c r="N53" s="2977" t="str">
        <f t="shared" si="0"/>
        <v>销售额×税（费）率</v>
      </c>
      <c r="O53" s="1750">
        <f t="shared" si="0"/>
        <v>5.0000000000000001E-4</v>
      </c>
    </row>
    <row r="54" spans="1:35" ht="12" customHeight="1">
      <c r="A54" s="183" t="s">
        <v>2205</v>
      </c>
      <c r="B54" s="3120" t="s">
        <v>2206</v>
      </c>
      <c r="C54" s="3121"/>
      <c r="D54" s="182">
        <f ca="1">C68</f>
        <v>58</v>
      </c>
      <c r="E54" s="30" t="s">
        <v>2207</v>
      </c>
      <c r="F54" s="184">
        <f>'数据-取费表'!B41</f>
        <v>5.6000000000000001E-2</v>
      </c>
      <c r="G54" s="2478"/>
      <c r="H54" s="2479"/>
      <c r="I54" s="2476"/>
      <c r="J54" s="2977">
        <v>3</v>
      </c>
      <c r="K54" s="3162" t="s">
        <v>2208</v>
      </c>
      <c r="L54" s="3162"/>
      <c r="M54" s="1749">
        <f t="shared" ca="1" si="0"/>
        <v>615</v>
      </c>
      <c r="N54" s="2977" t="str">
        <f t="shared" si="0"/>
        <v>增值额×税（费）率</v>
      </c>
      <c r="O54" s="1751" t="str">
        <f t="shared" si="0"/>
        <v>——</v>
      </c>
    </row>
    <row r="55" spans="1:35" ht="24" customHeight="1">
      <c r="A55" s="3111" t="s">
        <v>2209</v>
      </c>
      <c r="B55" s="3112"/>
      <c r="C55" s="3112"/>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62" t="str">
        <f>IF(H59="非个人房产","——","个人所得税")</f>
        <v>——</v>
      </c>
      <c r="L55" s="3162"/>
      <c r="M55" s="1752" t="str">
        <f>D59</f>
        <v>——</v>
      </c>
      <c r="N55" s="2978" t="str">
        <f>E59</f>
        <v>——</v>
      </c>
      <c r="O55" s="1753" t="str">
        <f>F59</f>
        <v>——</v>
      </c>
    </row>
    <row r="56" spans="1:35" ht="25.2">
      <c r="A56" s="3111" t="s">
        <v>2212</v>
      </c>
      <c r="B56" s="3112"/>
      <c r="C56" s="3112"/>
      <c r="D56" s="185">
        <f ca="1">IF(H56="个人住宅",D57,D58)</f>
        <v>615</v>
      </c>
      <c r="E56" s="11" t="s">
        <v>2213</v>
      </c>
      <c r="F56" s="184" t="str">
        <f>IF(H56="正常",F58,"免征")</f>
        <v>——</v>
      </c>
      <c r="G56" s="2480" t="s">
        <v>2214</v>
      </c>
      <c r="H56" s="2481" t="s">
        <v>2211</v>
      </c>
      <c r="I56" s="2482"/>
      <c r="J56" s="2977" t="str">
        <f>IF(项目基本情况!K6="上海银行",IF(J55="",4,J55+1),"")</f>
        <v/>
      </c>
      <c r="K56" s="3185" t="str">
        <f>IF(项目基本情况!K6="上海银行","其他处置费用","")</f>
        <v/>
      </c>
      <c r="L56" s="3186"/>
      <c r="M56" s="1749" t="str">
        <f>IF(项目基本情况!K6="上海银行",M69,"")</f>
        <v/>
      </c>
      <c r="N56" s="3188" t="str">
        <f>IF(项目基本情况!K6="上海银行","包含处置中涉及的律师、诉讼、拍卖、评估等费用","")</f>
        <v/>
      </c>
      <c r="O56" s="3189"/>
    </row>
    <row r="57" spans="1:35" ht="13.2">
      <c r="A57" s="183" t="s">
        <v>2187</v>
      </c>
      <c r="B57" s="3127" t="s">
        <v>2215</v>
      </c>
      <c r="C57" s="3136"/>
      <c r="D57" s="187">
        <v>0</v>
      </c>
      <c r="E57" s="23" t="s">
        <v>2189</v>
      </c>
      <c r="F57" s="155"/>
      <c r="G57" s="2478"/>
      <c r="H57" s="2482"/>
      <c r="I57" s="2482"/>
      <c r="J57" s="3162">
        <f>IF(AND(J55="",J56=""),4,IF(项目基本情况!K6="上海银行",'结果表 (2601)'!J56+1,'结果表 (2601)'!J55+1))</f>
        <v>4</v>
      </c>
      <c r="K57" s="3162" t="s">
        <v>2216</v>
      </c>
      <c r="L57" s="2483" t="s">
        <v>2217</v>
      </c>
      <c r="M57" s="1754"/>
      <c r="N57" s="1755">
        <f ca="1">SUMIF(M52:M56,"&lt;9e307")</f>
        <v>616</v>
      </c>
      <c r="O57" s="2484"/>
      <c r="P57" s="1748">
        <f ca="1">N57/M49</f>
        <v>0.56721915285451197</v>
      </c>
    </row>
    <row r="58" spans="1:35" ht="25.2">
      <c r="A58" s="183" t="s">
        <v>2198</v>
      </c>
      <c r="B58" s="3127" t="s">
        <v>2218</v>
      </c>
      <c r="C58" s="3128"/>
      <c r="D58" s="185">
        <f ca="1">IF(H58="转让取得",C81,C97)</f>
        <v>615</v>
      </c>
      <c r="E58" s="11" t="s">
        <v>2213</v>
      </c>
      <c r="F58" s="24" t="s">
        <v>34</v>
      </c>
      <c r="G58" s="2478"/>
      <c r="H58" s="2481" t="s">
        <v>2219</v>
      </c>
      <c r="I58" s="2482"/>
      <c r="J58" s="3162"/>
      <c r="K58" s="3162"/>
      <c r="L58" s="2483" t="s">
        <v>2220</v>
      </c>
      <c r="M58" s="1756"/>
      <c r="N58" s="2485" t="str">
        <f ca="1">NUMBERSTRING(INT(N57*10000),2)&amp;"元整"</f>
        <v>陆佰壹拾陆万元整</v>
      </c>
      <c r="O58" s="2486"/>
    </row>
    <row r="59" spans="1:35" ht="24.6" thickBot="1">
      <c r="A59" s="3165" t="s">
        <v>2221</v>
      </c>
      <c r="B59" s="3166"/>
      <c r="C59" s="3166"/>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3">
        <f>J57+1</f>
        <v>5</v>
      </c>
      <c r="K59" s="3162" t="s">
        <v>2223</v>
      </c>
      <c r="L59" s="2977" t="s">
        <v>2217</v>
      </c>
      <c r="M59" s="1757"/>
      <c r="N59" s="1758">
        <f ca="1">M49-N57</f>
        <v>470</v>
      </c>
      <c r="O59" s="2488"/>
    </row>
    <row r="60" spans="1:35" ht="12" customHeight="1">
      <c r="A60" s="2489"/>
      <c r="B60" s="2411"/>
      <c r="C60" s="2411"/>
      <c r="D60" s="2411"/>
      <c r="E60" s="2159"/>
      <c r="F60" s="2482"/>
      <c r="G60" s="2482"/>
      <c r="H60" s="2490"/>
      <c r="I60" s="138"/>
      <c r="J60" s="3164"/>
      <c r="K60" s="3162"/>
      <c r="L60" s="2483" t="s">
        <v>2220</v>
      </c>
      <c r="M60" s="1756"/>
      <c r="N60" s="2485" t="str">
        <f ca="1">NUMBERSTRING(INT(N59*10000),2)&amp;"元整"</f>
        <v>肆佰柒拾万元整</v>
      </c>
      <c r="O60" s="2486"/>
    </row>
    <row r="61" spans="1:35" ht="13.8" thickBot="1">
      <c r="A61" s="3109" t="s">
        <v>2224</v>
      </c>
      <c r="B61" s="3109"/>
      <c r="C61" s="3109"/>
      <c r="D61" s="3109"/>
      <c r="E61" s="3109"/>
      <c r="F61" s="2482"/>
      <c r="G61" s="2482"/>
      <c r="H61" s="2490"/>
      <c r="I61" s="138"/>
      <c r="J61" s="2977">
        <f>J59+1</f>
        <v>6</v>
      </c>
      <c r="K61" s="3162" t="s">
        <v>2225</v>
      </c>
      <c r="L61" s="3162"/>
      <c r="M61" s="1759"/>
      <c r="N61" s="1760">
        <f ca="1">ROUND(N59*10000/'数据-汇总表'!E3,0)</f>
        <v>6113</v>
      </c>
      <c r="O61" s="2491"/>
    </row>
    <row r="62" spans="1:35" ht="13.2">
      <c r="A62" s="3125" t="s">
        <v>2226</v>
      </c>
      <c r="B62" s="3126"/>
      <c r="C62" s="2982"/>
      <c r="D62" s="2982" t="s">
        <v>2227</v>
      </c>
      <c r="E62" s="192" t="s">
        <v>2228</v>
      </c>
      <c r="F62" s="2482"/>
      <c r="G62" s="2482"/>
      <c r="H62" s="2490"/>
      <c r="I62" s="138"/>
    </row>
    <row r="63" spans="1:35" ht="13.2">
      <c r="A63" s="203" t="s">
        <v>775</v>
      </c>
      <c r="B63" s="193" t="s">
        <v>2229</v>
      </c>
      <c r="C63" s="194">
        <f ca="1">ROUND((C64+C65)/(1+'数据-取费表'!C42),0)</f>
        <v>1034</v>
      </c>
      <c r="D63" s="195"/>
      <c r="E63" s="196"/>
      <c r="F63" s="2482"/>
      <c r="G63" s="2482"/>
      <c r="H63" s="2490"/>
      <c r="I63" s="138"/>
      <c r="J63" s="3187" t="s">
        <v>2230</v>
      </c>
      <c r="K63" s="2975" t="s">
        <v>2231</v>
      </c>
      <c r="L63" s="1747">
        <f ca="1">IF(M49&gt;10000,M49*0.5%,IF(AND(M49&gt;1000,M49&lt;=10000),M49*1%,IF(AND(M49&gt;100,M49&lt;=1000),M49*3%,IF(AND(M49&gt;10,M49&lt;=100),M49*5%,M49*8%))))</f>
        <v>10.86</v>
      </c>
      <c r="M63" s="24">
        <f ca="1">ROUND(L63,1)</f>
        <v>10.9</v>
      </c>
      <c r="Z63" s="2416"/>
      <c r="AI63" s="2417"/>
    </row>
    <row r="64" spans="1:35" ht="14.25" customHeight="1">
      <c r="A64" s="197" t="s">
        <v>770</v>
      </c>
      <c r="B64" s="198" t="s">
        <v>2232</v>
      </c>
      <c r="C64" s="199">
        <f ca="1">D45</f>
        <v>1086</v>
      </c>
      <c r="D64" s="200" t="s">
        <v>32</v>
      </c>
      <c r="E64" s="201"/>
      <c r="F64" s="2482"/>
      <c r="G64" s="2482"/>
      <c r="H64" s="2490"/>
      <c r="I64" s="138"/>
      <c r="J64" s="3187"/>
      <c r="K64" s="2975" t="s">
        <v>2233</v>
      </c>
      <c r="L64" s="1747">
        <f ca="1">IF(M49&gt;2000,M49*0.5%,IF(AND(M49&gt;1000,M49&lt;=2000),M49*0.6%,IF(AND(M49&gt;500,M49&lt;=1000),M49*0.7%,IF(AND(M49&gt;200,M49&lt;=500),M49*0.8%,IF(AND(M49&gt;100,M49&lt;=200),M49*0.9%,IF(AND(M49&gt;50,M49&lt;=100),M49*1%,IF(AND(M49&gt;20,M49&lt;=50),M49*1.5%,IF(AND(M49&gt;10,M49&lt;=20),M49*2%,IF(AND(M49&gt;1,M49&lt;=10),M49*2.5%)))))))))</f>
        <v>6.516</v>
      </c>
      <c r="M64" s="24">
        <f t="shared" ref="M64:M65" ca="1" si="1">ROUND(L64,1)</f>
        <v>6.5</v>
      </c>
      <c r="N64" s="138" t="s">
        <v>2234</v>
      </c>
      <c r="Z64" s="2416"/>
      <c r="AI64" s="2417"/>
    </row>
    <row r="65" spans="1:35" ht="14.25" customHeight="1">
      <c r="A65" s="197" t="s">
        <v>771</v>
      </c>
      <c r="B65" s="198" t="s">
        <v>2235</v>
      </c>
      <c r="C65" s="202"/>
      <c r="D65" s="200"/>
      <c r="E65" s="201"/>
      <c r="F65" s="2482"/>
      <c r="G65" s="2482"/>
      <c r="H65" s="2490"/>
      <c r="I65" s="138"/>
      <c r="J65" s="3187"/>
      <c r="K65" s="2975" t="s">
        <v>2236</v>
      </c>
      <c r="L65" s="1747">
        <f ca="1">IF(M49&gt;1000,M49*0.1%,IF(AND(M49&gt;500,M49&lt;=1000),M49*0.5%,IF(AND(M49&gt;50,M49&lt;=500),M49*1%,IF(AND(M49&gt;1,M49&lt;=50),M49*1.5%))))</f>
        <v>1.0860000000000001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87"/>
      <c r="K66" s="2975" t="s">
        <v>2238</v>
      </c>
      <c r="L66" s="1747">
        <f ca="1">M49*0.5%</f>
        <v>5.43</v>
      </c>
      <c r="M66" s="24">
        <f ca="1">IF(L66&gt;0.5,0.5,ROUND(L66,0))</f>
        <v>0.5</v>
      </c>
      <c r="N66" s="138" t="s">
        <v>2239</v>
      </c>
      <c r="Z66" s="2416"/>
      <c r="AI66" s="2417"/>
    </row>
    <row r="67" spans="1:35" ht="14.25" customHeight="1">
      <c r="A67" s="203" t="s">
        <v>773</v>
      </c>
      <c r="B67" s="204" t="s">
        <v>2240</v>
      </c>
      <c r="C67" s="207">
        <f ca="1">C63-C66</f>
        <v>1034</v>
      </c>
      <c r="D67" s="200" t="s">
        <v>32</v>
      </c>
      <c r="E67" s="201"/>
      <c r="F67" s="2482"/>
      <c r="G67" s="2482"/>
      <c r="H67" s="2490"/>
      <c r="I67" s="138"/>
      <c r="J67" s="3187"/>
      <c r="K67" s="2975" t="s">
        <v>2241</v>
      </c>
      <c r="L67" s="1747">
        <f ca="1">IF(M49&gt;=10000,(8.25+(M49-10000)*0.01%),IF(AND(M49&gt;=8000,M49&lt;10000),(7.85+(M49-8000)*0.02%),IF(AND(M49&gt;=5000,M49&lt;8000),(6.65+(M49-5000)*0.04%),IF(AND(M49&gt;=2000,M49&lt;5000),(4.25+(PM49-2000)*0.08%),IF(AND(M49&gt;=1000,M49&lt;2000),(2.75+(M49-1000)*0.15%),IF(AND(M49&gt;=100,M49&lt;1000),(0.5+(M49-100)*0.25%),IF(AND(M49&gt;0,M49&lt;100),M49*0.5%)))))))</f>
        <v>2.879</v>
      </c>
      <c r="M67" s="24">
        <f ca="1">ROUND(L67*0.9,1)</f>
        <v>2.6</v>
      </c>
      <c r="Z67" s="2416"/>
      <c r="AI67" s="2417"/>
    </row>
    <row r="68" spans="1:35" ht="14.25" customHeight="1" thickBot="1">
      <c r="A68" s="208" t="s">
        <v>774</v>
      </c>
      <c r="B68" s="209" t="s">
        <v>2242</v>
      </c>
      <c r="C68" s="210">
        <f ca="1">IF(C67&lt;=0,0,ROUND(C67*D68,0))</f>
        <v>58</v>
      </c>
      <c r="D68" s="211">
        <f>'数据-取费表'!B41</f>
        <v>5.6000000000000001E-2</v>
      </c>
      <c r="E68" s="212"/>
      <c r="F68" s="2482"/>
      <c r="G68" s="2482"/>
      <c r="H68" s="2490"/>
      <c r="I68" s="138"/>
      <c r="J68" s="3187"/>
      <c r="K68" s="2975" t="s">
        <v>2243</v>
      </c>
      <c r="L68" s="1747">
        <f ca="1">IF(M49&gt;10000,M49*0.5%,IF(AND(M49&gt;5000,M49&lt;=10000),M49*1%,IF(AND(M49&gt;1000,M49&lt;=5000),M49*2%,IF(AND(M49&gt;200,M49&lt;=1000),M49*3%,M49*5%))))</f>
        <v>21.72</v>
      </c>
      <c r="M68" s="24">
        <f ca="1">ROUND(L68,1)</f>
        <v>21.7</v>
      </c>
      <c r="Z68" s="2416"/>
      <c r="AI68" s="2417"/>
    </row>
    <row r="69" spans="1:35" s="2439" customFormat="1" ht="16.5" customHeight="1">
      <c r="A69" s="2493"/>
      <c r="B69" s="2494"/>
      <c r="C69" s="2495"/>
      <c r="D69" s="2496"/>
      <c r="E69" s="2497"/>
      <c r="F69" s="2159"/>
      <c r="G69" s="2159"/>
      <c r="H69" s="2158"/>
      <c r="I69" s="2411"/>
      <c r="J69" s="3187"/>
      <c r="K69" s="2975" t="s">
        <v>2244</v>
      </c>
      <c r="L69" s="2498"/>
      <c r="M69" s="24">
        <f ca="1">ROUND(SUM(M63:M68),0)</f>
        <v>43</v>
      </c>
      <c r="N69" s="1748">
        <f ca="1">M69/M49</f>
        <v>3.959484346224678E-2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4.4" thickBot="1">
      <c r="A70" s="3146" t="s">
        <v>2245</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25" t="s">
        <v>2226</v>
      </c>
      <c r="B71" s="3126"/>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775</v>
      </c>
      <c r="B72" s="204" t="s">
        <v>2246</v>
      </c>
      <c r="C72" s="207">
        <f ca="1">ROUND(D45/(1+'数据-取费表'!C42),0)</f>
        <v>1034</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20" t="s">
        <v>2254</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06" t="s">
        <v>2259</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779</v>
      </c>
      <c r="B79" s="204" t="s">
        <v>2260</v>
      </c>
      <c r="C79" s="207">
        <f ca="1">C72-C73</f>
        <v>1028</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171.33333333333334</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781</v>
      </c>
      <c r="B81" s="209" t="s">
        <v>2262</v>
      </c>
      <c r="C81" s="228">
        <f ca="1">ROUND(IF(C79&lt;=0,0,IF(C80&gt;=200%,C79*60%-C73*35%,IF(C80&gt;=100%,C79*50%-C73*15%,IF(C80&gt;=50%,C79*40%-C73*5%,IF(C80&lt;50%,C79*30%,0))))),0)</f>
        <v>615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46" t="s">
        <v>2263</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25" t="s">
        <v>2226</v>
      </c>
      <c r="B84" s="3126"/>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775</v>
      </c>
      <c r="B85" s="204" t="s">
        <v>2246</v>
      </c>
      <c r="C85" s="207">
        <f ca="1">ROUND(D45/(1+'数据-取费表'!C42),0)</f>
        <v>1034</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06" t="s">
        <v>2272</v>
      </c>
      <c r="F91" s="3107"/>
      <c r="G91" s="3107"/>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06" t="s">
        <v>2276</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06" t="s">
        <v>2259</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17" t="s">
        <v>2280</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779</v>
      </c>
      <c r="B95" s="204" t="s">
        <v>2260</v>
      </c>
      <c r="C95" s="207">
        <f ca="1">ROUND(C85-C86,0)</f>
        <v>1028</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171.33333333333334</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781</v>
      </c>
      <c r="B97" s="209" t="s">
        <v>2262</v>
      </c>
      <c r="C97" s="228">
        <f ca="1">ROUND(IF(C95&lt;=0,0,IF(C96&gt;=200%,C95*60%-C86*35%,IF(C96&gt;=100%,C95*50%-C86*15%,IF(C96&gt;=50%,C95*40%-C86*5%,IF(C96&lt;50%,C95*30%,0))))),0)</f>
        <v>615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08"/>
      <c r="E100" s="3092" t="s">
        <v>2283</v>
      </c>
      <c r="F100" s="3092"/>
      <c r="G100" s="3092"/>
      <c r="H100" s="3108"/>
      <c r="I100" s="138"/>
    </row>
    <row r="101" spans="1:35" ht="18.75" customHeight="1">
      <c r="A101" s="3170" t="s">
        <v>2284</v>
      </c>
      <c r="B101" s="3171"/>
      <c r="C101" s="735" t="str">
        <f>C4</f>
        <v>收益法 (元)</v>
      </c>
      <c r="D101" s="736" t="str">
        <f>D4</f>
        <v>比较法-办公</v>
      </c>
      <c r="E101" s="3184" t="s">
        <v>2285</v>
      </c>
      <c r="F101" s="3138"/>
      <c r="G101" s="2513" t="s">
        <v>2286</v>
      </c>
      <c r="H101" s="1044">
        <f ca="1">H118</f>
        <v>1086</v>
      </c>
      <c r="I101" s="138"/>
    </row>
    <row r="102" spans="1:35" ht="18.75" customHeight="1">
      <c r="A102" s="3140" t="s">
        <v>2287</v>
      </c>
      <c r="B102" s="2513" t="s">
        <v>2286</v>
      </c>
      <c r="C102" s="735">
        <f ca="1">C19</f>
        <v>970</v>
      </c>
      <c r="D102" s="736">
        <f ca="1">D19</f>
        <v>1201</v>
      </c>
      <c r="E102" s="3184"/>
      <c r="F102" s="3138"/>
      <c r="G102" s="2513" t="s">
        <v>2288</v>
      </c>
      <c r="H102" s="371">
        <f ca="1">I118</f>
        <v>41004</v>
      </c>
      <c r="I102" s="138"/>
    </row>
    <row r="103" spans="1:35" ht="42.75" customHeight="1">
      <c r="A103" s="3140"/>
      <c r="B103" s="2513" t="s">
        <v>2288</v>
      </c>
      <c r="C103" s="737">
        <f ca="1">C20</f>
        <v>36643</v>
      </c>
      <c r="D103" s="738">
        <f ca="1">D20</f>
        <v>45340</v>
      </c>
      <c r="E103" s="3179" t="s">
        <v>2289</v>
      </c>
      <c r="F103" s="3180"/>
      <c r="G103" s="2514" t="s">
        <v>2290</v>
      </c>
      <c r="H103" s="1044">
        <f>IF(D36="正常操作",H104+H105+H106,H105+H106)</f>
        <v>0</v>
      </c>
      <c r="I103" s="138"/>
    </row>
    <row r="104" spans="1:35" ht="18.75" customHeight="1">
      <c r="A104" s="3140" t="s">
        <v>2291</v>
      </c>
      <c r="B104" s="2515" t="s">
        <v>2286</v>
      </c>
      <c r="C104" s="739">
        <f ca="1">H118</f>
        <v>1086</v>
      </c>
      <c r="D104" s="740"/>
      <c r="E104" s="2260" t="s">
        <v>2292</v>
      </c>
      <c r="F104" s="2251"/>
      <c r="G104" s="2514" t="s">
        <v>2290</v>
      </c>
      <c r="H104" s="1045">
        <f>IF(D36="同一抵押权人同一抵押物续贷",C36&amp;"（未扣减，详见特别提示）",C36)</f>
        <v>0</v>
      </c>
      <c r="I104" s="138"/>
    </row>
    <row r="105" spans="1:35" ht="18.75" customHeight="1" thickBot="1">
      <c r="A105" s="3141"/>
      <c r="B105" s="2516" t="s">
        <v>2288</v>
      </c>
      <c r="C105" s="741">
        <f ca="1">I118</f>
        <v>41004</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7" t="str">
        <f>IF(项目基本情况!E8="已注销","——","3.房地产抵押价值")</f>
        <v>3.房地产抵押价值</v>
      </c>
      <c r="F107" s="3138"/>
      <c r="G107" s="2513" t="s">
        <v>2286</v>
      </c>
      <c r="H107" s="1044">
        <f ca="1">IF(E107="——","——",H101-H103)</f>
        <v>1086</v>
      </c>
      <c r="I107" s="138"/>
    </row>
    <row r="108" spans="1:35" ht="18.75" customHeight="1">
      <c r="A108" s="138"/>
      <c r="B108" s="138"/>
      <c r="C108" s="138"/>
      <c r="D108" s="138"/>
      <c r="E108" s="3137"/>
      <c r="F108" s="3138"/>
      <c r="G108" s="2513" t="s">
        <v>2288</v>
      </c>
      <c r="H108" s="371">
        <f ca="1">ROUND(H107*10000/'数据-汇总表'!E3,0)</f>
        <v>14124</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3" t="s">
        <v>2286</v>
      </c>
      <c r="H109" s="348" t="str">
        <f>IF(E109="——","——",H101-H105-H106)</f>
        <v>——</v>
      </c>
      <c r="I109" s="138"/>
    </row>
    <row r="110" spans="1:35" ht="18.75" customHeight="1">
      <c r="A110" s="138"/>
      <c r="B110" s="138"/>
      <c r="C110" s="138"/>
      <c r="D110" s="138"/>
      <c r="E110" s="3137"/>
      <c r="F110" s="3138"/>
      <c r="G110" s="2513" t="s">
        <v>2288</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3" t="s">
        <v>2286</v>
      </c>
      <c r="H111" s="1044" t="str">
        <f>IF(E111="——","——",N59)</f>
        <v>——</v>
      </c>
      <c r="I111" s="138"/>
    </row>
    <row r="112" spans="1:35" ht="18.75" customHeight="1" thickBot="1">
      <c r="A112" s="138"/>
      <c r="B112" s="138"/>
      <c r="C112" s="138"/>
      <c r="D112" s="138"/>
      <c r="E112" s="3174"/>
      <c r="F112" s="3175"/>
      <c r="G112" s="2518" t="s">
        <v>2288</v>
      </c>
      <c r="H112" s="789" t="str">
        <f>IF(E111="——","——",N61)</f>
        <v>——</v>
      </c>
      <c r="I112" s="138"/>
    </row>
    <row r="113" spans="1:11" ht="18.75" customHeight="1">
      <c r="A113" s="138"/>
      <c r="B113" s="138"/>
      <c r="C113" s="138"/>
      <c r="D113" s="138"/>
      <c r="E113" s="3142" t="s">
        <v>2294</v>
      </c>
      <c r="F113" s="3142"/>
      <c r="G113" s="3142"/>
      <c r="H113" s="3142"/>
      <c r="I113" s="138"/>
    </row>
    <row r="114" spans="1:11" ht="3.75" customHeight="1">
      <c r="A114" s="2411"/>
      <c r="B114" s="2411"/>
      <c r="C114" s="2411"/>
      <c r="D114" s="2411"/>
      <c r="E114" s="2489"/>
      <c r="F114" s="2489"/>
      <c r="G114" s="2489"/>
      <c r="H114" s="2489"/>
      <c r="I114" s="2411"/>
    </row>
    <row r="115" spans="1:11" ht="18.75" customHeight="1">
      <c r="A115" s="3155" t="s">
        <v>2296</v>
      </c>
      <c r="B115" s="3156"/>
      <c r="C115" s="3156"/>
      <c r="D115" s="3156"/>
      <c r="E115" s="3156"/>
      <c r="F115" s="3156"/>
      <c r="G115" s="3156"/>
      <c r="H115" s="3156"/>
      <c r="I115" s="3157"/>
    </row>
    <row r="116" spans="1:11" ht="27" customHeight="1">
      <c r="A116" s="3048" t="s">
        <v>2297</v>
      </c>
      <c r="B116" s="3143" t="s">
        <v>2298</v>
      </c>
      <c r="C116" s="3143" t="s">
        <v>2299</v>
      </c>
      <c r="D116" s="3159" t="s">
        <v>2300</v>
      </c>
      <c r="E116" s="3160"/>
      <c r="F116" s="3151" t="s">
        <v>2301</v>
      </c>
      <c r="G116" s="3151"/>
      <c r="H116" s="3048" t="s">
        <v>2302</v>
      </c>
      <c r="I116" s="3048"/>
    </row>
    <row r="117" spans="1:11" ht="18.75" customHeight="1">
      <c r="A117" s="3048"/>
      <c r="B117" s="3144"/>
      <c r="C117" s="314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264.85000000000002</v>
      </c>
      <c r="C118" s="2973">
        <f>M19</f>
        <v>0</v>
      </c>
      <c r="D118" s="2973" t="e">
        <f ca="1">ROUND(IF(D32="总价",C34,E118*B118/10000),0)</f>
        <v>#REF!</v>
      </c>
      <c r="E118" s="2973" t="e">
        <f ca="1">ROUND(IF(C33="自定义",IF(D32="楼面单价",C34,D118*10000/B118),I118-G118),0)</f>
        <v>#REF!</v>
      </c>
      <c r="F118" s="2973" t="e">
        <f ca="1">ROUND(IF(D32="总价",C35,G118*B118/10000),0)</f>
        <v>#REF!</v>
      </c>
      <c r="G118" s="2973" t="e">
        <f ca="1">ROUND(IF(D32="楼面单价",C35,F118*10000/B118),0)</f>
        <v>#REF!</v>
      </c>
      <c r="H118" s="2973">
        <f ca="1">ROUND(IF(D32="总价",C32,I118*B118/10000),0)</f>
        <v>1086</v>
      </c>
      <c r="I118" s="2973">
        <f ca="1">ROUND(IF(D32="楼面单价",C32,H118*10000/B118),0)</f>
        <v>41004</v>
      </c>
    </row>
    <row r="119" spans="1:11" ht="18.75" customHeight="1">
      <c r="A119" s="3048" t="s">
        <v>2306</v>
      </c>
      <c r="B119" s="3048"/>
      <c r="C119" s="3048"/>
      <c r="D119" s="3148" t="e">
        <f ca="1">NUMBERSTRING(INT(D118*10000),2)&amp;"元整"</f>
        <v>#REF!</v>
      </c>
      <c r="E119" s="3150"/>
      <c r="F119" s="3148" t="e">
        <f ca="1">NUMBERSTRING(INT(F118*10000),2)&amp;"元整"</f>
        <v>#REF!</v>
      </c>
      <c r="G119" s="3150"/>
      <c r="H119" s="3148" t="str">
        <f ca="1">NUMBERSTRING(INT(H118*10000),2)&amp;"元整"</f>
        <v>壹仟零捌拾陆万元整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2306</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1086</v>
      </c>
      <c r="E122" s="3177"/>
      <c r="F122" s="3177"/>
      <c r="G122" s="3177"/>
      <c r="H122" s="3177"/>
      <c r="I122" s="3178"/>
    </row>
    <row r="123" spans="1:11" ht="18.75" customHeight="1">
      <c r="A123" s="3048" t="s">
        <v>2306</v>
      </c>
      <c r="B123" s="3048"/>
      <c r="C123" s="3048"/>
      <c r="D123" s="3148" t="str">
        <f ca="1">NUMBERSTRING(INT(D122*10000),2)&amp;"元整"</f>
        <v>壹仟零捌拾陆万元整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2306</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2306</v>
      </c>
      <c r="B127" s="3048"/>
      <c r="C127" s="3048"/>
      <c r="D127" s="3148" t="e">
        <f>NUMBERSTRING(INT(D126*10000),2)&amp;"元整"</f>
        <v>#VALUE!</v>
      </c>
      <c r="E127" s="3149"/>
      <c r="F127" s="3149"/>
      <c r="G127" s="3149"/>
      <c r="H127" s="3149"/>
      <c r="I127" s="3150"/>
    </row>
    <row r="128" spans="1:11" ht="21.75" customHeight="1">
      <c r="A128" s="3158" t="s">
        <v>2307</v>
      </c>
      <c r="B128" s="3158"/>
      <c r="C128" s="3158"/>
      <c r="D128" s="3158"/>
      <c r="E128" s="3158"/>
      <c r="F128" s="3158"/>
      <c r="G128" s="3158"/>
      <c r="H128" s="3158"/>
      <c r="I128" s="315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3066</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8"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8" thickBot="1">
      <c r="A47" s="1164" t="s">
        <v>1391</v>
      </c>
      <c r="B47" s="1196" t="s">
        <v>1392</v>
      </c>
      <c r="C47" s="1365" t="s">
        <v>1393</v>
      </c>
      <c r="D47" s="1196" t="s">
        <v>1394</v>
      </c>
      <c r="E47" s="1277" t="s">
        <v>1395</v>
      </c>
      <c r="F47" s="1278"/>
      <c r="G47" s="791"/>
      <c r="I47" s="1878" t="s">
        <v>1521</v>
      </c>
      <c r="J47" s="1879" t="s">
        <v>3068</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40.200000000000003" thickBot="1">
      <c r="A48" s="1358" t="s">
        <v>1132</v>
      </c>
      <c r="B48" s="345" t="s">
        <v>1396</v>
      </c>
      <c r="C48" s="1815" t="e">
        <f ca="1">C49+C53+C55</f>
        <v>#N/A</v>
      </c>
      <c r="D48" s="1360"/>
      <c r="E48" s="1361"/>
      <c r="F48" s="1180"/>
      <c r="G48" s="791"/>
      <c r="H48" s="792"/>
      <c r="I48" s="1885" t="s">
        <v>1525</v>
      </c>
      <c r="J48" s="1886" t="s">
        <v>3069</v>
      </c>
      <c r="K48" s="1887" t="s">
        <v>1526</v>
      </c>
      <c r="L48" s="1888" t="e">
        <f ca="1">INDIRECT("'数据-取费表'!f"&amp;$G$1)</f>
        <v>#N/A</v>
      </c>
      <c r="O48" s="1882" t="s">
        <v>1038</v>
      </c>
      <c r="P48" s="1883" t="s">
        <v>1527</v>
      </c>
      <c r="Q48" s="1884" t="e">
        <f ca="1">J60</f>
        <v>#N/A</v>
      </c>
      <c r="R48" s="1884" t="s">
        <v>1528</v>
      </c>
    </row>
    <row r="49" spans="1:18" s="1840" customFormat="1" ht="13.8"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8"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8"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8"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36.6"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24.6"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37.200000000000003" thickTop="1" thickBot="1">
      <c r="A56" s="1175">
        <v>2</v>
      </c>
      <c r="B56" s="1176" t="s">
        <v>1409</v>
      </c>
      <c r="C56" s="276" t="e">
        <f ca="1">C13</f>
        <v>#N/A</v>
      </c>
      <c r="D56" s="1911"/>
      <c r="E56" s="1912"/>
      <c r="F56" s="1904"/>
      <c r="I56" s="1913" t="s">
        <v>1549</v>
      </c>
      <c r="J56" s="1914" t="s">
        <v>3061</v>
      </c>
      <c r="K56" s="1885" t="s">
        <v>1550</v>
      </c>
      <c r="L56" s="1888" t="e">
        <f ca="1">IF(L48&lt;J51,"——",L48-J53)</f>
        <v>#N/A</v>
      </c>
      <c r="O56" s="1882" t="s">
        <v>1037</v>
      </c>
      <c r="P56" s="1883" t="s">
        <v>1523</v>
      </c>
      <c r="Q56" s="1884" t="e">
        <f ca="1">C40+J29</f>
        <v>#N/A</v>
      </c>
      <c r="R56" s="1884" t="s">
        <v>1524</v>
      </c>
    </row>
    <row r="57" spans="1:18" s="1840" customFormat="1" ht="24.6"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6"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6"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2"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8"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8"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8"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2"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24.6"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2"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8"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8" thickBot="1">
      <c r="A70" s="1172"/>
      <c r="B70" s="1173"/>
      <c r="C70" s="355"/>
      <c r="D70" s="1184"/>
      <c r="E70" s="1168" t="s">
        <v>1472</v>
      </c>
      <c r="F70" s="1273"/>
      <c r="O70" s="1892" t="s">
        <v>1046</v>
      </c>
      <c r="P70" s="1931" t="s">
        <v>1580</v>
      </c>
      <c r="Q70" s="1884" t="e">
        <f ca="1">C13</f>
        <v>#N/A</v>
      </c>
      <c r="R70" s="1884" t="s">
        <v>1524</v>
      </c>
    </row>
    <row r="71" spans="1:18" s="1840" customFormat="1" ht="13.8"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#N/A</v>
      </c>
      <c r="R73" s="1884" t="s">
        <v>1563</v>
      </c>
    </row>
    <row r="74" spans="1:18" ht="13.8"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8"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N29" sqref="N2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7.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4" t="s">
        <v>2675</v>
      </c>
      <c r="C1" s="1618" t="s">
        <v>2519</v>
      </c>
      <c r="D1" s="1619" t="s">
        <v>3163</v>
      </c>
      <c r="E1" s="1628"/>
      <c r="F1" s="2579" t="s">
        <v>3070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1201</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45340</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20" t="s">
        <v>2640</v>
      </c>
      <c r="Q4" s="3221"/>
      <c r="R4" s="3226" t="s">
        <v>2636</v>
      </c>
      <c r="S4" s="3227"/>
      <c r="T4" s="3226" t="s">
        <v>2637</v>
      </c>
      <c r="U4" s="3227"/>
      <c r="V4" s="3232" t="s">
        <v>2638</v>
      </c>
      <c r="W4" s="3232"/>
      <c r="X4" s="2665"/>
      <c r="Y4" s="3226" t="s">
        <v>2640</v>
      </c>
      <c r="Z4" s="3227"/>
      <c r="AA4" s="3244" t="s">
        <v>2636</v>
      </c>
      <c r="AB4" s="3244" t="s">
        <v>2637</v>
      </c>
      <c r="AC4" s="3213" t="s">
        <v>2638</v>
      </c>
    </row>
    <row r="5" spans="1:29">
      <c r="A5" s="404"/>
      <c r="B5" s="405"/>
      <c r="C5" s="3242" t="s">
        <v>3168</v>
      </c>
      <c r="D5" s="3243"/>
      <c r="E5" s="3236" t="s">
        <v>3169</v>
      </c>
      <c r="F5" s="3237"/>
      <c r="G5" s="3236" t="s">
        <v>3154</v>
      </c>
      <c r="H5" s="3237"/>
      <c r="I5" s="3236" t="s">
        <v>3155</v>
      </c>
      <c r="J5" s="3237"/>
      <c r="K5" s="610"/>
      <c r="L5" s="1129"/>
      <c r="M5" s="1130"/>
      <c r="N5" s="1130"/>
      <c r="O5" s="1130"/>
      <c r="P5" s="3222"/>
      <c r="Q5" s="3223"/>
      <c r="R5" s="3228"/>
      <c r="S5" s="3229"/>
      <c r="T5" s="3228"/>
      <c r="U5" s="3229"/>
      <c r="V5" s="3233"/>
      <c r="W5" s="3233"/>
      <c r="X5" s="1811"/>
      <c r="Y5" s="3228"/>
      <c r="Z5" s="3229"/>
      <c r="AA5" s="3245"/>
      <c r="AB5" s="3245"/>
      <c r="AC5" s="3214"/>
    </row>
    <row r="6" spans="1:29" ht="15.75" customHeight="1" thickBot="1">
      <c r="A6" s="406"/>
      <c r="B6" s="407"/>
      <c r="C6" s="3234" t="s">
        <v>3133</v>
      </c>
      <c r="D6" s="3235"/>
      <c r="E6" s="3234" t="s">
        <v>3127</v>
      </c>
      <c r="F6" s="3235"/>
      <c r="G6" s="3234" t="s">
        <v>3130</v>
      </c>
      <c r="H6" s="3235"/>
      <c r="I6" s="3234" t="s">
        <v>3132</v>
      </c>
      <c r="J6" s="3235"/>
      <c r="K6" s="610" t="s">
        <v>2536</v>
      </c>
      <c r="L6" s="1129"/>
      <c r="M6" s="1130"/>
      <c r="N6" s="1130"/>
      <c r="O6" s="1130"/>
      <c r="P6" s="3224"/>
      <c r="Q6" s="3225"/>
      <c r="R6" s="3228"/>
      <c r="S6" s="3229"/>
      <c r="T6" s="3230"/>
      <c r="U6" s="3231"/>
      <c r="V6" s="3233"/>
      <c r="W6" s="3233"/>
      <c r="X6" s="1811"/>
      <c r="Y6" s="3230"/>
      <c r="Z6" s="3231"/>
      <c r="AA6" s="3246"/>
      <c r="AB6" s="3246"/>
      <c r="AC6" s="3215"/>
    </row>
    <row r="7" spans="1:29" s="117" customFormat="1" ht="1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8" t="s">
        <v>2538</v>
      </c>
      <c r="Q7" s="3241"/>
      <c r="R7" s="769" t="s">
        <v>17</v>
      </c>
      <c r="S7" s="770">
        <f t="shared" ref="S7:S15" si="0">F7</f>
        <v>100</v>
      </c>
      <c r="T7" s="769" t="s">
        <v>17</v>
      </c>
      <c r="U7" s="770">
        <f t="shared" ref="U7:U15" si="1">H7</f>
        <v>100</v>
      </c>
      <c r="V7" s="769" t="s">
        <v>17</v>
      </c>
      <c r="W7" s="770">
        <f t="shared" ref="W7:W15" si="2">J7</f>
        <v>100</v>
      </c>
      <c r="X7" s="771"/>
      <c r="Y7" s="3240" t="s">
        <v>2538</v>
      </c>
      <c r="Z7" s="3239"/>
      <c r="AA7" s="772">
        <f>D7/F7</f>
        <v>1</v>
      </c>
      <c r="AB7" s="772">
        <f>D7/H7</f>
        <v>1</v>
      </c>
      <c r="AC7" s="2666">
        <f>D7/J7</f>
        <v>1</v>
      </c>
    </row>
    <row r="8" spans="1:29" s="117" customFormat="1" ht="15" thickBot="1">
      <c r="A8" s="408" t="s">
        <v>2539</v>
      </c>
      <c r="B8" s="409"/>
      <c r="C8" s="414" t="s">
        <v>2641</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8" t="s">
        <v>2541</v>
      </c>
      <c r="Q8" s="3239"/>
      <c r="R8" s="769" t="s">
        <v>17</v>
      </c>
      <c r="S8" s="770">
        <f t="shared" si="0"/>
        <v>100</v>
      </c>
      <c r="T8" s="769" t="s">
        <v>17</v>
      </c>
      <c r="U8" s="770">
        <f t="shared" si="1"/>
        <v>100</v>
      </c>
      <c r="V8" s="769" t="s">
        <v>17</v>
      </c>
      <c r="W8" s="770">
        <f t="shared" si="2"/>
        <v>100</v>
      </c>
      <c r="X8" s="771"/>
      <c r="Y8" s="3240" t="s">
        <v>2541</v>
      </c>
      <c r="Z8" s="3239"/>
      <c r="AA8" s="772">
        <f t="shared" ref="AA8:AA47" si="3">D8/F8</f>
        <v>1</v>
      </c>
      <c r="AB8" s="772">
        <f t="shared" ref="AB8:AB47" si="4">D8/H8</f>
        <v>1</v>
      </c>
      <c r="AC8" s="2666">
        <f t="shared" ref="AC8:AC47" si="5">D8/J8</f>
        <v>1</v>
      </c>
    </row>
    <row r="9" spans="1:29" s="117" customFormat="1" ht="14.4">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2666">
        <f t="shared" si="5"/>
        <v>1</v>
      </c>
    </row>
    <row r="10" spans="1:29" s="427" customFormat="1" ht="28.8">
      <c r="A10" s="421"/>
      <c r="B10" s="422"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198"/>
      <c r="Q11" s="1793" t="str">
        <f t="shared" si="6"/>
        <v>容积率</v>
      </c>
      <c r="R11" s="769" t="s">
        <v>17</v>
      </c>
      <c r="S11" s="770">
        <f t="shared" si="0"/>
        <v>100</v>
      </c>
      <c r="T11" s="769" t="s">
        <v>17</v>
      </c>
      <c r="U11" s="770">
        <f t="shared" si="1"/>
        <v>100</v>
      </c>
      <c r="V11" s="769" t="s">
        <v>17</v>
      </c>
      <c r="W11" s="770">
        <f t="shared" si="2"/>
        <v>100</v>
      </c>
      <c r="X11" s="771"/>
      <c r="Y11" s="3048"/>
      <c r="Z11" s="55"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198"/>
      <c r="Q12" s="1793">
        <f t="shared" si="6"/>
        <v>0</v>
      </c>
      <c r="R12" s="769" t="s">
        <v>17</v>
      </c>
      <c r="S12" s="770">
        <f t="shared" si="0"/>
        <v>100</v>
      </c>
      <c r="T12" s="769" t="s">
        <v>17</v>
      </c>
      <c r="U12" s="770">
        <f t="shared" si="1"/>
        <v>100</v>
      </c>
      <c r="V12" s="769" t="s">
        <v>17</v>
      </c>
      <c r="W12" s="770">
        <f t="shared" si="2"/>
        <v>100</v>
      </c>
      <c r="X12" s="771"/>
      <c r="Y12" s="3048"/>
      <c r="Z12" s="55">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198"/>
      <c r="Q13" s="1793">
        <f t="shared" si="6"/>
        <v>0</v>
      </c>
      <c r="R13" s="769" t="s">
        <v>17</v>
      </c>
      <c r="S13" s="770">
        <f t="shared" si="0"/>
        <v>100</v>
      </c>
      <c r="T13" s="769" t="s">
        <v>17</v>
      </c>
      <c r="U13" s="770">
        <f t="shared" si="1"/>
        <v>100</v>
      </c>
      <c r="V13" s="769" t="s">
        <v>17</v>
      </c>
      <c r="W13" s="770">
        <f t="shared" si="2"/>
        <v>100</v>
      </c>
      <c r="X13" s="771"/>
      <c r="Y13" s="3048"/>
      <c r="Z13" s="55">
        <f t="shared" si="7"/>
        <v>0</v>
      </c>
      <c r="AA13" s="772">
        <f t="shared" si="3"/>
        <v>1</v>
      </c>
      <c r="AB13" s="772">
        <f t="shared" si="4"/>
        <v>1</v>
      </c>
      <c r="AC13" s="2666">
        <f t="shared" si="5"/>
        <v>1</v>
      </c>
    </row>
    <row r="14" spans="1:29" ht="15.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198"/>
      <c r="Q14" s="1793">
        <f t="shared" si="6"/>
        <v>0</v>
      </c>
      <c r="R14" s="769" t="s">
        <v>17</v>
      </c>
      <c r="S14" s="770">
        <f t="shared" si="0"/>
        <v>100</v>
      </c>
      <c r="T14" s="769" t="s">
        <v>17</v>
      </c>
      <c r="U14" s="770">
        <f t="shared" si="1"/>
        <v>100</v>
      </c>
      <c r="V14" s="769" t="s">
        <v>17</v>
      </c>
      <c r="W14" s="770">
        <f t="shared" si="2"/>
        <v>100</v>
      </c>
      <c r="X14" s="771"/>
      <c r="Y14" s="3048"/>
      <c r="Z14" s="55">
        <f t="shared" si="7"/>
        <v>0</v>
      </c>
      <c r="AA14" s="772">
        <f t="shared" si="3"/>
        <v>1</v>
      </c>
      <c r="AB14" s="772">
        <f t="shared" si="4"/>
        <v>1</v>
      </c>
      <c r="AC14" s="2666">
        <f t="shared" si="5"/>
        <v>1</v>
      </c>
    </row>
    <row r="15" spans="1:29" ht="144">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3141</v>
      </c>
      <c r="F15" s="441">
        <f>SUMIF(77:77,E16,78:78)-SUMIF(77:77,C16,78:78)+100</f>
        <v>100</v>
      </c>
      <c r="G15" s="2988" t="s">
        <v>3142</v>
      </c>
      <c r="H15" s="441">
        <f>SUMIF(77:77,G16,78:78)-SUMIF(77:77,C16,78:78)+100</f>
        <v>100</v>
      </c>
      <c r="I15" s="2988" t="s">
        <v>3143</v>
      </c>
      <c r="J15" s="441">
        <f>SUMIF(77:77,I16,78:78)-SUMIF(77:77,C16,78:78)+100</f>
        <v>100</v>
      </c>
      <c r="K15" s="614">
        <v>2</v>
      </c>
      <c r="L15" s="1139"/>
      <c r="M15" s="1130"/>
      <c r="N15" s="1130"/>
      <c r="O15" s="1130"/>
      <c r="P15" s="3204" t="s">
        <v>2549</v>
      </c>
      <c r="Q15" s="1808" t="str">
        <f t="shared" si="6"/>
        <v>办公集聚程度</v>
      </c>
      <c r="R15" s="773" t="s">
        <v>17</v>
      </c>
      <c r="S15" s="774">
        <f t="shared" si="0"/>
        <v>100</v>
      </c>
      <c r="T15" s="773" t="s">
        <v>17</v>
      </c>
      <c r="U15" s="774">
        <f t="shared" si="1"/>
        <v>100</v>
      </c>
      <c r="V15" s="773" t="s">
        <v>17</v>
      </c>
      <c r="W15" s="774">
        <f t="shared" si="2"/>
        <v>100</v>
      </c>
      <c r="X15" s="1811"/>
      <c r="Y15" s="3206" t="s">
        <v>2549</v>
      </c>
      <c r="Z15" s="1812" t="str">
        <f t="shared" si="7"/>
        <v>办公集聚程度</v>
      </c>
      <c r="AA15" s="1809">
        <f t="shared" si="3"/>
        <v>1</v>
      </c>
      <c r="AB15" s="1809">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05"/>
      <c r="Q16" s="1808"/>
      <c r="R16" s="773"/>
      <c r="S16" s="774"/>
      <c r="T16" s="773"/>
      <c r="U16" s="774"/>
      <c r="V16" s="773"/>
      <c r="W16" s="774"/>
      <c r="X16" s="1811"/>
      <c r="Y16" s="3207"/>
      <c r="Z16" s="1812"/>
      <c r="AA16" s="1809">
        <v>1</v>
      </c>
      <c r="AB16" s="1809">
        <v>1</v>
      </c>
      <c r="AC16" s="2669">
        <v>1</v>
      </c>
    </row>
    <row r="17" spans="1:29" ht="288">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3144</v>
      </c>
      <c r="F17" s="450">
        <f>SUMIF(79:79,E18,80:80)-SUMIF(79:79,C18,80:80)+100</f>
        <v>100</v>
      </c>
      <c r="G17" s="454" t="s">
        <v>3144</v>
      </c>
      <c r="H17" s="455">
        <f>SUMIF(79:79,G18,80:80)-SUMIF(79:79,C18,80:80)+100</f>
        <v>100</v>
      </c>
      <c r="I17" s="454" t="s">
        <v>3144</v>
      </c>
      <c r="J17" s="455">
        <f>SUMIF(79:79,I18,80:80)-SUMIF(79:79,C18,80:80)+100</f>
        <v>100</v>
      </c>
      <c r="K17" s="614">
        <v>1</v>
      </c>
      <c r="L17" s="1139"/>
      <c r="M17" s="1130"/>
      <c r="N17" s="1130"/>
      <c r="O17" s="1130"/>
      <c r="P17" s="3205"/>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05"/>
      <c r="Q18" s="1808"/>
      <c r="R18" s="773"/>
      <c r="S18" s="774"/>
      <c r="T18" s="773"/>
      <c r="U18" s="774"/>
      <c r="V18" s="773"/>
      <c r="W18" s="774"/>
      <c r="X18" s="1811"/>
      <c r="Y18" s="3207"/>
      <c r="Z18" s="1812"/>
      <c r="AA18" s="1809">
        <v>1</v>
      </c>
      <c r="AB18" s="1809">
        <v>1</v>
      </c>
      <c r="AC18" s="2669">
        <v>1</v>
      </c>
    </row>
    <row r="19" spans="1:29" ht="288">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3146</v>
      </c>
      <c r="F19" s="455">
        <f>SUMIF(81:81,E20,82:82)-SUMIF(81:81,C20,82:82)+100</f>
        <v>100</v>
      </c>
      <c r="G19" s="2989" t="s">
        <v>3145</v>
      </c>
      <c r="H19" s="450">
        <f>SUMIF(81:81,G20,82:82)-SUMIF(81:81,C20,82:82)+100</f>
        <v>100</v>
      </c>
      <c r="I19" s="2989" t="s">
        <v>3145</v>
      </c>
      <c r="J19" s="450">
        <f>SUMIF(81:81,I20,82:82)-SUMIF(81:81,C20,82:82)+100</f>
        <v>100</v>
      </c>
      <c r="K19" s="614">
        <v>1</v>
      </c>
      <c r="L19" s="1139"/>
      <c r="M19" s="1130"/>
      <c r="N19" s="1130"/>
      <c r="O19" s="1130"/>
      <c r="P19" s="3205"/>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05"/>
      <c r="Q20" s="1808"/>
      <c r="R20" s="773"/>
      <c r="S20" s="774"/>
      <c r="T20" s="773"/>
      <c r="U20" s="774"/>
      <c r="V20" s="773"/>
      <c r="W20" s="774"/>
      <c r="X20" s="1811"/>
      <c r="Y20" s="3207"/>
      <c r="Z20" s="1812"/>
      <c r="AA20" s="1809">
        <v>1</v>
      </c>
      <c r="AB20" s="1809">
        <v>1</v>
      </c>
      <c r="AC20" s="2669">
        <v>1</v>
      </c>
    </row>
    <row r="21" spans="1:29" ht="28.8">
      <c r="A21" s="428"/>
      <c r="B21" s="633" t="s">
        <v>2678</v>
      </c>
      <c r="C21" s="2670" t="str">
        <f>估价对象房地状况!C8</f>
        <v>区域基础设施水平为七通</v>
      </c>
      <c r="D21" s="450">
        <v>100</v>
      </c>
      <c r="E21" s="2990" t="s">
        <v>3139</v>
      </c>
      <c r="F21" s="455">
        <f>SUMIF(83:83,E22,84:84)-SUMIF(83:83,C22,84:84)+100</f>
        <v>100</v>
      </c>
      <c r="G21" s="2989" t="s">
        <v>3139</v>
      </c>
      <c r="H21" s="450">
        <f>SUMIF(83:83,G22,84:84)-SUMIF(83:83,C22,84:84)+100</f>
        <v>100</v>
      </c>
      <c r="I21" s="2989" t="s">
        <v>3139</v>
      </c>
      <c r="J21" s="450">
        <f>SUMIF(83:83,I22,84:84)-SUMIF(83:83,C22,84:84)+100</f>
        <v>100</v>
      </c>
      <c r="K21" s="614">
        <v>2</v>
      </c>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05"/>
      <c r="Q22" s="1808"/>
      <c r="R22" s="773"/>
      <c r="S22" s="774"/>
      <c r="T22" s="773"/>
      <c r="U22" s="774"/>
      <c r="V22" s="773"/>
      <c r="W22" s="774"/>
      <c r="X22" s="1811"/>
      <c r="Y22" s="3207"/>
      <c r="Z22" s="1812"/>
      <c r="AA22" s="1809">
        <v>1</v>
      </c>
      <c r="AB22" s="1809">
        <v>1</v>
      </c>
      <c r="AC22" s="2669">
        <v>1</v>
      </c>
    </row>
    <row r="23" spans="1:29" ht="230.4">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3149</v>
      </c>
      <c r="F23" s="450">
        <f>SUMIF(85:85,E24,86:86)-SUMIF(85:85,C24,86:86)+100</f>
        <v>100</v>
      </c>
      <c r="G23" s="2992" t="s">
        <v>3148</v>
      </c>
      <c r="H23" s="450">
        <f>SUMIF(85:85,G24,86:86)-SUMIF(85:85,C24,86:86)+100</f>
        <v>100</v>
      </c>
      <c r="I23" s="2992" t="s">
        <v>3148</v>
      </c>
      <c r="J23" s="450">
        <f>SUMIF(85:85,I24,86:86)-SUMIF(85:85,C24,86:86)+100</f>
        <v>100</v>
      </c>
      <c r="K23" s="614">
        <v>2</v>
      </c>
      <c r="L23" s="1139"/>
      <c r="M23" s="1130"/>
      <c r="N23" s="1130"/>
      <c r="O23" s="1130"/>
      <c r="P23" s="3205"/>
      <c r="Q23" s="1808" t="str">
        <f>B23</f>
        <v>环境质量</v>
      </c>
      <c r="R23" s="773" t="s">
        <v>17</v>
      </c>
      <c r="S23" s="774">
        <f>F23</f>
        <v>100</v>
      </c>
      <c r="T23" s="773" t="s">
        <v>17</v>
      </c>
      <c r="U23" s="774">
        <f>H23</f>
        <v>100</v>
      </c>
      <c r="V23" s="773" t="s">
        <v>17</v>
      </c>
      <c r="W23" s="774">
        <f>J23</f>
        <v>100</v>
      </c>
      <c r="X23" s="1811"/>
      <c r="Y23" s="3207"/>
      <c r="Z23" s="1812" t="str">
        <f>Q23</f>
        <v>环境质量</v>
      </c>
      <c r="AA23" s="1809">
        <f t="shared" si="3"/>
        <v>1</v>
      </c>
      <c r="AB23" s="1809">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05"/>
      <c r="Q24" s="1808"/>
      <c r="R24" s="773"/>
      <c r="S24" s="774"/>
      <c r="T24" s="773"/>
      <c r="U24" s="774"/>
      <c r="V24" s="773"/>
      <c r="W24" s="774"/>
      <c r="X24" s="1811"/>
      <c r="Y24" s="3207"/>
      <c r="Z24" s="1812"/>
      <c r="AA24" s="1809">
        <v>1</v>
      </c>
      <c r="AB24" s="1809">
        <v>1</v>
      </c>
      <c r="AC24" s="2669">
        <v>1</v>
      </c>
    </row>
    <row r="25" spans="1:29" ht="28.8">
      <c r="A25" s="404"/>
      <c r="B25" s="631" t="s">
        <v>2680</v>
      </c>
      <c r="C25" s="2963" t="s">
        <v>3119</v>
      </c>
      <c r="D25" s="435">
        <v>100</v>
      </c>
      <c r="E25" s="2963" t="s">
        <v>3136</v>
      </c>
      <c r="F25" s="435">
        <f>SUMIF(87:87,E26,88:88)-SUMIF(87:87,C26,88:88)+100</f>
        <v>98</v>
      </c>
      <c r="G25" s="2963" t="s">
        <v>3129</v>
      </c>
      <c r="H25" s="435">
        <f>SUMIF(87:87,G26,88:88)-SUMIF(87:87,C26,88:88)+100</f>
        <v>98</v>
      </c>
      <c r="I25" s="2963" t="s">
        <v>3129</v>
      </c>
      <c r="J25" s="435">
        <f>SUMIF(87:87,I26,88:88)-SUMIF(87:87,C26,88:88)+100</f>
        <v>98</v>
      </c>
      <c r="K25" s="614">
        <v>1</v>
      </c>
      <c r="L25" s="1139"/>
      <c r="M25" s="1130"/>
      <c r="N25" s="1130"/>
      <c r="O25" s="1130"/>
      <c r="P25" s="3205"/>
      <c r="Q25" s="1808" t="str">
        <f>B25</f>
        <v>毗邻道路的类型与等级</v>
      </c>
      <c r="R25" s="773" t="s">
        <v>17</v>
      </c>
      <c r="S25" s="774">
        <f>F25</f>
        <v>98</v>
      </c>
      <c r="T25" s="773" t="s">
        <v>17</v>
      </c>
      <c r="U25" s="774">
        <f>H25</f>
        <v>98</v>
      </c>
      <c r="V25" s="773" t="s">
        <v>17</v>
      </c>
      <c r="W25" s="774">
        <f>J25</f>
        <v>98</v>
      </c>
      <c r="X25" s="1811"/>
      <c r="Y25" s="3207"/>
      <c r="Z25" s="1812" t="str">
        <f>Q25</f>
        <v>毗邻道路的类型与等级</v>
      </c>
      <c r="AA25" s="1809">
        <f t="shared" si="3"/>
        <v>1.0204081632653061</v>
      </c>
      <c r="AB25" s="1809">
        <f t="shared" si="4"/>
        <v>1.0204081632653061</v>
      </c>
      <c r="AC25" s="2669">
        <f t="shared" si="5"/>
        <v>1.0204081632653061</v>
      </c>
    </row>
    <row r="26" spans="1:29" ht="15">
      <c r="A26" s="404"/>
      <c r="B26" s="632"/>
      <c r="C26" s="634" t="s">
        <v>3085</v>
      </c>
      <c r="D26" s="435"/>
      <c r="E26" s="616" t="s">
        <v>3088</v>
      </c>
      <c r="F26" s="435"/>
      <c r="G26" s="634" t="s">
        <v>3088</v>
      </c>
      <c r="H26" s="435"/>
      <c r="I26" s="634" t="s">
        <v>3088</v>
      </c>
      <c r="J26" s="435"/>
      <c r="K26" s="615"/>
      <c r="L26" s="1139"/>
      <c r="M26" s="1130"/>
      <c r="N26" s="1130"/>
      <c r="O26" s="1130"/>
      <c r="P26" s="3205"/>
      <c r="Q26" s="1808"/>
      <c r="R26" s="773"/>
      <c r="S26" s="774"/>
      <c r="T26" s="773"/>
      <c r="U26" s="774"/>
      <c r="V26" s="773"/>
      <c r="W26" s="774"/>
      <c r="X26" s="1811"/>
      <c r="Y26" s="3207"/>
      <c r="Z26" s="1812"/>
      <c r="AA26" s="1809">
        <v>1</v>
      </c>
      <c r="AB26" s="1809">
        <v>1</v>
      </c>
      <c r="AC26" s="2669">
        <v>1</v>
      </c>
    </row>
    <row r="27" spans="1:29" ht="15">
      <c r="A27" s="428"/>
      <c r="B27" s="632" t="s">
        <v>2648</v>
      </c>
      <c r="C27" s="634" t="s">
        <v>3091</v>
      </c>
      <c r="D27" s="435">
        <v>100</v>
      </c>
      <c r="E27" s="616" t="s">
        <v>3091</v>
      </c>
      <c r="F27" s="435">
        <f>SUMIF(89:89,E27,90:90)-SUMIF(89:89,C27,90:90)+100</f>
        <v>100</v>
      </c>
      <c r="G27" s="634" t="s">
        <v>3063</v>
      </c>
      <c r="H27" s="435">
        <f>SUMIF(89:89,G27,90:90)-SUMIF(89:89,C27,90:90)+100</f>
        <v>98</v>
      </c>
      <c r="I27" s="616" t="s">
        <v>3093</v>
      </c>
      <c r="J27" s="435">
        <f>SUMIF(89:89,I27,90:90)-SUMIF(89:89,C27,90:90)+100</f>
        <v>99</v>
      </c>
      <c r="K27" s="612">
        <v>1</v>
      </c>
      <c r="L27" s="1139"/>
      <c r="M27" s="1130"/>
      <c r="N27" s="1130"/>
      <c r="O27" s="1130"/>
      <c r="P27" s="3205"/>
      <c r="Q27" s="1808" t="str">
        <f t="shared" ref="Q27:Q47" si="11">B27</f>
        <v>楼层</v>
      </c>
      <c r="R27" s="773" t="s">
        <v>17</v>
      </c>
      <c r="S27" s="774">
        <f>F27</f>
        <v>100</v>
      </c>
      <c r="T27" s="773" t="s">
        <v>17</v>
      </c>
      <c r="U27" s="774">
        <f>H27</f>
        <v>98</v>
      </c>
      <c r="V27" s="773" t="s">
        <v>17</v>
      </c>
      <c r="W27" s="774">
        <f>J27</f>
        <v>99</v>
      </c>
      <c r="X27" s="1811"/>
      <c r="Y27" s="3207"/>
      <c r="Z27" s="1812" t="str">
        <f>Q27</f>
        <v>楼层</v>
      </c>
      <c r="AA27" s="1809">
        <f t="shared" si="3"/>
        <v>1</v>
      </c>
      <c r="AB27" s="1809">
        <f t="shared" si="4"/>
        <v>1.0204081632653061</v>
      </c>
      <c r="AC27" s="2669">
        <f t="shared" si="5"/>
        <v>1.0101010101010102</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05"/>
      <c r="Q28" s="1793" t="str">
        <f t="shared" si="11"/>
        <v>朝向</v>
      </c>
      <c r="R28" s="769" t="s">
        <v>17</v>
      </c>
      <c r="S28" s="770">
        <f>F28</f>
        <v>100</v>
      </c>
      <c r="T28" s="769" t="s">
        <v>17</v>
      </c>
      <c r="U28" s="770">
        <f>H28</f>
        <v>100</v>
      </c>
      <c r="V28" s="769" t="s">
        <v>17</v>
      </c>
      <c r="W28" s="770">
        <f>J28</f>
        <v>100</v>
      </c>
      <c r="X28" s="771"/>
      <c r="Y28" s="3207"/>
      <c r="Z28" s="55" t="str">
        <f>Q28</f>
        <v>朝向</v>
      </c>
      <c r="AA28" s="1809">
        <f>D28/F28</f>
        <v>1</v>
      </c>
      <c r="AB28" s="1809">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05"/>
      <c r="Q29" s="1808">
        <f t="shared" si="11"/>
        <v>0</v>
      </c>
      <c r="R29" s="773" t="s">
        <v>17</v>
      </c>
      <c r="S29" s="774">
        <f t="shared" ref="S29:S47" si="12">F29</f>
        <v>100</v>
      </c>
      <c r="T29" s="773" t="s">
        <v>17</v>
      </c>
      <c r="U29" s="774">
        <f t="shared" ref="U29:U47" si="13">H29</f>
        <v>100</v>
      </c>
      <c r="V29" s="773" t="s">
        <v>17</v>
      </c>
      <c r="W29" s="774">
        <f t="shared" ref="W29:W47" si="14">J29</f>
        <v>100</v>
      </c>
      <c r="X29" s="1811"/>
      <c r="Y29" s="3207"/>
      <c r="Z29" s="1812">
        <f t="shared" ref="Z29:Z47" si="15">Q29</f>
        <v>0</v>
      </c>
      <c r="AA29" s="1809">
        <f t="shared" si="3"/>
        <v>1</v>
      </c>
      <c r="AB29" s="1809">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05"/>
      <c r="Q30" s="1808">
        <f t="shared" si="11"/>
        <v>0</v>
      </c>
      <c r="R30" s="773" t="s">
        <v>17</v>
      </c>
      <c r="S30" s="774">
        <f t="shared" si="12"/>
        <v>100</v>
      </c>
      <c r="T30" s="773" t="s">
        <v>17</v>
      </c>
      <c r="U30" s="774">
        <f t="shared" si="13"/>
        <v>100</v>
      </c>
      <c r="V30" s="773" t="s">
        <v>17</v>
      </c>
      <c r="W30" s="774">
        <f t="shared" si="14"/>
        <v>100</v>
      </c>
      <c r="X30" s="1811"/>
      <c r="Y30" s="3207"/>
      <c r="Z30" s="1812">
        <f t="shared" si="15"/>
        <v>0</v>
      </c>
      <c r="AA30" s="1809">
        <f t="shared" si="3"/>
        <v>1</v>
      </c>
      <c r="AB30" s="1809">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05"/>
      <c r="Q31" s="1808">
        <f t="shared" si="11"/>
        <v>0</v>
      </c>
      <c r="R31" s="773" t="s">
        <v>17</v>
      </c>
      <c r="S31" s="774">
        <f t="shared" si="12"/>
        <v>100</v>
      </c>
      <c r="T31" s="773" t="s">
        <v>17</v>
      </c>
      <c r="U31" s="774">
        <f t="shared" si="13"/>
        <v>100</v>
      </c>
      <c r="V31" s="773" t="s">
        <v>17</v>
      </c>
      <c r="W31" s="774">
        <f t="shared" si="14"/>
        <v>100</v>
      </c>
      <c r="X31" s="1811"/>
      <c r="Y31" s="3207"/>
      <c r="Z31" s="1812">
        <f t="shared" si="15"/>
        <v>0</v>
      </c>
      <c r="AA31" s="1809">
        <f t="shared" si="3"/>
        <v>1</v>
      </c>
      <c r="AB31" s="1809">
        <f t="shared" si="4"/>
        <v>1</v>
      </c>
      <c r="AC31" s="2669">
        <f t="shared" si="5"/>
        <v>1</v>
      </c>
    </row>
    <row r="32" spans="1:29" ht="15.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05"/>
      <c r="Q32" s="1808">
        <f t="shared" si="11"/>
        <v>0</v>
      </c>
      <c r="R32" s="773" t="s">
        <v>17</v>
      </c>
      <c r="S32" s="774">
        <f t="shared" si="12"/>
        <v>100</v>
      </c>
      <c r="T32" s="773" t="s">
        <v>17</v>
      </c>
      <c r="U32" s="774">
        <f t="shared" si="13"/>
        <v>100</v>
      </c>
      <c r="V32" s="773" t="s">
        <v>17</v>
      </c>
      <c r="W32" s="774">
        <f t="shared" si="14"/>
        <v>100</v>
      </c>
      <c r="X32" s="1811"/>
      <c r="Y32" s="3207"/>
      <c r="Z32" s="1812">
        <f t="shared" si="15"/>
        <v>0</v>
      </c>
      <c r="AA32" s="1809">
        <f t="shared" si="3"/>
        <v>1</v>
      </c>
      <c r="AB32" s="1809">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08" t="s">
        <v>2554</v>
      </c>
      <c r="Q33" s="1808" t="str">
        <f t="shared" si="11"/>
        <v>建筑类型</v>
      </c>
      <c r="R33" s="773" t="s">
        <v>17</v>
      </c>
      <c r="S33" s="774">
        <f t="shared" si="12"/>
        <v>100</v>
      </c>
      <c r="T33" s="773" t="s">
        <v>17</v>
      </c>
      <c r="U33" s="774">
        <f t="shared" si="13"/>
        <v>100</v>
      </c>
      <c r="V33" s="773" t="s">
        <v>17</v>
      </c>
      <c r="W33" s="774">
        <f t="shared" si="14"/>
        <v>100</v>
      </c>
      <c r="X33" s="1811"/>
      <c r="Y33" s="3211" t="s">
        <v>2554</v>
      </c>
      <c r="Z33" s="1812" t="str">
        <f t="shared" si="15"/>
        <v>建筑类型</v>
      </c>
      <c r="AA33" s="1809">
        <f t="shared" si="3"/>
        <v>1</v>
      </c>
      <c r="AB33" s="1809">
        <f t="shared" si="4"/>
        <v>1</v>
      </c>
      <c r="AC33" s="2669">
        <f t="shared" si="5"/>
        <v>1</v>
      </c>
    </row>
    <row r="34" spans="1:29" s="471" customFormat="1" ht="15">
      <c r="A34" s="468"/>
      <c r="B34" s="2994" t="s">
        <v>2555</v>
      </c>
      <c r="C34" s="469">
        <f>'数据-汇总表'!F19</f>
        <v>264.85000000000002</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09"/>
      <c r="Q34" s="775" t="str">
        <f t="shared" si="11"/>
        <v>项目建筑规模</v>
      </c>
      <c r="R34" s="776" t="s">
        <v>17</v>
      </c>
      <c r="S34" s="777">
        <f t="shared" si="12"/>
        <v>98</v>
      </c>
      <c r="T34" s="776" t="s">
        <v>17</v>
      </c>
      <c r="U34" s="777">
        <f t="shared" si="13"/>
        <v>100</v>
      </c>
      <c r="V34" s="776" t="s">
        <v>17</v>
      </c>
      <c r="W34" s="777">
        <f t="shared" si="14"/>
        <v>100</v>
      </c>
      <c r="X34" s="778"/>
      <c r="Y34" s="3211"/>
      <c r="Z34" s="779" t="str">
        <f t="shared" si="15"/>
        <v>项目建筑规模</v>
      </c>
      <c r="AA34" s="1809">
        <f t="shared" si="3"/>
        <v>1.0204081632653061</v>
      </c>
      <c r="AB34" s="1809">
        <f t="shared" si="4"/>
        <v>1</v>
      </c>
      <c r="AC34" s="2669">
        <f t="shared" si="5"/>
        <v>1</v>
      </c>
    </row>
    <row r="35" spans="1:29" ht="15">
      <c r="A35" s="472"/>
      <c r="B35" s="422"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09"/>
      <c r="Q35" s="1808" t="str">
        <f t="shared" si="11"/>
        <v>建筑结构</v>
      </c>
      <c r="R35" s="773" t="s">
        <v>17</v>
      </c>
      <c r="S35" s="774">
        <f t="shared" si="12"/>
        <v>100</v>
      </c>
      <c r="T35" s="773" t="s">
        <v>17</v>
      </c>
      <c r="U35" s="774">
        <f t="shared" si="13"/>
        <v>100</v>
      </c>
      <c r="V35" s="773" t="s">
        <v>17</v>
      </c>
      <c r="W35" s="774">
        <f t="shared" si="14"/>
        <v>100</v>
      </c>
      <c r="X35" s="1811"/>
      <c r="Y35" s="3211"/>
      <c r="Z35" s="1812" t="str">
        <f t="shared" si="15"/>
        <v>建筑结构</v>
      </c>
      <c r="AA35" s="1809">
        <f t="shared" si="3"/>
        <v>1</v>
      </c>
      <c r="AB35" s="1809">
        <f t="shared" si="4"/>
        <v>1</v>
      </c>
      <c r="AC35" s="2669">
        <f t="shared" si="5"/>
        <v>1</v>
      </c>
    </row>
    <row r="36" spans="1:29" ht="15">
      <c r="A36" s="472"/>
      <c r="B36" s="422" t="s">
        <v>2650</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1</v>
      </c>
      <c r="L36" s="1139"/>
      <c r="M36" s="1130"/>
      <c r="N36" s="1130"/>
      <c r="O36" s="1130"/>
      <c r="P36" s="3209"/>
      <c r="Q36" s="1808" t="str">
        <f t="shared" si="11"/>
        <v>公共部分装修</v>
      </c>
      <c r="R36" s="773" t="s">
        <v>17</v>
      </c>
      <c r="S36" s="774">
        <f t="shared" si="12"/>
        <v>100</v>
      </c>
      <c r="T36" s="773" t="s">
        <v>17</v>
      </c>
      <c r="U36" s="774">
        <f t="shared" si="13"/>
        <v>100</v>
      </c>
      <c r="V36" s="773" t="s">
        <v>17</v>
      </c>
      <c r="W36" s="774">
        <f t="shared" si="14"/>
        <v>100</v>
      </c>
      <c r="X36" s="1811"/>
      <c r="Y36" s="3211"/>
      <c r="Z36" s="1812" t="str">
        <f t="shared" si="15"/>
        <v>公共部分装修</v>
      </c>
      <c r="AA36" s="1809">
        <f t="shared" si="3"/>
        <v>1</v>
      </c>
      <c r="AB36" s="1809">
        <f t="shared" si="4"/>
        <v>1</v>
      </c>
      <c r="AC36" s="2669">
        <f t="shared" si="5"/>
        <v>1</v>
      </c>
    </row>
    <row r="37" spans="1:29" ht="15">
      <c r="A37" s="472"/>
      <c r="B37" s="422" t="s">
        <v>2651</v>
      </c>
      <c r="C37" s="474">
        <f>'数据-取费表'!N6</f>
        <v>0.92</v>
      </c>
      <c r="D37" s="435">
        <v>100</v>
      </c>
      <c r="E37" s="474">
        <v>0.92</v>
      </c>
      <c r="F37" s="461">
        <f>LOOKUP(E37,111:111,112:112)-LOOKUP(C37,111:111,112:112)+100</f>
        <v>100</v>
      </c>
      <c r="G37" s="474">
        <v>0.88</v>
      </c>
      <c r="H37" s="461">
        <f>LOOKUP(G37,111:111,112:112)-LOOKUP(C37,111:111,112:112)+100</f>
        <v>99</v>
      </c>
      <c r="I37" s="474">
        <v>0.95</v>
      </c>
      <c r="J37" s="435">
        <f>LOOKUP(I37,111:111,112:112)-LOOKUP(C37,111:111,112:112)+100</f>
        <v>100</v>
      </c>
      <c r="K37" s="612">
        <v>1</v>
      </c>
      <c r="L37" s="1139"/>
      <c r="M37" s="1130"/>
      <c r="N37" s="1130"/>
      <c r="O37" s="1130"/>
      <c r="P37" s="3209"/>
      <c r="Q37" s="1808" t="str">
        <f t="shared" si="11"/>
        <v>成新度</v>
      </c>
      <c r="R37" s="773" t="s">
        <v>17</v>
      </c>
      <c r="S37" s="774">
        <f t="shared" si="12"/>
        <v>100</v>
      </c>
      <c r="T37" s="773" t="s">
        <v>17</v>
      </c>
      <c r="U37" s="774">
        <f t="shared" si="13"/>
        <v>99</v>
      </c>
      <c r="V37" s="773" t="s">
        <v>17</v>
      </c>
      <c r="W37" s="774">
        <f t="shared" si="14"/>
        <v>100</v>
      </c>
      <c r="X37" s="1811"/>
      <c r="Y37" s="3211"/>
      <c r="Z37" s="1812" t="str">
        <f t="shared" si="15"/>
        <v>成新度</v>
      </c>
      <c r="AA37" s="1809">
        <f t="shared" si="3"/>
        <v>1</v>
      </c>
      <c r="AB37" s="1809">
        <f t="shared" si="4"/>
        <v>1.0101010101010102</v>
      </c>
      <c r="AC37" s="2669">
        <f t="shared" si="5"/>
        <v>1</v>
      </c>
    </row>
    <row r="38" spans="1:29" s="117" customFormat="1" ht="15">
      <c r="A38" s="473"/>
      <c r="B38" s="422"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09"/>
      <c r="Q38" s="1793"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66">
        <f t="shared" si="5"/>
        <v>1</v>
      </c>
    </row>
    <row r="39" spans="1:29" ht="15">
      <c r="A39" s="472"/>
      <c r="B39" s="422"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09" t="s">
        <v>2554</v>
      </c>
      <c r="Q39" s="1808" t="str">
        <f t="shared" si="11"/>
        <v>物业管理</v>
      </c>
      <c r="R39" s="773" t="s">
        <v>17</v>
      </c>
      <c r="S39" s="774">
        <f t="shared" si="12"/>
        <v>100</v>
      </c>
      <c r="T39" s="773" t="s">
        <v>17</v>
      </c>
      <c r="U39" s="774">
        <f t="shared" si="13"/>
        <v>100</v>
      </c>
      <c r="V39" s="773" t="s">
        <v>17</v>
      </c>
      <c r="W39" s="774">
        <f t="shared" si="14"/>
        <v>100</v>
      </c>
      <c r="X39" s="1811"/>
      <c r="Y39" s="3211" t="s">
        <v>2554</v>
      </c>
      <c r="Z39" s="1812" t="str">
        <f t="shared" si="15"/>
        <v>物业管理</v>
      </c>
      <c r="AA39" s="1809">
        <f t="shared" si="3"/>
        <v>1</v>
      </c>
      <c r="AB39" s="1809">
        <f t="shared" si="4"/>
        <v>1</v>
      </c>
      <c r="AC39" s="2669">
        <f t="shared" si="5"/>
        <v>1</v>
      </c>
    </row>
    <row r="40" spans="1:29" ht="15">
      <c r="A40" s="472"/>
      <c r="B40" s="422"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09"/>
      <c r="Q40" s="1808" t="str">
        <f t="shared" si="11"/>
        <v>市政基础设施</v>
      </c>
      <c r="R40" s="773" t="s">
        <v>17</v>
      </c>
      <c r="S40" s="774">
        <f t="shared" si="12"/>
        <v>100</v>
      </c>
      <c r="T40" s="773" t="s">
        <v>17</v>
      </c>
      <c r="U40" s="774">
        <f t="shared" si="13"/>
        <v>100</v>
      </c>
      <c r="V40" s="773" t="s">
        <v>17</v>
      </c>
      <c r="W40" s="774">
        <f t="shared" si="14"/>
        <v>100</v>
      </c>
      <c r="X40" s="1811"/>
      <c r="Y40" s="3211"/>
      <c r="Z40" s="1812" t="str">
        <f t="shared" si="15"/>
        <v>市政基础设施</v>
      </c>
      <c r="AA40" s="1809">
        <f t="shared" si="3"/>
        <v>1</v>
      </c>
      <c r="AB40" s="1809">
        <f t="shared" si="4"/>
        <v>1</v>
      </c>
      <c r="AC40" s="2669">
        <f t="shared" si="5"/>
        <v>1</v>
      </c>
    </row>
    <row r="41" spans="1:29" ht="15">
      <c r="A41" s="472"/>
      <c r="B41" s="422"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09"/>
      <c r="Q41" s="1808" t="str">
        <f t="shared" si="11"/>
        <v>层高</v>
      </c>
      <c r="R41" s="773" t="s">
        <v>17</v>
      </c>
      <c r="S41" s="774">
        <f t="shared" si="12"/>
        <v>100</v>
      </c>
      <c r="T41" s="773" t="s">
        <v>17</v>
      </c>
      <c r="U41" s="774">
        <f t="shared" si="13"/>
        <v>100</v>
      </c>
      <c r="V41" s="773" t="s">
        <v>17</v>
      </c>
      <c r="W41" s="774">
        <f t="shared" si="14"/>
        <v>100</v>
      </c>
      <c r="X41" s="1811"/>
      <c r="Y41" s="3211"/>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09">
        <f t="shared" si="3"/>
        <v>1</v>
      </c>
      <c r="AB42" s="1809">
        <f t="shared" si="4"/>
        <v>1</v>
      </c>
      <c r="AC42" s="2669">
        <f t="shared" si="5"/>
        <v>1</v>
      </c>
    </row>
    <row r="43" spans="1:29" ht="15">
      <c r="A43" s="472"/>
      <c r="B43" s="422" t="s">
        <v>2657</v>
      </c>
      <c r="C43" s="460" t="s">
        <v>3100</v>
      </c>
      <c r="D43" s="435">
        <v>100</v>
      </c>
      <c r="E43" s="460" t="s">
        <v>3100</v>
      </c>
      <c r="F43" s="461">
        <f>SUMIF(123:123,E43,124:124)-SUMIF(123:123,C43,124:124)+100</f>
        <v>100</v>
      </c>
      <c r="G43" s="460" t="s">
        <v>3100</v>
      </c>
      <c r="H43" s="435">
        <f>SUMIF(123:123,G43,124:124)-SUMIF(123:123,C43,124:124)+100</f>
        <v>100</v>
      </c>
      <c r="I43" s="460" t="s">
        <v>3100</v>
      </c>
      <c r="J43" s="435">
        <f>SUMIF(123:123,I43,124:124)-SUMIF(123:123,C43,124:124)+100</f>
        <v>100</v>
      </c>
      <c r="K43" s="612">
        <v>1</v>
      </c>
      <c r="L43" s="1139"/>
      <c r="M43" s="1130"/>
      <c r="N43" s="1130"/>
      <c r="O43" s="1130"/>
      <c r="P43" s="3209"/>
      <c r="Q43" s="1808" t="str">
        <f t="shared" si="11"/>
        <v>内部装修</v>
      </c>
      <c r="R43" s="773" t="s">
        <v>17</v>
      </c>
      <c r="S43" s="774">
        <f t="shared" si="12"/>
        <v>100</v>
      </c>
      <c r="T43" s="773" t="s">
        <v>17</v>
      </c>
      <c r="U43" s="774">
        <f t="shared" si="13"/>
        <v>100</v>
      </c>
      <c r="V43" s="773" t="s">
        <v>17</v>
      </c>
      <c r="W43" s="774">
        <f t="shared" si="14"/>
        <v>100</v>
      </c>
      <c r="X43" s="1811"/>
      <c r="Y43" s="3211"/>
      <c r="Z43" s="1812" t="str">
        <f t="shared" si="15"/>
        <v>内部装修</v>
      </c>
      <c r="AA43" s="1809">
        <f t="shared" si="3"/>
        <v>1</v>
      </c>
      <c r="AB43" s="1809">
        <f t="shared" si="4"/>
        <v>1</v>
      </c>
      <c r="AC43" s="2669">
        <f t="shared" si="5"/>
        <v>1</v>
      </c>
    </row>
    <row r="44" spans="1:29" ht="28.8">
      <c r="A44" s="472"/>
      <c r="B44" s="422"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09"/>
      <c r="Q44" s="1808" t="str">
        <f t="shared" si="11"/>
        <v>内部装修维护情况</v>
      </c>
      <c r="R44" s="773" t="s">
        <v>17</v>
      </c>
      <c r="S44" s="774">
        <f t="shared" si="12"/>
        <v>100</v>
      </c>
      <c r="T44" s="773" t="s">
        <v>17</v>
      </c>
      <c r="U44" s="774">
        <f t="shared" si="13"/>
        <v>100</v>
      </c>
      <c r="V44" s="773" t="s">
        <v>17</v>
      </c>
      <c r="W44" s="774">
        <f t="shared" si="14"/>
        <v>100</v>
      </c>
      <c r="X44" s="1811"/>
      <c r="Y44" s="3211"/>
      <c r="Z44" s="1812" t="str">
        <f t="shared" si="15"/>
        <v>内部装修维护情况</v>
      </c>
      <c r="AA44" s="1809">
        <f t="shared" si="3"/>
        <v>1</v>
      </c>
      <c r="AB44" s="1809">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9"/>
      <c r="Q45" s="1793">
        <f t="shared" si="11"/>
        <v>0</v>
      </c>
      <c r="R45" s="769" t="s">
        <v>17</v>
      </c>
      <c r="S45" s="770">
        <f t="shared" si="12"/>
        <v>100</v>
      </c>
      <c r="T45" s="769" t="s">
        <v>17</v>
      </c>
      <c r="U45" s="770">
        <f t="shared" si="13"/>
        <v>100</v>
      </c>
      <c r="V45" s="769" t="s">
        <v>17</v>
      </c>
      <c r="W45" s="770">
        <f t="shared" si="14"/>
        <v>100</v>
      </c>
      <c r="X45" s="771"/>
      <c r="Y45" s="3211"/>
      <c r="Z45" s="55">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9"/>
      <c r="Q46" s="1808">
        <f t="shared" si="11"/>
        <v>0</v>
      </c>
      <c r="R46" s="773" t="s">
        <v>17</v>
      </c>
      <c r="S46" s="774">
        <f t="shared" si="12"/>
        <v>100</v>
      </c>
      <c r="T46" s="773" t="s">
        <v>17</v>
      </c>
      <c r="U46" s="774">
        <f t="shared" si="13"/>
        <v>100</v>
      </c>
      <c r="V46" s="773" t="s">
        <v>17</v>
      </c>
      <c r="W46" s="774">
        <f t="shared" si="14"/>
        <v>100</v>
      </c>
      <c r="X46" s="1811"/>
      <c r="Y46" s="3211"/>
      <c r="Z46" s="1812">
        <f t="shared" si="15"/>
        <v>0</v>
      </c>
      <c r="AA46" s="1809">
        <f t="shared" si="3"/>
        <v>1</v>
      </c>
      <c r="AB46" s="1809">
        <f t="shared" si="4"/>
        <v>1</v>
      </c>
      <c r="AC46" s="2669">
        <f t="shared" si="5"/>
        <v>1</v>
      </c>
    </row>
    <row r="47" spans="1:29" ht="15.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0"/>
      <c r="Q47" s="1808">
        <f t="shared" si="11"/>
        <v>0</v>
      </c>
      <c r="R47" s="773" t="s">
        <v>17</v>
      </c>
      <c r="S47" s="774">
        <f t="shared" si="12"/>
        <v>100</v>
      </c>
      <c r="T47" s="773" t="s">
        <v>17</v>
      </c>
      <c r="U47" s="774">
        <f t="shared" si="13"/>
        <v>100</v>
      </c>
      <c r="V47" s="773" t="s">
        <v>17</v>
      </c>
      <c r="W47" s="774">
        <f t="shared" si="14"/>
        <v>100</v>
      </c>
      <c r="X47" s="1811"/>
      <c r="Y47" s="3212"/>
      <c r="Z47" s="1812">
        <f t="shared" si="15"/>
        <v>0</v>
      </c>
      <c r="AA47" s="1809">
        <f t="shared" si="3"/>
        <v>1</v>
      </c>
      <c r="AB47" s="1809">
        <f t="shared" si="4"/>
        <v>1</v>
      </c>
      <c r="AC47" s="2669">
        <f t="shared" si="5"/>
        <v>1</v>
      </c>
    </row>
    <row r="48" spans="1:29" ht="14.4">
      <c r="A48" s="479" t="s">
        <v>2566</v>
      </c>
      <c r="B48" s="480"/>
      <c r="C48" s="1405" t="s">
        <v>1</v>
      </c>
      <c r="D48" s="1406"/>
      <c r="E48" s="1407">
        <v>42715</v>
      </c>
      <c r="F48" s="1408"/>
      <c r="G48" s="1409">
        <v>40000</v>
      </c>
      <c r="H48" s="1410"/>
      <c r="I48" s="1407">
        <v>48000</v>
      </c>
      <c r="J48" s="485"/>
      <c r="K48" s="782"/>
      <c r="L48" s="1142"/>
      <c r="M48" s="1130"/>
      <c r="N48" s="1130"/>
      <c r="O48" s="1130"/>
      <c r="P48" s="3198" t="str">
        <f>A48</f>
        <v>成交单价（元/平方米）</v>
      </c>
      <c r="Q48" s="3199"/>
      <c r="R48" s="3200">
        <f>E48</f>
        <v>42715</v>
      </c>
      <c r="S48" s="3200"/>
      <c r="T48" s="3200">
        <f>G48</f>
        <v>40000</v>
      </c>
      <c r="U48" s="3200"/>
      <c r="V48" s="3200">
        <f>I48</f>
        <v>48000</v>
      </c>
      <c r="W48" s="3200"/>
      <c r="X48" s="446"/>
      <c r="Y48" s="780"/>
      <c r="Z48" s="446"/>
      <c r="AA48" s="446"/>
      <c r="AB48" s="446"/>
      <c r="AC48" s="630"/>
    </row>
    <row r="49" spans="1:29" ht="15" thickBot="1">
      <c r="A49" s="486" t="s">
        <v>2658</v>
      </c>
      <c r="B49" s="487"/>
      <c r="C49" s="1411">
        <f>R50</f>
        <v>45340</v>
      </c>
      <c r="D49" s="1412"/>
      <c r="E49" s="1413">
        <f>R49</f>
        <v>44476</v>
      </c>
      <c r="F49" s="1413"/>
      <c r="G49" s="1411">
        <f>T49</f>
        <v>42070</v>
      </c>
      <c r="H49" s="1412"/>
      <c r="I49" s="1413">
        <f>V49</f>
        <v>49474</v>
      </c>
      <c r="J49" s="489"/>
      <c r="K49" s="783"/>
      <c r="L49" s="1142"/>
      <c r="M49" s="1130"/>
      <c r="N49" s="1130"/>
      <c r="O49" s="1130"/>
      <c r="P49" s="3198" t="str">
        <f>A49</f>
        <v>比较价值（元/平方米）</v>
      </c>
      <c r="Q49" s="3199"/>
      <c r="R49" s="3200">
        <f>IF(F1="售价",ROUND(PRODUCT(R48,AA7:AA47),0),ROUND(PRODUCT(R48,AA7:AA47),1))</f>
        <v>44476</v>
      </c>
      <c r="S49" s="3200"/>
      <c r="T49" s="3200">
        <f>IF(F1="售价",ROUND(PRODUCT(T48,AB7:AB47),0),ROUND(PRODUCT(T48,AB7:AB47),1))</f>
        <v>42070</v>
      </c>
      <c r="U49" s="3200"/>
      <c r="V49" s="3200">
        <f>IF(F1="售价",ROUND(PRODUCT(V48,AC7:AC47),0),ROUND(PRODUCT(V48,AC7:AC47),1))</f>
        <v>49474</v>
      </c>
      <c r="W49" s="3200"/>
      <c r="X49" s="446"/>
      <c r="Y49" s="446"/>
      <c r="Z49" s="446"/>
      <c r="AA49" s="446"/>
      <c r="AB49" s="446"/>
      <c r="AC49" s="630"/>
    </row>
    <row r="50" spans="1:29" ht="15" thickBot="1">
      <c r="A50" s="492" t="s">
        <v>3170</v>
      </c>
      <c r="B50" s="493"/>
      <c r="C50" s="1415">
        <f>R50</f>
        <v>45340</v>
      </c>
      <c r="D50" s="1415"/>
      <c r="E50" s="1415"/>
      <c r="F50" s="1415"/>
      <c r="G50" s="1415"/>
      <c r="H50" s="1415"/>
      <c r="I50" s="1415"/>
      <c r="J50" s="494"/>
      <c r="K50" s="784"/>
      <c r="L50" s="1142"/>
      <c r="M50" s="1130"/>
      <c r="N50" s="1130"/>
      <c r="O50" s="1130"/>
      <c r="P50" s="3201" t="str">
        <f>A50</f>
        <v>估价对象办公用房的比较价值（楼面单价，元/平方米）</v>
      </c>
      <c r="Q50" s="3202"/>
      <c r="R50" s="3203">
        <f>IF(F1="售价",ROUND(AVERAGE(R49:V49),0),ROUND(AVERAGE(R49:V49),1))</f>
        <v>45340</v>
      </c>
      <c r="S50" s="3203"/>
      <c r="T50" s="3203"/>
      <c r="U50" s="3203"/>
      <c r="V50" s="3203"/>
      <c r="W50" s="320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4.1226735338873999E-2</v>
      </c>
      <c r="F53" s="500" t="str">
        <f>IF(OR(E53&gt;=0.3,E53&lt;=-0.3),"超过30%","")</f>
        <v/>
      </c>
      <c r="G53" s="499">
        <f>IF(G48&lt;G49,G49/G48-1,G48/G49-1)</f>
        <v>5.1749999999999963E-2</v>
      </c>
      <c r="H53" s="500" t="str">
        <f>IF(OR(G53&gt;=0.3,G53&lt;=-0.3),"超过30%","")</f>
        <v/>
      </c>
      <c r="I53" s="499">
        <f>IF(I48&lt;I49,I49/I48-1,I48/I49-1)</f>
        <v>3.0708333333333337E-2</v>
      </c>
      <c r="J53" s="500" t="str">
        <f>IF(OR(I53&gt;=0.3,I53&lt;=-0.3),"超过30%","")</f>
        <v/>
      </c>
      <c r="K53" s="1104"/>
      <c r="L53" s="1105"/>
      <c r="M53" s="1143"/>
      <c r="N53" s="1143"/>
      <c r="O53" s="1143"/>
    </row>
    <row r="54" spans="1:29" ht="13.5" customHeight="1">
      <c r="A54" s="1143"/>
      <c r="B54" s="1143"/>
      <c r="C54" s="497" t="s">
        <v>2661</v>
      </c>
      <c r="D54" s="501"/>
      <c r="E54" s="499">
        <f>IF(E49&lt;G49,G49/E49-1,E49/G49-1)</f>
        <v>5.7190396957451872E-2</v>
      </c>
      <c r="F54" s="500" t="str">
        <f>IF(OR(E54&gt;=0.2,E54&lt;=-0.2),"超过20%","")</f>
        <v/>
      </c>
      <c r="G54" s="499">
        <f>IF(G49&lt;I49,I49/G49-1,G49/I49-1)</f>
        <v>0.17599239362966479</v>
      </c>
      <c r="H54" s="500" t="str">
        <f>IF(OR(G54&gt;=0.2,G54&lt;=-0.2),"超过20%","")</f>
        <v/>
      </c>
      <c r="I54" s="499">
        <f>IF(I49&lt;E49,E49/I49-1,I49/E49-1)</f>
        <v>0.11237521359834513</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2.2" thickBot="1">
      <c r="A58" s="762" t="s">
        <v>2663</v>
      </c>
      <c r="B58" s="758"/>
      <c r="C58" s="763"/>
      <c r="D58" s="763"/>
      <c r="E58" s="763"/>
      <c r="F58" s="764"/>
      <c r="G58" s="764"/>
      <c r="H58" s="763"/>
      <c r="I58" s="763"/>
      <c r="J58" s="763"/>
      <c r="K58" s="765"/>
      <c r="L58" s="1160"/>
      <c r="M58" s="1158"/>
      <c r="N58" s="1158"/>
      <c r="O58" s="1158"/>
      <c r="P58" s="2676"/>
      <c r="Q58" s="504"/>
    </row>
    <row r="59" spans="1:29" s="508" customFormat="1" ht="14.4">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5" thickBot="1">
      <c r="A61" s="515" t="s">
        <v>2574</v>
      </c>
      <c r="B61" s="516"/>
      <c r="C61" s="517"/>
      <c r="D61" s="518"/>
      <c r="E61" s="518"/>
      <c r="F61" s="518"/>
      <c r="G61" s="518"/>
      <c r="H61" s="518"/>
      <c r="I61" s="518"/>
      <c r="J61" s="518"/>
      <c r="K61" s="518"/>
      <c r="L61" s="518"/>
      <c r="M61" s="519"/>
      <c r="N61" s="518"/>
      <c r="O61" s="519"/>
      <c r="P61" s="2677"/>
      <c r="Q61" s="504"/>
    </row>
    <row r="62" spans="1:29" s="117" customFormat="1" ht="14.4">
      <c r="A62" s="521" t="s">
        <v>2539</v>
      </c>
      <c r="B62" s="510"/>
      <c r="C62" s="522" t="s">
        <v>2641</v>
      </c>
      <c r="D62" s="523"/>
      <c r="E62" s="523"/>
      <c r="F62" s="523"/>
      <c r="G62" s="523"/>
      <c r="H62" s="523"/>
      <c r="I62" s="523"/>
      <c r="J62" s="523"/>
      <c r="K62" s="523"/>
      <c r="L62" s="524"/>
      <c r="M62" s="525"/>
      <c r="N62" s="1150"/>
      <c r="O62" s="1150"/>
      <c r="P62" s="2678"/>
      <c r="Q62" s="504"/>
    </row>
    <row r="63" spans="1:29" s="117" customFormat="1" ht="14.4" thickBot="1">
      <c r="A63" s="521"/>
      <c r="B63" s="510"/>
      <c r="C63" s="511">
        <v>100</v>
      </c>
      <c r="D63" s="512"/>
      <c r="E63" s="512"/>
      <c r="F63" s="512"/>
      <c r="G63" s="512"/>
      <c r="H63" s="512"/>
      <c r="I63" s="512"/>
      <c r="J63" s="512"/>
      <c r="K63" s="512"/>
      <c r="L63" s="512"/>
      <c r="M63" s="514"/>
      <c r="N63" s="1150"/>
      <c r="O63" s="1150"/>
      <c r="P63" s="2677"/>
      <c r="Q63" s="504"/>
    </row>
    <row r="64" spans="1:29" ht="14.4">
      <c r="A64" s="527" t="s">
        <v>2577</v>
      </c>
      <c r="B64" s="528" t="s">
        <v>2543</v>
      </c>
      <c r="C64" s="529" t="str">
        <f>C9</f>
        <v>办公</v>
      </c>
      <c r="D64" s="530"/>
      <c r="E64" s="530"/>
      <c r="F64" s="530"/>
      <c r="G64" s="530"/>
      <c r="H64" s="530"/>
      <c r="I64" s="530"/>
      <c r="J64" s="530"/>
      <c r="K64" s="531"/>
      <c r="L64" s="532"/>
      <c r="M64" s="533"/>
      <c r="N64" s="1151"/>
      <c r="O64" s="1151"/>
      <c r="P64" s="2679"/>
      <c r="Q64" s="504"/>
    </row>
    <row r="65" spans="1:17" ht="14.4" thickBot="1">
      <c r="A65" s="534"/>
      <c r="B65" s="535"/>
      <c r="C65" s="536">
        <v>100</v>
      </c>
      <c r="D65" s="536"/>
      <c r="E65" s="536"/>
      <c r="F65" s="536"/>
      <c r="G65" s="536"/>
      <c r="H65" s="536"/>
      <c r="I65" s="536"/>
      <c r="J65" s="536"/>
      <c r="K65" s="536"/>
      <c r="L65" s="536"/>
      <c r="M65" s="537"/>
      <c r="N65" s="1152"/>
      <c r="O65" s="1152"/>
      <c r="P65" s="2679"/>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4" thickTop="1">
      <c r="A71" s="553"/>
      <c r="B71" s="538">
        <f>B12</f>
        <v>0</v>
      </c>
      <c r="C71" s="554"/>
      <c r="D71" s="554"/>
      <c r="E71" s="554"/>
      <c r="F71" s="554"/>
      <c r="G71" s="554"/>
      <c r="H71" s="555"/>
      <c r="I71" s="555"/>
      <c r="J71" s="555"/>
      <c r="K71" s="555"/>
      <c r="L71" s="556"/>
      <c r="M71" s="557"/>
      <c r="N71" s="1153"/>
      <c r="O71" s="1153"/>
      <c r="P71" s="2680"/>
      <c r="Q71" s="559"/>
    </row>
    <row r="72" spans="1:17" s="471" customFormat="1" ht="14.4" thickBot="1">
      <c r="A72" s="553"/>
      <c r="B72" s="543"/>
      <c r="C72" s="560"/>
      <c r="D72" s="536"/>
      <c r="E72" s="536"/>
      <c r="F72" s="536"/>
      <c r="G72" s="536"/>
      <c r="H72" s="536"/>
      <c r="I72" s="536"/>
      <c r="J72" s="536"/>
      <c r="K72" s="536"/>
      <c r="L72" s="536"/>
      <c r="M72" s="537"/>
      <c r="N72" s="1152"/>
      <c r="O72" s="1152"/>
      <c r="P72" s="2680"/>
      <c r="Q72" s="559"/>
    </row>
    <row r="73" spans="1:17" s="471" customFormat="1" ht="14.4" thickTop="1">
      <c r="A73" s="553"/>
      <c r="B73" s="538">
        <f>B13</f>
        <v>0</v>
      </c>
      <c r="C73" s="554"/>
      <c r="D73" s="554"/>
      <c r="E73" s="554"/>
      <c r="F73" s="554"/>
      <c r="G73" s="554"/>
      <c r="H73" s="555"/>
      <c r="I73" s="555"/>
      <c r="J73" s="555"/>
      <c r="K73" s="555"/>
      <c r="L73" s="556"/>
      <c r="M73" s="557"/>
      <c r="N73" s="1153"/>
      <c r="O73" s="1153"/>
      <c r="P73" s="2681"/>
      <c r="Q73" s="561"/>
    </row>
    <row r="74" spans="1:17" s="471" customFormat="1" ht="14.4" thickBot="1">
      <c r="A74" s="553"/>
      <c r="B74" s="543"/>
      <c r="C74" s="560"/>
      <c r="D74" s="560"/>
      <c r="E74" s="560"/>
      <c r="F74" s="560"/>
      <c r="G74" s="560"/>
      <c r="H74" s="562"/>
      <c r="I74" s="562"/>
      <c r="J74" s="562"/>
      <c r="K74" s="562"/>
      <c r="L74" s="562"/>
      <c r="M74" s="563"/>
      <c r="N74" s="1153"/>
      <c r="O74" s="1153"/>
      <c r="P74" s="2680"/>
      <c r="Q74" s="559"/>
    </row>
    <row r="75" spans="1:17" s="471" customFormat="1" ht="14.4" thickTop="1">
      <c r="A75" s="553"/>
      <c r="B75" s="546">
        <f>B14</f>
        <v>0</v>
      </c>
      <c r="C75" s="523"/>
      <c r="D75" s="523"/>
      <c r="E75" s="523"/>
      <c r="F75" s="523"/>
      <c r="G75" s="523"/>
      <c r="H75" s="564"/>
      <c r="I75" s="564"/>
      <c r="J75" s="564"/>
      <c r="K75" s="564"/>
      <c r="L75" s="565"/>
      <c r="M75" s="566"/>
      <c r="N75" s="1153"/>
      <c r="O75" s="1153"/>
      <c r="P75" s="2682"/>
      <c r="Q75" s="559"/>
    </row>
    <row r="76" spans="1:17" s="471" customFormat="1" ht="14.4" thickBot="1">
      <c r="A76" s="568"/>
      <c r="B76" s="569"/>
      <c r="C76" s="570"/>
      <c r="D76" s="570"/>
      <c r="E76" s="570"/>
      <c r="F76" s="570"/>
      <c r="G76" s="570"/>
      <c r="H76" s="571"/>
      <c r="I76" s="571"/>
      <c r="J76" s="571"/>
      <c r="K76" s="571"/>
      <c r="L76" s="571"/>
      <c r="M76" s="572"/>
      <c r="N76" s="1153"/>
      <c r="O76" s="1153"/>
      <c r="P76" s="2680"/>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4"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9.4"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4.4" thickTop="1">
      <c r="A93" s="534"/>
      <c r="B93" s="538">
        <f>B29</f>
        <v>0</v>
      </c>
      <c r="C93" s="554"/>
      <c r="D93" s="554"/>
      <c r="E93" s="554"/>
      <c r="F93" s="554"/>
      <c r="G93" s="554"/>
      <c r="H93" s="554"/>
      <c r="I93" s="554"/>
      <c r="J93" s="554"/>
      <c r="K93" s="554"/>
      <c r="L93" s="580"/>
      <c r="M93" s="581"/>
      <c r="N93" s="1151"/>
      <c r="O93" s="1151"/>
      <c r="P93" s="2679"/>
      <c r="Q93" s="504"/>
    </row>
    <row r="94" spans="1:17" ht="14.4" thickBot="1">
      <c r="A94" s="534"/>
      <c r="B94" s="543"/>
      <c r="C94" s="560"/>
      <c r="D94" s="536"/>
      <c r="E94" s="536"/>
      <c r="F94" s="536"/>
      <c r="G94" s="536"/>
      <c r="H94" s="536"/>
      <c r="I94" s="536"/>
      <c r="J94" s="536"/>
      <c r="K94" s="536"/>
      <c r="L94" s="536"/>
      <c r="M94" s="537"/>
      <c r="N94" s="1152"/>
      <c r="O94" s="1152"/>
      <c r="P94" s="2679"/>
      <c r="Q94" s="504"/>
    </row>
    <row r="95" spans="1:17" ht="14.4" thickTop="1">
      <c r="A95" s="534"/>
      <c r="B95" s="538">
        <f>B30</f>
        <v>0</v>
      </c>
      <c r="C95" s="554"/>
      <c r="D95" s="554"/>
      <c r="E95" s="554"/>
      <c r="F95" s="554"/>
      <c r="G95" s="583"/>
      <c r="H95" s="583"/>
      <c r="I95" s="583"/>
      <c r="J95" s="583"/>
      <c r="K95" s="584"/>
      <c r="L95" s="585"/>
      <c r="M95" s="586"/>
      <c r="N95" s="1151"/>
      <c r="O95" s="1151"/>
      <c r="P95" s="2679"/>
      <c r="Q95" s="504"/>
    </row>
    <row r="96" spans="1:17" ht="14.4" thickBot="1">
      <c r="A96" s="534"/>
      <c r="B96" s="543"/>
      <c r="C96" s="560"/>
      <c r="D96" s="560"/>
      <c r="E96" s="560"/>
      <c r="F96" s="560"/>
      <c r="G96" s="536"/>
      <c r="H96" s="536"/>
      <c r="I96" s="536"/>
      <c r="J96" s="536"/>
      <c r="K96" s="536"/>
      <c r="L96" s="536"/>
      <c r="M96" s="537"/>
      <c r="N96" s="1152"/>
      <c r="O96" s="1152"/>
      <c r="P96" s="2679"/>
      <c r="Q96" s="504"/>
    </row>
    <row r="97" spans="1:17" ht="14.4" thickTop="1">
      <c r="A97" s="534"/>
      <c r="B97" s="538">
        <f>B31</f>
        <v>0</v>
      </c>
      <c r="C97" s="554"/>
      <c r="D97" s="554"/>
      <c r="E97" s="554"/>
      <c r="F97" s="554"/>
      <c r="G97" s="583"/>
      <c r="H97" s="583"/>
      <c r="I97" s="583"/>
      <c r="J97" s="583"/>
      <c r="K97" s="584"/>
      <c r="L97" s="585"/>
      <c r="M97" s="586"/>
      <c r="N97" s="1151"/>
      <c r="O97" s="1151"/>
      <c r="P97" s="2679"/>
      <c r="Q97" s="504"/>
    </row>
    <row r="98" spans="1:17" ht="14.4" thickBot="1">
      <c r="A98" s="534"/>
      <c r="B98" s="543"/>
      <c r="C98" s="560"/>
      <c r="D98" s="536"/>
      <c r="E98" s="536"/>
      <c r="F98" s="536"/>
      <c r="G98" s="536"/>
      <c r="H98" s="536"/>
      <c r="I98" s="536"/>
      <c r="J98" s="536"/>
      <c r="K98" s="536"/>
      <c r="L98" s="536"/>
      <c r="M98" s="537"/>
      <c r="N98" s="1152"/>
      <c r="O98" s="1152"/>
      <c r="P98" s="2679"/>
      <c r="Q98" s="504"/>
    </row>
    <row r="99" spans="1:17" ht="14.4" thickTop="1">
      <c r="A99" s="534"/>
      <c r="B99" s="546">
        <f>B32</f>
        <v>0</v>
      </c>
      <c r="C99" s="523"/>
      <c r="D99" s="523"/>
      <c r="E99" s="523"/>
      <c r="F99" s="523"/>
      <c r="G99" s="587"/>
      <c r="H99" s="587"/>
      <c r="I99" s="587"/>
      <c r="J99" s="587"/>
      <c r="K99" s="588"/>
      <c r="L99" s="589"/>
      <c r="M99" s="590"/>
      <c r="N99" s="1151"/>
      <c r="O99" s="1151"/>
      <c r="P99" s="2679"/>
      <c r="Q99" s="504"/>
    </row>
    <row r="100" spans="1:17" ht="14.4" thickBot="1">
      <c r="A100" s="2631"/>
      <c r="B100" s="569"/>
      <c r="C100" s="570"/>
      <c r="D100" s="570"/>
      <c r="E100" s="570"/>
      <c r="F100" s="570"/>
      <c r="G100" s="591"/>
      <c r="H100" s="591"/>
      <c r="I100" s="591"/>
      <c r="J100" s="591"/>
      <c r="K100" s="591"/>
      <c r="L100" s="591"/>
      <c r="M100" s="592"/>
      <c r="N100" s="1152"/>
      <c r="O100" s="1152"/>
      <c r="P100" s="2679"/>
      <c r="Q100" s="504"/>
    </row>
    <row r="101" spans="1:17" ht="14.4">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2"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4"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4"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0"/>
      <c r="Q128" s="559"/>
    </row>
    <row r="129" spans="1:17" ht="14.4" thickTop="1">
      <c r="A129" s="599"/>
      <c r="B129" s="538">
        <f>B46</f>
        <v>0</v>
      </c>
      <c r="C129" s="554"/>
      <c r="D129" s="554"/>
      <c r="E129" s="554"/>
      <c r="F129" s="554"/>
      <c r="G129" s="583"/>
      <c r="H129" s="583"/>
      <c r="I129" s="583"/>
      <c r="J129" s="583"/>
      <c r="K129" s="584"/>
      <c r="L129" s="585"/>
      <c r="M129" s="586"/>
      <c r="N129" s="1151"/>
      <c r="O129" s="1151"/>
      <c r="P129" s="2679"/>
      <c r="Q129" s="504"/>
    </row>
    <row r="130" spans="1:17" ht="14.4" thickBot="1">
      <c r="A130" s="534"/>
      <c r="B130" s="543"/>
      <c r="C130" s="560"/>
      <c r="D130" s="560"/>
      <c r="E130" s="560"/>
      <c r="F130" s="560"/>
      <c r="G130" s="536"/>
      <c r="H130" s="536"/>
      <c r="I130" s="536"/>
      <c r="J130" s="536"/>
      <c r="K130" s="536"/>
      <c r="L130" s="536"/>
      <c r="M130" s="537"/>
      <c r="N130" s="1152"/>
      <c r="O130" s="1152"/>
      <c r="P130" s="2679"/>
      <c r="Q130" s="504"/>
    </row>
    <row r="131" spans="1:17" ht="14.4" thickTop="1">
      <c r="A131" s="599"/>
      <c r="B131" s="546">
        <f>B47</f>
        <v>0</v>
      </c>
      <c r="C131" s="523"/>
      <c r="D131" s="523"/>
      <c r="E131" s="523"/>
      <c r="F131" s="523"/>
      <c r="G131" s="587"/>
      <c r="H131" s="587"/>
      <c r="I131" s="587"/>
      <c r="J131" s="587"/>
      <c r="K131" s="523"/>
      <c r="L131" s="524"/>
      <c r="M131" s="590"/>
      <c r="N131" s="1151"/>
      <c r="O131" s="1151"/>
      <c r="P131" s="2679"/>
      <c r="Q131" s="504"/>
    </row>
    <row r="132" spans="1:17" ht="14.4"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1" sqref="E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2" customWidth="1"/>
    <col min="12" max="12" width="16.33203125" style="302" customWidth="1"/>
    <col min="13" max="13" width="13" style="302"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2"/>
  </cols>
  <sheetData>
    <row r="1" spans="1:37" s="337" customFormat="1" ht="21.6">
      <c r="A1" s="1831" t="s">
        <v>1584</v>
      </c>
      <c r="B1" s="781"/>
      <c r="C1" s="1835" t="s">
        <v>3163</v>
      </c>
      <c r="D1" s="1818"/>
      <c r="E1" s="1819" t="s">
        <v>1382</v>
      </c>
      <c r="F1" s="1281">
        <f ca="1">J53</f>
        <v>42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970</v>
      </c>
      <c r="C2" s="1843" t="s">
        <v>1586</v>
      </c>
      <c r="D2" s="1935">
        <f ca="1">C40+J29+L46</f>
        <v>9704851</v>
      </c>
      <c r="E2" s="1844" t="s">
        <v>1587</v>
      </c>
      <c r="F2" s="1845"/>
      <c r="G2" s="1846"/>
      <c r="H2" s="1838"/>
      <c r="I2" s="1838"/>
      <c r="J2" s="1838"/>
      <c r="K2" s="1839"/>
      <c r="L2" s="1838"/>
      <c r="M2" s="1838"/>
    </row>
    <row r="3" spans="1:37" ht="18" customHeight="1" thickBot="1">
      <c r="A3" s="1847" t="s">
        <v>1588</v>
      </c>
      <c r="B3" s="1848">
        <f ca="1">IF(ISERROR(D2/F43),0,ROUND(D2/F43,0))</f>
        <v>36643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496538</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495918</v>
      </c>
      <c r="D6" s="164" t="s">
        <v>3014</v>
      </c>
      <c r="E6" s="347" t="s">
        <v>1400</v>
      </c>
      <c r="F6" s="348">
        <f ca="1">INDIRECT("'数据-取费表'!u"&amp;$G$1)</f>
        <v>5.7</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620</v>
      </c>
      <c r="D10" s="1822" t="s">
        <v>3025</v>
      </c>
      <c r="E10" s="358" t="s">
        <v>1405</v>
      </c>
      <c r="F10" s="1364" t="s">
        <v>3066</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1473374</v>
      </c>
      <c r="D13" s="1329" t="s">
        <v>1410</v>
      </c>
      <c r="E13" s="1329" t="s">
        <v>1411</v>
      </c>
      <c r="F13" s="1330">
        <f ca="1">INDIRECT("'数据-取费表'!y"&amp;$G$1)</f>
        <v>0.92</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114322</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83125</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26449</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56676</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2210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4965.3999999999996</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382216</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9704851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36643</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-13786634</v>
      </c>
      <c r="D45" s="1937" t="s">
        <v>1599</v>
      </c>
      <c r="E45" s="1864"/>
      <c r="F45" s="1864"/>
      <c r="O45" s="1867" t="s">
        <v>1514</v>
      </c>
      <c r="P45" s="1837"/>
      <c r="Q45" s="1837"/>
      <c r="R45" s="1837"/>
    </row>
    <row r="46" spans="1:18" s="1840" customFormat="1" ht="13.8" thickBot="1">
      <c r="A46" s="1868" t="s">
        <v>1515</v>
      </c>
      <c r="C46" s="1869">
        <f ca="1">ROUND(C45/10000,0)</f>
        <v>-1379</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8" thickBot="1">
      <c r="A47" s="1164" t="s">
        <v>1391</v>
      </c>
      <c r="B47" s="1196" t="s">
        <v>1392</v>
      </c>
      <c r="C47" s="1196" t="s">
        <v>1393</v>
      </c>
      <c r="D47" s="1196" t="s">
        <v>1394</v>
      </c>
      <c r="E47" s="1277" t="s">
        <v>1395</v>
      </c>
      <c r="F47" s="1278"/>
      <c r="G47" s="791"/>
      <c r="I47" s="1878" t="s">
        <v>1521</v>
      </c>
      <c r="J47" s="1879" t="s">
        <v>3068</v>
      </c>
      <c r="K47" s="1880" t="s">
        <v>1522</v>
      </c>
      <c r="L47" s="1881">
        <f ca="1">INDIRECT("'数据-取费表'!d"&amp;$G$1)</f>
        <v>50</v>
      </c>
      <c r="M47" s="1836" t="str">
        <f>IF(ISNUMBER(FIND("住宅",C1)),"住宅","非住宅")</f>
        <v>非住宅</v>
      </c>
      <c r="O47" s="1882" t="s">
        <v>1037</v>
      </c>
      <c r="P47" s="1883" t="s">
        <v>1523</v>
      </c>
      <c r="Q47" s="1884">
        <f ca="1">C40+J29</f>
        <v>9704851</v>
      </c>
      <c r="R47" s="1884" t="s">
        <v>1524</v>
      </c>
    </row>
    <row r="48" spans="1:18" s="1840" customFormat="1" ht="40.200000000000003" thickBot="1">
      <c r="A48" s="1358" t="s">
        <v>1132</v>
      </c>
      <c r="B48" s="345" t="s">
        <v>1396</v>
      </c>
      <c r="C48" s="1815">
        <f ca="1">C49+C53+C55</f>
        <v>0</v>
      </c>
      <c r="D48" s="1360"/>
      <c r="E48" s="1361"/>
      <c r="F48" s="1180"/>
      <c r="G48" s="791"/>
      <c r="H48" s="792"/>
      <c r="I48" s="1885" t="s">
        <v>1525</v>
      </c>
      <c r="J48" s="1886" t="s">
        <v>3069</v>
      </c>
      <c r="K48" s="1887" t="s">
        <v>1526</v>
      </c>
      <c r="L48" s="1888">
        <f ca="1">INDIRECT("'数据-取费表'!f"&amp;$G$1)</f>
        <v>42</v>
      </c>
      <c r="O48" s="1882" t="s">
        <v>1038</v>
      </c>
      <c r="P48" s="1883" t="s">
        <v>1527</v>
      </c>
      <c r="Q48" s="1884" t="str">
        <f ca="1">J60</f>
        <v>0</v>
      </c>
      <c r="R48" s="1884" t="s">
        <v>1528</v>
      </c>
    </row>
    <row r="49" spans="1:18" s="1840" customFormat="1" ht="13.8"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8"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8"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4949497</v>
      </c>
      <c r="M51" s="1900"/>
      <c r="O51" s="1892" t="s">
        <v>1041</v>
      </c>
      <c r="P51" s="1883" t="s">
        <v>1537</v>
      </c>
      <c r="Q51" s="1895">
        <f>J52</f>
        <v>0</v>
      </c>
      <c r="R51" s="1884"/>
    </row>
    <row r="52" spans="1:18" s="1840" customFormat="1" ht="13.8" thickBot="1">
      <c r="A52" s="1195"/>
      <c r="B52" s="1197"/>
      <c r="C52" s="1198"/>
      <c r="D52" s="1171"/>
      <c r="E52" s="1199" t="s">
        <v>1403</v>
      </c>
      <c r="F52" s="1273"/>
      <c r="I52" s="1901" t="s">
        <v>1538</v>
      </c>
      <c r="J52" s="1902"/>
      <c r="K52" s="1901" t="s">
        <v>1539</v>
      </c>
      <c r="L52" s="1902"/>
      <c r="O52" s="1892" t="s">
        <v>1042</v>
      </c>
      <c r="P52" s="1883" t="s">
        <v>1540</v>
      </c>
      <c r="Q52" s="1884">
        <f ca="1">J53</f>
        <v>42</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42</v>
      </c>
      <c r="K53" s="3193" t="s">
        <v>1543</v>
      </c>
      <c r="L53" s="3194"/>
      <c r="O53" s="1882" t="s">
        <v>1043</v>
      </c>
      <c r="P53" s="1883" t="s">
        <v>1544</v>
      </c>
      <c r="Q53" s="1884">
        <f ca="1">Q47+Q48</f>
        <v>9704851</v>
      </c>
      <c r="R53" s="1884" t="s">
        <v>1044</v>
      </c>
    </row>
    <row r="54" spans="1:18" s="1840" customFormat="1" ht="13.8"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8"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1473374</v>
      </c>
      <c r="D56" s="1911"/>
      <c r="E56" s="1912"/>
      <c r="F56" s="1904"/>
      <c r="I56" s="1913" t="s">
        <v>1549</v>
      </c>
      <c r="J56" s="1914" t="s">
        <v>3061</v>
      </c>
      <c r="K56" s="1885" t="s">
        <v>1550</v>
      </c>
      <c r="L56" s="1888" t="str">
        <f ca="1">IF(L48&lt;J51,"——",L48-J51)</f>
        <v>——</v>
      </c>
      <c r="O56" s="1882" t="s">
        <v>1037</v>
      </c>
      <c r="P56" s="1883" t="s">
        <v>1523</v>
      </c>
      <c r="Q56" s="1884">
        <f ca="1">C40+J29</f>
        <v>9704851</v>
      </c>
      <c r="R56" s="1884" t="s">
        <v>1524</v>
      </c>
    </row>
    <row r="57" spans="1:18" s="1840" customFormat="1" ht="24.6"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6" thickBot="1">
      <c r="A58" s="360" t="s">
        <v>1027</v>
      </c>
      <c r="B58" s="1176" t="s">
        <v>1419</v>
      </c>
      <c r="C58" s="361">
        <f ca="1">ROUND(C59+C64+C65+C66,0)</f>
        <v>160757</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9704851</v>
      </c>
      <c r="R62" s="1884" t="s">
        <v>1044</v>
      </c>
    </row>
    <row r="63" spans="1:18" s="1840" customFormat="1" ht="13.8"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8"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8" thickBot="1">
      <c r="A65" s="1200" t="s">
        <v>1498</v>
      </c>
      <c r="B65" s="1168" t="s">
        <v>1448</v>
      </c>
      <c r="C65" s="24">
        <f ca="1">ROUND(C56*F65,0)</f>
        <v>2210</v>
      </c>
      <c r="D65" s="1182" t="s">
        <v>1449</v>
      </c>
      <c r="E65" s="1168" t="s">
        <v>1450</v>
      </c>
      <c r="F65" s="376">
        <f t="shared" ca="1" si="0"/>
        <v>1.5E-3</v>
      </c>
      <c r="I65" s="1926" t="s">
        <v>1574</v>
      </c>
      <c r="J65" s="1927">
        <v>40</v>
      </c>
      <c r="K65" s="1927">
        <v>30</v>
      </c>
      <c r="L65" s="1927">
        <v>50</v>
      </c>
      <c r="M65" s="1929">
        <v>0.02</v>
      </c>
      <c r="O65" s="1882" t="s">
        <v>1037</v>
      </c>
      <c r="P65" s="1883" t="s">
        <v>1575</v>
      </c>
      <c r="Q65" s="1884">
        <f ca="1">C40+J29</f>
        <v>9704851</v>
      </c>
      <c r="R65" s="1884" t="s">
        <v>1524</v>
      </c>
    </row>
    <row r="66" spans="1:18" s="1840" customFormat="1" ht="16.2"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24.6" thickBot="1">
      <c r="A67" s="1175" t="s">
        <v>1028</v>
      </c>
      <c r="B67" s="1185" t="s">
        <v>1458</v>
      </c>
      <c r="C67" s="361">
        <f ca="1">C48-C58</f>
        <v>-160757</v>
      </c>
      <c r="D67" s="1181" t="s">
        <v>1459</v>
      </c>
      <c r="E67" s="1186"/>
      <c r="F67" s="1187"/>
      <c r="O67" s="1892" t="s">
        <v>1039</v>
      </c>
      <c r="P67" s="1883" t="s">
        <v>1557</v>
      </c>
      <c r="Q67" s="1930">
        <f ca="1">L51</f>
        <v>4949497</v>
      </c>
      <c r="R67" s="1884" t="s">
        <v>1577</v>
      </c>
    </row>
    <row r="68" spans="1:18" s="1840" customFormat="1" ht="16.2" thickBot="1">
      <c r="A68" s="1165" t="s">
        <v>1029</v>
      </c>
      <c r="B68" s="1166" t="s">
        <v>1480</v>
      </c>
      <c r="C68" s="346">
        <f ca="1">ROUND(C67*(1-((1+F70)/(1+F68))^F69)/(F68-F70),0)</f>
        <v>-4081783</v>
      </c>
      <c r="D68" s="1183" t="s">
        <v>1464</v>
      </c>
      <c r="E68" s="1168" t="s">
        <v>1465</v>
      </c>
      <c r="F68" s="357">
        <f ca="1">F40</f>
        <v>5.5E-2</v>
      </c>
      <c r="O68" s="1892" t="s">
        <v>1040</v>
      </c>
      <c r="P68" s="1931" t="s">
        <v>1578</v>
      </c>
      <c r="Q68" s="1884">
        <f ca="1">ROUND(Q69-Q70*Q71,0)</f>
        <v>264346</v>
      </c>
      <c r="R68" s="1884" t="s">
        <v>1048</v>
      </c>
    </row>
    <row r="69" spans="1:18" s="1840" customFormat="1" ht="13.8" thickBot="1">
      <c r="A69" s="1169"/>
      <c r="B69" s="1170"/>
      <c r="C69" s="351"/>
      <c r="D69" s="1188" t="s">
        <v>1468</v>
      </c>
      <c r="E69" s="1168" t="s">
        <v>1469</v>
      </c>
      <c r="F69" s="379">
        <f ca="1">F41</f>
        <v>42</v>
      </c>
      <c r="O69" s="1892" t="s">
        <v>1045</v>
      </c>
      <c r="P69" s="1931" t="s">
        <v>1579</v>
      </c>
      <c r="Q69" s="1884">
        <f ca="1">C39</f>
        <v>382216</v>
      </c>
      <c r="R69" s="1884" t="s">
        <v>1524</v>
      </c>
    </row>
    <row r="70" spans="1:18" s="1840" customFormat="1" ht="13.8" thickBot="1">
      <c r="A70" s="1172"/>
      <c r="B70" s="1173"/>
      <c r="C70" s="355"/>
      <c r="D70" s="1184"/>
      <c r="E70" s="1168" t="s">
        <v>1472</v>
      </c>
      <c r="F70" s="1273">
        <f ca="1">F42</f>
        <v>0.03</v>
      </c>
      <c r="O70" s="1892" t="s">
        <v>1046</v>
      </c>
      <c r="P70" s="1931" t="s">
        <v>1580</v>
      </c>
      <c r="Q70" s="1884">
        <f ca="1">C13</f>
        <v>1473374</v>
      </c>
      <c r="R70" s="1884" t="s">
        <v>1524</v>
      </c>
    </row>
    <row r="71" spans="1:18" s="1840" customFormat="1" ht="13.8" thickBot="1">
      <c r="A71" s="1189" t="s">
        <v>1030</v>
      </c>
      <c r="B71" s="1190" t="s">
        <v>1482</v>
      </c>
      <c r="C71" s="382">
        <f ca="1">ROUND(C68/F71,0)</f>
        <v>-15412</v>
      </c>
      <c r="D71" s="1191" t="s">
        <v>1483</v>
      </c>
      <c r="E71" s="1192" t="s">
        <v>1484</v>
      </c>
      <c r="F71" s="385">
        <f ca="1">F43</f>
        <v>264.85000000000002</v>
      </c>
      <c r="O71" s="1892" t="s">
        <v>1047</v>
      </c>
      <c r="P71" s="1931" t="s">
        <v>1581</v>
      </c>
      <c r="Q71" s="1895">
        <f ca="1">C76</f>
        <v>0.08</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8" thickBot="1">
      <c r="A75" s="1840"/>
      <c r="B75" s="386" t="s">
        <v>1501</v>
      </c>
      <c r="C75" s="387">
        <f ca="1">ROUND(C13*C76,0)</f>
        <v>117870</v>
      </c>
      <c r="D75" s="1840"/>
      <c r="E75" s="1840"/>
      <c r="F75" s="1840"/>
      <c r="K75" s="1866"/>
      <c r="L75" s="1840"/>
      <c r="O75" s="1882" t="s">
        <v>1043</v>
      </c>
      <c r="P75" s="1883" t="s">
        <v>1544</v>
      </c>
      <c r="Q75" s="1884">
        <f ca="1">Q65+Q66</f>
        <v>9704851</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0.69199999999999995</v>
      </c>
    </row>
    <row r="80" spans="1:18">
      <c r="B80" s="386" t="s">
        <v>1506</v>
      </c>
      <c r="C80" s="318">
        <f ca="1">ROUND(C75/C39,3)</f>
        <v>0.308</v>
      </c>
    </row>
    <row r="81" spans="2:3">
      <c r="B81" s="314" t="s">
        <v>1507</v>
      </c>
      <c r="C81" s="282"/>
    </row>
    <row r="82" spans="2:3">
      <c r="B82" s="317" t="s">
        <v>1508</v>
      </c>
      <c r="C82" s="319">
        <f ca="1">1-C83</f>
        <v>0.84799999999999998</v>
      </c>
    </row>
    <row r="83" spans="2:3">
      <c r="B83" s="317" t="s">
        <v>1509</v>
      </c>
      <c r="C83" s="318">
        <f ca="1">ROUND(C13/C40,3)</f>
        <v>0.152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56" t="s">
        <v>2515</v>
      </c>
      <c r="B1" s="2557"/>
      <c r="C1" s="2557"/>
      <c r="D1" s="2557"/>
      <c r="E1" s="2558"/>
    </row>
    <row r="2" spans="1:6" ht="15.6">
      <c r="A2" s="2559" t="s">
        <v>2316</v>
      </c>
      <c r="B2" s="2560">
        <f ca="1">SUMIF(B6:B13,"&lt;&gt;#ref!",B6:B13)</f>
        <v>970</v>
      </c>
      <c r="C2" s="2561" t="s">
        <v>2508</v>
      </c>
      <c r="D2" s="2562" t="s">
        <v>2509</v>
      </c>
      <c r="E2" s="2563">
        <f>SUM(E6:E13)</f>
        <v>264.85000000000002</v>
      </c>
    </row>
    <row r="3" spans="1:6" ht="15.6">
      <c r="A3" s="2559" t="s">
        <v>1390</v>
      </c>
      <c r="B3" s="2560">
        <f ca="1">ROUND(B2*10000/E2,0)</f>
        <v>36625</v>
      </c>
      <c r="C3" s="2561" t="s">
        <v>2516</v>
      </c>
      <c r="D3" s="2564"/>
      <c r="E3" s="2565"/>
    </row>
    <row r="4" spans="1:6" ht="15.6">
      <c r="A4" s="2566"/>
      <c r="B4" s="2564"/>
      <c r="C4" s="2564"/>
      <c r="D4" s="2564"/>
      <c r="E4" s="2565"/>
    </row>
    <row r="5" spans="1:6" ht="14.4">
      <c r="A5" s="2567" t="s">
        <v>2510</v>
      </c>
      <c r="B5" s="3247" t="s">
        <v>2511</v>
      </c>
      <c r="C5" s="3247"/>
      <c r="D5" s="2568"/>
      <c r="E5" s="2569" t="s">
        <v>2512</v>
      </c>
      <c r="F5" s="2570" t="s">
        <v>2513</v>
      </c>
    </row>
    <row r="6" spans="1:6" ht="14.4">
      <c r="A6" s="2571" t="str">
        <f>'数据-取费表'!AN6</f>
        <v>收益法 (元)</v>
      </c>
      <c r="B6" s="2570">
        <f ca="1">IF(F6="是",'数据-取费表'!AO6,0)</f>
        <v>970</v>
      </c>
      <c r="C6" s="2561" t="s">
        <v>2508</v>
      </c>
      <c r="D6" s="2564"/>
      <c r="E6" s="2572">
        <f>IF(OR(A6=0,F6="否"),0,'数据-取费表'!K6+'数据-取费表'!S6)</f>
        <v>264.85000000000002</v>
      </c>
      <c r="F6" s="2573" t="s">
        <v>2514</v>
      </c>
    </row>
    <row r="7" spans="1:6" ht="14.4">
      <c r="A7" s="2571">
        <f>'数据-取费表'!AN7</f>
        <v>0</v>
      </c>
      <c r="B7" s="2570" t="e">
        <f ca="1">IF(F7="是",'数据-取费表'!AO7,0)</f>
        <v>#REF!</v>
      </c>
      <c r="C7" s="2561" t="s">
        <v>2508</v>
      </c>
      <c r="D7" s="2564"/>
      <c r="E7" s="2572">
        <f>IF(OR(A7=0,F7="否"),0,'数据-取费表'!K7+'数据-取费表'!S7)</f>
        <v>0</v>
      </c>
      <c r="F7" s="2573" t="s">
        <v>2514</v>
      </c>
    </row>
    <row r="8" spans="1:6" ht="14.4">
      <c r="A8" s="2571">
        <f>'数据-取费表'!AN8</f>
        <v>0</v>
      </c>
      <c r="B8" s="2570" t="e">
        <f ca="1">IF(F8="是",'数据-取费表'!AO8,0)</f>
        <v>#REF!</v>
      </c>
      <c r="C8" s="2561" t="s">
        <v>2508</v>
      </c>
      <c r="D8" s="2564"/>
      <c r="E8" s="2572">
        <f>IF(OR(A8=0,F8="否"),0,'数据-取费表'!K8+'数据-取费表'!S8)</f>
        <v>0</v>
      </c>
      <c r="F8" s="2573" t="s">
        <v>2514</v>
      </c>
    </row>
    <row r="9" spans="1:6" ht="14.4">
      <c r="A9" s="2571">
        <f>'数据-取费表'!AN9</f>
        <v>0</v>
      </c>
      <c r="B9" s="2570" t="e">
        <f ca="1">IF(F9="是",'数据-取费表'!AO9,0)</f>
        <v>#REF!</v>
      </c>
      <c r="C9" s="2561" t="s">
        <v>2508</v>
      </c>
      <c r="D9" s="2564"/>
      <c r="E9" s="2572">
        <f>IF(OR(A9=0,F9="否"),0,'数据-取费表'!K9+'数据-取费表'!S9)</f>
        <v>0</v>
      </c>
      <c r="F9" s="2573" t="s">
        <v>2514</v>
      </c>
    </row>
    <row r="10" spans="1:6" ht="14.4">
      <c r="A10" s="2571">
        <f>'数据-取费表'!AN10</f>
        <v>0</v>
      </c>
      <c r="B10" s="2570" t="e">
        <f ca="1">IF(F10="是",'数据-取费表'!AO10,0)</f>
        <v>#REF!</v>
      </c>
      <c r="C10" s="2561" t="s">
        <v>2508</v>
      </c>
      <c r="D10" s="2564"/>
      <c r="E10" s="2572">
        <f>IF(OR(A10=0,F10="否"),0,'数据-取费表'!K10+'数据-取费表'!S10)</f>
        <v>0</v>
      </c>
      <c r="F10" s="2573" t="s">
        <v>2514</v>
      </c>
    </row>
    <row r="11" spans="1:6" ht="14.4">
      <c r="A11" s="2571">
        <f>'数据-取费表'!AN11</f>
        <v>0</v>
      </c>
      <c r="B11" s="2570" t="e">
        <f ca="1">IF(F11="是",'数据-取费表'!AO11,0)</f>
        <v>#REF!</v>
      </c>
      <c r="C11" s="2561" t="s">
        <v>2508</v>
      </c>
      <c r="D11" s="2564"/>
      <c r="E11" s="2572">
        <f>IF(OR(A11=0,F11="否"),0,'数据-取费表'!K11+'数据-取费表'!S11)</f>
        <v>0</v>
      </c>
      <c r="F11" s="2573" t="s">
        <v>2514</v>
      </c>
    </row>
    <row r="12" spans="1:6" ht="14.4">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64" t="s">
        <v>1073</v>
      </c>
      <c r="B1" s="3265"/>
      <c r="C1" s="3266"/>
      <c r="D1" s="3267">
        <f>SUM(I10,I15,I20,I21,I23)</f>
        <v>0</v>
      </c>
      <c r="E1" s="3267"/>
      <c r="F1" s="3267"/>
      <c r="G1" s="3267"/>
      <c r="H1" s="3267"/>
      <c r="I1" s="3268"/>
    </row>
    <row r="2" spans="1:9">
      <c r="A2" s="3254" t="s">
        <v>1074</v>
      </c>
      <c r="B2" s="3255" t="s">
        <v>1075</v>
      </c>
      <c r="C2" s="3255"/>
      <c r="D2" s="1299" t="s">
        <v>1076</v>
      </c>
      <c r="E2" s="1299" t="s">
        <v>1077</v>
      </c>
      <c r="F2" s="1299" t="s">
        <v>1078</v>
      </c>
      <c r="G2" s="1299" t="s">
        <v>1079</v>
      </c>
      <c r="H2" s="1299" t="s">
        <v>1080</v>
      </c>
      <c r="I2" s="1300" t="s">
        <v>1081</v>
      </c>
    </row>
    <row r="3" spans="1:9">
      <c r="A3" s="3254"/>
      <c r="B3" s="3255" t="s">
        <v>1082</v>
      </c>
      <c r="C3" s="3255"/>
      <c r="D3" s="1301"/>
      <c r="E3" s="1299"/>
      <c r="F3" s="1302"/>
      <c r="G3" s="1302"/>
      <c r="H3" s="1303"/>
      <c r="I3" s="1304">
        <f>ROUND(D3*E3*F3*G3*H3/10000,0)</f>
        <v>0</v>
      </c>
    </row>
    <row r="4" spans="1:9">
      <c r="A4" s="3254"/>
      <c r="B4" s="3255" t="s">
        <v>1083</v>
      </c>
      <c r="C4" s="3255"/>
      <c r="D4" s="1301"/>
      <c r="E4" s="1299"/>
      <c r="F4" s="1302"/>
      <c r="G4" s="1302"/>
      <c r="H4" s="1303"/>
      <c r="I4" s="1304">
        <f t="shared" ref="I4:I9" si="0">ROUND(D4*E4*F4*G4*H4/10000,0)</f>
        <v>0</v>
      </c>
    </row>
    <row r="5" spans="1:9">
      <c r="A5" s="3254"/>
      <c r="B5" s="3255" t="s">
        <v>1084</v>
      </c>
      <c r="C5" s="3255"/>
      <c r="D5" s="1301"/>
      <c r="E5" s="1299"/>
      <c r="F5" s="1302"/>
      <c r="G5" s="1302"/>
      <c r="H5" s="1303"/>
      <c r="I5" s="1304">
        <f t="shared" si="0"/>
        <v>0</v>
      </c>
    </row>
    <row r="6" spans="1:9">
      <c r="A6" s="3254"/>
      <c r="B6" s="3255" t="s">
        <v>1085</v>
      </c>
      <c r="C6" s="3255"/>
      <c r="D6" s="1301"/>
      <c r="E6" s="1299"/>
      <c r="F6" s="1302"/>
      <c r="G6" s="1302"/>
      <c r="H6" s="1303"/>
      <c r="I6" s="1304">
        <f t="shared" si="0"/>
        <v>0</v>
      </c>
    </row>
    <row r="7" spans="1:9">
      <c r="A7" s="3254"/>
      <c r="B7" s="3255" t="s">
        <v>1086</v>
      </c>
      <c r="C7" s="3255"/>
      <c r="D7" s="1301"/>
      <c r="E7" s="1299"/>
      <c r="F7" s="1302"/>
      <c r="G7" s="1302"/>
      <c r="H7" s="1303"/>
      <c r="I7" s="1304">
        <f t="shared" si="0"/>
        <v>0</v>
      </c>
    </row>
    <row r="8" spans="1:9">
      <c r="A8" s="3254"/>
      <c r="B8" s="3255" t="s">
        <v>1087</v>
      </c>
      <c r="C8" s="3255"/>
      <c r="D8" s="1301"/>
      <c r="E8" s="1299"/>
      <c r="F8" s="1302"/>
      <c r="G8" s="1302"/>
      <c r="H8" s="1303"/>
      <c r="I8" s="1304">
        <f t="shared" si="0"/>
        <v>0</v>
      </c>
    </row>
    <row r="9" spans="1:9">
      <c r="A9" s="3254"/>
      <c r="B9" s="3255" t="s">
        <v>1088</v>
      </c>
      <c r="C9" s="3255"/>
      <c r="D9" s="1301"/>
      <c r="E9" s="1299"/>
      <c r="F9" s="1302"/>
      <c r="G9" s="1302"/>
      <c r="H9" s="1303"/>
      <c r="I9" s="1304">
        <f t="shared" si="0"/>
        <v>0</v>
      </c>
    </row>
    <row r="10" spans="1:9">
      <c r="A10" s="3254"/>
      <c r="B10" s="3256" t="s">
        <v>1089</v>
      </c>
      <c r="C10" s="3256"/>
      <c r="D10" s="1305"/>
      <c r="E10" s="1305" t="e">
        <f>ROUND(D1*10000/D10/H9,0)</f>
        <v>#DIV/0!</v>
      </c>
      <c r="F10" s="1306"/>
      <c r="G10" s="1306"/>
      <c r="H10" s="1307"/>
      <c r="I10" s="1308">
        <f>SUM(I3:I9)</f>
        <v>0</v>
      </c>
    </row>
    <row r="11" spans="1:9" ht="15.6">
      <c r="A11" s="3254" t="s">
        <v>1090</v>
      </c>
      <c r="B11" s="3255" t="s">
        <v>1091</v>
      </c>
      <c r="C11" s="3255"/>
      <c r="D11" s="1301" t="s">
        <v>1092</v>
      </c>
      <c r="E11" s="1301" t="s">
        <v>1093</v>
      </c>
      <c r="F11" s="1302" t="s">
        <v>1094</v>
      </c>
      <c r="G11" s="1302" t="s">
        <v>1080</v>
      </c>
      <c r="H11" s="1309" t="s">
        <v>1095</v>
      </c>
      <c r="I11" s="1300" t="s">
        <v>1081</v>
      </c>
    </row>
    <row r="12" spans="1:9">
      <c r="A12" s="3254"/>
      <c r="B12" s="3255" t="s">
        <v>1096</v>
      </c>
      <c r="C12" s="3255"/>
      <c r="D12" s="1301"/>
      <c r="E12" s="1301"/>
      <c r="F12" s="1302"/>
      <c r="G12" s="1303"/>
      <c r="H12" s="1310"/>
      <c r="I12" s="1300">
        <f>ROUND(D12*E12*F12*G12/10000,0)</f>
        <v>0</v>
      </c>
    </row>
    <row r="13" spans="1:9">
      <c r="A13" s="3254"/>
      <c r="B13" s="3255" t="s">
        <v>1097</v>
      </c>
      <c r="C13" s="3255"/>
      <c r="D13" s="1301"/>
      <c r="E13" s="1301"/>
      <c r="F13" s="1302"/>
      <c r="G13" s="1303"/>
      <c r="H13" s="1310"/>
      <c r="I13" s="1300">
        <f>ROUND(D13*E13*F13*G13/10000,0)</f>
        <v>0</v>
      </c>
    </row>
    <row r="14" spans="1:9">
      <c r="A14" s="3254"/>
      <c r="B14" s="3255" t="s">
        <v>1098</v>
      </c>
      <c r="C14" s="3255"/>
      <c r="D14" s="1301"/>
      <c r="E14" s="1301"/>
      <c r="F14" s="1302"/>
      <c r="G14" s="1303"/>
      <c r="H14" s="1310"/>
      <c r="I14" s="1300">
        <f>ROUND(D14*E14*F14*G14/10000,0)</f>
        <v>0</v>
      </c>
    </row>
    <row r="15" spans="1:9">
      <c r="A15" s="3254"/>
      <c r="B15" s="3256" t="s">
        <v>1089</v>
      </c>
      <c r="C15" s="3256"/>
      <c r="D15" s="1305"/>
      <c r="E15" s="1305">
        <f>SUM(E12:E14)</f>
        <v>0</v>
      </c>
      <c r="F15" s="1306"/>
      <c r="G15" s="1303"/>
      <c r="H15" s="1310"/>
      <c r="I15" s="1311">
        <f>SUM(I12:I14)</f>
        <v>0</v>
      </c>
    </row>
    <row r="16" spans="1:9" ht="24">
      <c r="A16" s="3254" t="s">
        <v>1099</v>
      </c>
      <c r="B16" s="3255" t="s">
        <v>1100</v>
      </c>
      <c r="C16" s="3255"/>
      <c r="D16" s="1301" t="s">
        <v>1076</v>
      </c>
      <c r="E16" s="1312" t="s">
        <v>1101</v>
      </c>
      <c r="F16" s="1302" t="s">
        <v>1102</v>
      </c>
      <c r="G16" s="1303" t="s">
        <v>1080</v>
      </c>
      <c r="H16" s="1309" t="s">
        <v>1095</v>
      </c>
      <c r="I16" s="1300" t="s">
        <v>1081</v>
      </c>
    </row>
    <row r="17" spans="1:9" ht="15.6">
      <c r="A17" s="3254"/>
      <c r="B17" s="3255" t="s">
        <v>1103</v>
      </c>
      <c r="C17" s="3255"/>
      <c r="D17" s="1301"/>
      <c r="E17" s="1301"/>
      <c r="F17" s="1302"/>
      <c r="G17" s="1303"/>
      <c r="H17" s="1313"/>
      <c r="I17" s="1314">
        <f>ROUND(D17*E17*F17*G17/10000,0)</f>
        <v>0</v>
      </c>
    </row>
    <row r="18" spans="1:9" ht="15.6">
      <c r="A18" s="3254"/>
      <c r="B18" s="3255" t="s">
        <v>1104</v>
      </c>
      <c r="C18" s="3255"/>
      <c r="D18" s="1301"/>
      <c r="E18" s="1301"/>
      <c r="F18" s="1302"/>
      <c r="G18" s="1303"/>
      <c r="H18" s="1313"/>
      <c r="I18" s="1314">
        <f>ROUND(D18*E18*F18*G18/10000,0)</f>
        <v>0</v>
      </c>
    </row>
    <row r="19" spans="1:9" ht="15.6">
      <c r="A19" s="3254"/>
      <c r="B19" s="3255" t="s">
        <v>1105</v>
      </c>
      <c r="C19" s="3255"/>
      <c r="D19" s="1301"/>
      <c r="E19" s="1301"/>
      <c r="F19" s="1302"/>
      <c r="G19" s="1303"/>
      <c r="H19" s="1313"/>
      <c r="I19" s="1314">
        <f>ROUND(D19*E19*F19*G19/10000,0)</f>
        <v>0</v>
      </c>
    </row>
    <row r="20" spans="1:9">
      <c r="A20" s="3254"/>
      <c r="B20" s="3256" t="s">
        <v>1089</v>
      </c>
      <c r="C20" s="3256"/>
      <c r="D20" s="1305">
        <f>SUM(D17:D19)</f>
        <v>0</v>
      </c>
      <c r="E20" s="1305"/>
      <c r="F20" s="1306"/>
      <c r="G20" s="1303"/>
      <c r="H20" s="1310"/>
      <c r="I20" s="1311">
        <f>SUM(I17:I19)</f>
        <v>0</v>
      </c>
    </row>
    <row r="21" spans="1:9">
      <c r="A21" s="3254" t="s">
        <v>1106</v>
      </c>
      <c r="B21" s="3257"/>
      <c r="C21" s="3257"/>
      <c r="D21" s="3257"/>
      <c r="E21" s="3257"/>
      <c r="F21" s="3257"/>
      <c r="G21" s="3257"/>
      <c r="H21" s="1763">
        <v>0.1</v>
      </c>
      <c r="I21" s="1308">
        <f>ROUND(I10*H21,0)</f>
        <v>0</v>
      </c>
    </row>
    <row r="22" spans="1:9" ht="15.6">
      <c r="A22" s="3258" t="s">
        <v>1107</v>
      </c>
      <c r="B22" s="3259"/>
      <c r="C22" s="3260"/>
      <c r="D22" s="1315" t="s">
        <v>1108</v>
      </c>
      <c r="E22" s="1315" t="s">
        <v>1109</v>
      </c>
      <c r="F22" s="1316" t="s">
        <v>1110</v>
      </c>
      <c r="G22" s="1316" t="s">
        <v>1111</v>
      </c>
      <c r="H22" s="1309" t="s">
        <v>1112</v>
      </c>
      <c r="I22" s="1300" t="s">
        <v>1113</v>
      </c>
    </row>
    <row r="23" spans="1:9" ht="15" thickBot="1">
      <c r="A23" s="3261"/>
      <c r="B23" s="3262"/>
      <c r="C23" s="3263"/>
      <c r="D23" s="1317"/>
      <c r="E23" s="1317"/>
      <c r="F23" s="1317"/>
      <c r="G23" s="1318"/>
      <c r="H23" s="1319"/>
      <c r="I23" s="1320">
        <f>ROUND(E23*D23*F23*(1-G23)/10000,0)</f>
        <v>0</v>
      </c>
    </row>
    <row r="26" spans="1:9">
      <c r="A26" s="1321" t="s">
        <v>1114</v>
      </c>
      <c r="B26" s="1321"/>
      <c r="C26" s="1321"/>
      <c r="D26" s="1321"/>
      <c r="E26" s="3251">
        <f>C27-C30-C31-C32</f>
        <v>0</v>
      </c>
      <c r="F26" s="3251"/>
      <c r="G26" s="3251"/>
      <c r="H26" s="1735" t="s">
        <v>1336</v>
      </c>
    </row>
    <row r="27" spans="1:9">
      <c r="A27" s="1322">
        <v>1</v>
      </c>
      <c r="B27" s="1323" t="s">
        <v>1115</v>
      </c>
      <c r="C27" s="1323">
        <f>C28+C29</f>
        <v>0</v>
      </c>
      <c r="D27" s="1323"/>
      <c r="E27" s="3252"/>
      <c r="F27" s="3252"/>
      <c r="G27" s="3252"/>
    </row>
    <row r="28" spans="1:9">
      <c r="A28" s="1324" t="s">
        <v>1116</v>
      </c>
      <c r="B28" s="1323" t="s">
        <v>1117</v>
      </c>
      <c r="C28" s="1323"/>
      <c r="D28" s="1323"/>
      <c r="E28" s="3252"/>
      <c r="F28" s="3252"/>
      <c r="G28" s="325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3"/>
      <c r="F32" s="3253"/>
      <c r="G32" s="3253"/>
    </row>
    <row r="33" spans="1:7" hidden="1">
      <c r="A33" s="3248" t="s">
        <v>1126</v>
      </c>
      <c r="B33" s="3249"/>
      <c r="C33" s="3249"/>
      <c r="D33" s="3250"/>
      <c r="E33" s="3251"/>
      <c r="F33" s="3251"/>
      <c r="G33" s="3251"/>
    </row>
    <row r="34" spans="1:7" hidden="1">
      <c r="A34" s="1326">
        <v>1</v>
      </c>
      <c r="B34" s="1323" t="s">
        <v>1127</v>
      </c>
      <c r="C34" s="1323"/>
      <c r="D34" s="1323"/>
      <c r="E34" s="3252"/>
      <c r="F34" s="3252"/>
      <c r="G34" s="3252"/>
    </row>
    <row r="35" spans="1:7" hidden="1">
      <c r="A35" s="1326">
        <v>2</v>
      </c>
      <c r="B35" s="1323" t="s">
        <v>1128</v>
      </c>
      <c r="C35" s="1323"/>
      <c r="D35" s="1323"/>
      <c r="E35" s="3252"/>
      <c r="F35" s="3252"/>
      <c r="G35" s="3252"/>
    </row>
    <row r="36" spans="1:7" hidden="1">
      <c r="A36" s="1326">
        <v>3</v>
      </c>
      <c r="B36" s="1323" t="s">
        <v>1129</v>
      </c>
      <c r="C36" s="1323"/>
      <c r="D36" s="1323"/>
      <c r="E36" s="3252"/>
      <c r="F36" s="3252"/>
      <c r="G36" s="3252"/>
    </row>
    <row r="37" spans="1:7" hidden="1">
      <c r="A37" s="1326">
        <v>4</v>
      </c>
      <c r="B37" s="1323" t="s">
        <v>1130</v>
      </c>
      <c r="C37" s="1323"/>
      <c r="D37" s="1323"/>
      <c r="E37" s="3252"/>
      <c r="F37" s="3252"/>
      <c r="G37" s="3252"/>
    </row>
    <row r="38" spans="1:7" hidden="1">
      <c r="A38" s="3248" t="s">
        <v>1131</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ht="14.4">
      <c r="A4" s="401" t="s">
        <v>2524</v>
      </c>
      <c r="B4" s="402"/>
      <c r="C4" s="3216" t="s">
        <v>2525</v>
      </c>
      <c r="D4" s="3217"/>
      <c r="E4" s="3218" t="s">
        <v>2526</v>
      </c>
      <c r="F4" s="3219"/>
      <c r="G4" s="3216" t="s">
        <v>2527</v>
      </c>
      <c r="H4" s="3217"/>
      <c r="I4" s="3216" t="s">
        <v>2528</v>
      </c>
      <c r="J4" s="3217"/>
      <c r="K4" s="2591" t="s">
        <v>2529</v>
      </c>
      <c r="L4" s="1129"/>
      <c r="M4" s="1130"/>
      <c r="N4" s="1130"/>
      <c r="O4" s="1130"/>
      <c r="P4" s="3273" t="s">
        <v>2530</v>
      </c>
      <c r="Q4" s="3274"/>
      <c r="R4" s="3277" t="s">
        <v>2526</v>
      </c>
      <c r="S4" s="3278"/>
      <c r="T4" s="3277" t="s">
        <v>2527</v>
      </c>
      <c r="U4" s="3278"/>
      <c r="V4" s="3233" t="s">
        <v>2528</v>
      </c>
      <c r="W4" s="3233"/>
      <c r="X4" s="1811"/>
      <c r="Y4" s="3277" t="s">
        <v>2530</v>
      </c>
      <c r="Z4" s="3278"/>
      <c r="AA4" s="3272" t="s">
        <v>2526</v>
      </c>
      <c r="AB4" s="3272" t="s">
        <v>2527</v>
      </c>
      <c r="AC4" s="3272" t="s">
        <v>2528</v>
      </c>
    </row>
    <row r="5" spans="1:29">
      <c r="A5" s="404"/>
      <c r="B5" s="405"/>
      <c r="C5" s="3280" t="s">
        <v>2531</v>
      </c>
      <c r="D5" s="3237"/>
      <c r="E5" s="3283" t="s">
        <v>2532</v>
      </c>
      <c r="F5" s="3243"/>
      <c r="G5" s="3280" t="s">
        <v>2533</v>
      </c>
      <c r="H5" s="3237"/>
      <c r="I5" s="3280" t="s">
        <v>2534</v>
      </c>
      <c r="J5" s="3237"/>
      <c r="K5" s="2592"/>
      <c r="L5" s="1129"/>
      <c r="M5" s="1130"/>
      <c r="N5" s="1130"/>
      <c r="O5" s="1130"/>
      <c r="P5" s="3275"/>
      <c r="Q5" s="3223"/>
      <c r="R5" s="3228"/>
      <c r="S5" s="3229"/>
      <c r="T5" s="3228"/>
      <c r="U5" s="3229"/>
      <c r="V5" s="3233"/>
      <c r="W5" s="3233"/>
      <c r="X5" s="1811"/>
      <c r="Y5" s="3228"/>
      <c r="Z5" s="3229"/>
      <c r="AA5" s="3245"/>
      <c r="AB5" s="3245"/>
      <c r="AC5" s="3245"/>
    </row>
    <row r="6" spans="1:29" ht="15" thickBot="1">
      <c r="A6" s="406"/>
      <c r="B6" s="407"/>
      <c r="C6" s="3279" t="s">
        <v>2535</v>
      </c>
      <c r="D6" s="3235"/>
      <c r="E6" s="3281" t="s">
        <v>2535</v>
      </c>
      <c r="F6" s="3282"/>
      <c r="G6" s="3279" t="s">
        <v>2535</v>
      </c>
      <c r="H6" s="3235"/>
      <c r="I6" s="3279" t="s">
        <v>2535</v>
      </c>
      <c r="J6" s="3235"/>
      <c r="K6" s="2592" t="s">
        <v>2536</v>
      </c>
      <c r="L6" s="1129"/>
      <c r="M6" s="1130"/>
      <c r="N6" s="1130"/>
      <c r="O6" s="1130"/>
      <c r="P6" s="3276"/>
      <c r="Q6" s="3225"/>
      <c r="R6" s="3228"/>
      <c r="S6" s="3229"/>
      <c r="T6" s="3230"/>
      <c r="U6" s="3231"/>
      <c r="V6" s="3233"/>
      <c r="W6" s="3233"/>
      <c r="X6" s="1811"/>
      <c r="Y6" s="3230"/>
      <c r="Z6" s="3231"/>
      <c r="AA6" s="3246"/>
      <c r="AB6" s="3246"/>
      <c r="AC6" s="3246"/>
    </row>
    <row r="7" spans="1:29" s="117" customFormat="1" ht="1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40" t="s">
        <v>2538</v>
      </c>
      <c r="Q7" s="3241"/>
      <c r="R7" s="769" t="s">
        <v>23</v>
      </c>
      <c r="S7" s="770">
        <f t="shared" ref="S7:S15" si="0">F7</f>
        <v>0</v>
      </c>
      <c r="T7" s="769" t="s">
        <v>23</v>
      </c>
      <c r="U7" s="770">
        <f t="shared" ref="U7:U15" si="1">H7</f>
        <v>0</v>
      </c>
      <c r="V7" s="769" t="s">
        <v>23</v>
      </c>
      <c r="W7" s="770">
        <f t="shared" ref="W7:W15" si="2">J7</f>
        <v>0</v>
      </c>
      <c r="X7" s="771"/>
      <c r="Y7" s="3240" t="s">
        <v>2538</v>
      </c>
      <c r="Z7" s="3239"/>
      <c r="AA7" s="772" t="e">
        <f>D7/F7</f>
        <v>#DIV/0!</v>
      </c>
      <c r="AB7" s="772" t="e">
        <f>D7/H7</f>
        <v>#DIV/0!</v>
      </c>
      <c r="AC7" s="772" t="e">
        <f>D7/J7</f>
        <v>#DIV/0!</v>
      </c>
    </row>
    <row r="8" spans="1:29" s="117" customFormat="1" ht="1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40" t="s">
        <v>2541</v>
      </c>
      <c r="Q8" s="3239"/>
      <c r="R8" s="769" t="s">
        <v>23</v>
      </c>
      <c r="S8" s="770">
        <f t="shared" si="0"/>
        <v>0</v>
      </c>
      <c r="T8" s="769" t="s">
        <v>23</v>
      </c>
      <c r="U8" s="770">
        <f t="shared" si="1"/>
        <v>0</v>
      </c>
      <c r="V8" s="769" t="s">
        <v>23</v>
      </c>
      <c r="W8" s="770">
        <f t="shared" si="2"/>
        <v>0</v>
      </c>
      <c r="X8" s="771"/>
      <c r="Y8" s="3240" t="s">
        <v>2541</v>
      </c>
      <c r="Z8" s="3239"/>
      <c r="AA8" s="772" t="e">
        <f t="shared" ref="AA8:AA19" si="3">D8/F8</f>
        <v>#DIV/0!</v>
      </c>
      <c r="AB8" s="772" t="e">
        <f t="shared" ref="AB8:AB19" si="4">D8/H8</f>
        <v>#DIV/0!</v>
      </c>
      <c r="AC8" s="772" t="e">
        <f t="shared" ref="AC8:AC19" si="5">D8/J8</f>
        <v>#DIV/0!</v>
      </c>
    </row>
    <row r="9" spans="1:29" s="117" customFormat="1" ht="14.4">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8.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8"/>
      <c r="Q11" s="1793" t="str">
        <f t="shared" si="6"/>
        <v>容积率</v>
      </c>
      <c r="R11" s="769" t="s">
        <v>21</v>
      </c>
      <c r="S11" s="770" t="e">
        <f t="shared" si="0"/>
        <v>#N/A</v>
      </c>
      <c r="T11" s="769" t="s">
        <v>21</v>
      </c>
      <c r="U11" s="770" t="e">
        <f t="shared" si="1"/>
        <v>#N/A</v>
      </c>
      <c r="V11" s="769" t="s">
        <v>21</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198"/>
      <c r="Q12" s="1793">
        <f t="shared" si="6"/>
        <v>111</v>
      </c>
      <c r="R12" s="769" t="s">
        <v>21</v>
      </c>
      <c r="S12" s="770">
        <f t="shared" si="0"/>
        <v>100</v>
      </c>
      <c r="T12" s="769" t="s">
        <v>21</v>
      </c>
      <c r="U12" s="770">
        <f t="shared" si="1"/>
        <v>100</v>
      </c>
      <c r="V12" s="769" t="s">
        <v>21</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198"/>
      <c r="Q13" s="1793">
        <f t="shared" si="6"/>
        <v>111</v>
      </c>
      <c r="R13" s="769" t="s">
        <v>21</v>
      </c>
      <c r="S13" s="770">
        <f t="shared" si="0"/>
        <v>100</v>
      </c>
      <c r="T13" s="769" t="s">
        <v>21</v>
      </c>
      <c r="U13" s="770">
        <f t="shared" si="1"/>
        <v>100</v>
      </c>
      <c r="V13" s="769" t="s">
        <v>21</v>
      </c>
      <c r="W13" s="770">
        <f t="shared" si="2"/>
        <v>100</v>
      </c>
      <c r="X13" s="771"/>
      <c r="Y13" s="3048"/>
      <c r="Z13" s="55">
        <f t="shared" si="7"/>
        <v>111</v>
      </c>
      <c r="AA13" s="772">
        <f t="shared" si="3"/>
        <v>1</v>
      </c>
      <c r="AB13" s="772">
        <f t="shared" si="4"/>
        <v>1</v>
      </c>
      <c r="AC13" s="772">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198"/>
      <c r="Q14" s="1793">
        <f t="shared" si="6"/>
        <v>111</v>
      </c>
      <c r="R14" s="769" t="s">
        <v>21</v>
      </c>
      <c r="S14" s="770">
        <f t="shared" si="0"/>
        <v>100</v>
      </c>
      <c r="T14" s="769" t="s">
        <v>21</v>
      </c>
      <c r="U14" s="770">
        <f t="shared" si="1"/>
        <v>100</v>
      </c>
      <c r="V14" s="769" t="s">
        <v>21</v>
      </c>
      <c r="W14" s="770">
        <f t="shared" si="2"/>
        <v>100</v>
      </c>
      <c r="X14" s="771"/>
      <c r="Y14" s="3048"/>
      <c r="Z14" s="55">
        <f t="shared" si="7"/>
        <v>111</v>
      </c>
      <c r="AA14" s="772">
        <f t="shared" si="3"/>
        <v>1</v>
      </c>
      <c r="AB14" s="772">
        <f t="shared" si="4"/>
        <v>1</v>
      </c>
      <c r="AC14" s="772">
        <f t="shared" si="5"/>
        <v>1</v>
      </c>
    </row>
    <row r="15" spans="1:29" ht="1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04" t="s">
        <v>2549</v>
      </c>
      <c r="Q15" s="1808" t="str">
        <f t="shared" si="6"/>
        <v>居住社区成熟度</v>
      </c>
      <c r="R15" s="773" t="s">
        <v>21</v>
      </c>
      <c r="S15" s="774">
        <f t="shared" si="0"/>
        <v>100</v>
      </c>
      <c r="T15" s="773" t="s">
        <v>21</v>
      </c>
      <c r="U15" s="774">
        <f t="shared" si="1"/>
        <v>100</v>
      </c>
      <c r="V15" s="773" t="s">
        <v>21</v>
      </c>
      <c r="W15" s="774">
        <f t="shared" si="2"/>
        <v>100</v>
      </c>
      <c r="X15" s="1811"/>
      <c r="Y15" s="3206"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05"/>
      <c r="Q16" s="1808"/>
      <c r="R16" s="773"/>
      <c r="S16" s="774"/>
      <c r="T16" s="773"/>
      <c r="U16" s="774"/>
      <c r="V16" s="773"/>
      <c r="W16" s="774"/>
      <c r="X16" s="1811"/>
      <c r="Y16" s="3207"/>
      <c r="Z16" s="1812"/>
      <c r="AA16" s="1809">
        <v>1</v>
      </c>
      <c r="AB16" s="1809">
        <v>1</v>
      </c>
      <c r="AC16" s="1809">
        <v>1</v>
      </c>
    </row>
    <row r="17" spans="1:29" ht="248.4">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05"/>
      <c r="Q17" s="1808" t="str">
        <f>B17</f>
        <v>交通便捷度</v>
      </c>
      <c r="R17" s="773" t="s">
        <v>21</v>
      </c>
      <c r="S17" s="774">
        <f>F17</f>
        <v>100</v>
      </c>
      <c r="T17" s="773" t="s">
        <v>21</v>
      </c>
      <c r="U17" s="774">
        <f>H17</f>
        <v>100</v>
      </c>
      <c r="V17" s="773" t="s">
        <v>21</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05"/>
      <c r="Q18" s="1808"/>
      <c r="R18" s="773"/>
      <c r="S18" s="774"/>
      <c r="T18" s="773"/>
      <c r="U18" s="774"/>
      <c r="V18" s="773"/>
      <c r="W18" s="774"/>
      <c r="X18" s="1811"/>
      <c r="Y18" s="3207"/>
      <c r="Z18" s="1812"/>
      <c r="AA18" s="1809">
        <v>1</v>
      </c>
      <c r="AB18" s="1809">
        <v>1</v>
      </c>
      <c r="AC18" s="1809">
        <v>1</v>
      </c>
    </row>
    <row r="19" spans="1:29" ht="248.4">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05"/>
      <c r="Q19" s="1808" t="str">
        <f>B19</f>
        <v>公共配套设施</v>
      </c>
      <c r="R19" s="773" t="s">
        <v>21</v>
      </c>
      <c r="S19" s="774">
        <f>F19</f>
        <v>100</v>
      </c>
      <c r="T19" s="773" t="s">
        <v>21</v>
      </c>
      <c r="U19" s="774">
        <f>H19</f>
        <v>100</v>
      </c>
      <c r="V19" s="773" t="s">
        <v>21</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05"/>
      <c r="Q20" s="1808"/>
      <c r="R20" s="773"/>
      <c r="S20" s="774"/>
      <c r="T20" s="773"/>
      <c r="U20" s="774"/>
      <c r="V20" s="773"/>
      <c r="W20" s="774"/>
      <c r="X20" s="1811"/>
      <c r="Y20" s="3207"/>
      <c r="Z20" s="1812"/>
      <c r="AA20" s="1809">
        <v>1</v>
      </c>
      <c r="AB20" s="1809">
        <v>1</v>
      </c>
      <c r="AC20" s="1809">
        <v>1</v>
      </c>
    </row>
    <row r="21" spans="1:29" ht="27.6">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8"/>
      <c r="G22" s="2606"/>
      <c r="H22" s="448"/>
      <c r="I22" s="447"/>
      <c r="J22" s="448"/>
      <c r="K22" s="2607"/>
      <c r="L22" s="1139"/>
      <c r="M22" s="1130"/>
      <c r="N22" s="1130"/>
      <c r="O22" s="1130"/>
      <c r="P22" s="3205"/>
      <c r="Q22" s="1808"/>
      <c r="R22" s="773"/>
      <c r="S22" s="774"/>
      <c r="T22" s="773"/>
      <c r="U22" s="774"/>
      <c r="V22" s="773"/>
      <c r="W22" s="774"/>
      <c r="X22" s="1811"/>
      <c r="Y22" s="3207"/>
      <c r="Z22" s="1812"/>
      <c r="AA22" s="1809">
        <v>1</v>
      </c>
      <c r="AB22" s="1809">
        <v>1</v>
      </c>
      <c r="AC22" s="1809">
        <v>1</v>
      </c>
    </row>
    <row r="23" spans="1:29" ht="193.2">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05"/>
      <c r="Q23" s="1808" t="str">
        <f>B23</f>
        <v>自然及人文环境</v>
      </c>
      <c r="R23" s="773" t="s">
        <v>21</v>
      </c>
      <c r="S23" s="774">
        <f>F23</f>
        <v>100</v>
      </c>
      <c r="T23" s="773" t="s">
        <v>21</v>
      </c>
      <c r="U23" s="774">
        <f>H23</f>
        <v>100</v>
      </c>
      <c r="V23" s="773" t="s">
        <v>21</v>
      </c>
      <c r="W23" s="774">
        <f>J23</f>
        <v>100</v>
      </c>
      <c r="X23" s="1811"/>
      <c r="Y23" s="320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05"/>
      <c r="Q24" s="1808"/>
      <c r="R24" s="773"/>
      <c r="S24" s="774"/>
      <c r="T24" s="773"/>
      <c r="U24" s="774"/>
      <c r="V24" s="773"/>
      <c r="W24" s="774"/>
      <c r="X24" s="1811"/>
      <c r="Y24" s="3207"/>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0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05"/>
      <c r="Q26" s="1808" t="str">
        <f t="shared" si="11"/>
        <v>朝向</v>
      </c>
      <c r="R26" s="773" t="s">
        <v>21</v>
      </c>
      <c r="S26" s="774">
        <f t="shared" si="12"/>
        <v>100</v>
      </c>
      <c r="T26" s="773" t="s">
        <v>21</v>
      </c>
      <c r="U26" s="774">
        <f t="shared" si="13"/>
        <v>100</v>
      </c>
      <c r="V26" s="773" t="s">
        <v>21</v>
      </c>
      <c r="W26" s="774">
        <f t="shared" si="14"/>
        <v>100</v>
      </c>
      <c r="X26" s="1811"/>
      <c r="Y26" s="320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05"/>
      <c r="Q27" s="1793">
        <f t="shared" si="11"/>
        <v>111</v>
      </c>
      <c r="R27" s="769" t="s">
        <v>21</v>
      </c>
      <c r="S27" s="770">
        <f t="shared" si="12"/>
        <v>100</v>
      </c>
      <c r="T27" s="769" t="s">
        <v>21</v>
      </c>
      <c r="U27" s="770">
        <f t="shared" si="13"/>
        <v>100</v>
      </c>
      <c r="V27" s="769" t="s">
        <v>21</v>
      </c>
      <c r="W27" s="770">
        <f t="shared" si="14"/>
        <v>100</v>
      </c>
      <c r="X27" s="771"/>
      <c r="Y27" s="320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05"/>
      <c r="Q28" s="1808">
        <f t="shared" si="11"/>
        <v>111</v>
      </c>
      <c r="R28" s="773" t="s">
        <v>21</v>
      </c>
      <c r="S28" s="774">
        <f t="shared" si="12"/>
        <v>100</v>
      </c>
      <c r="T28" s="773" t="s">
        <v>21</v>
      </c>
      <c r="U28" s="774">
        <f t="shared" si="13"/>
        <v>100</v>
      </c>
      <c r="V28" s="773" t="s">
        <v>21</v>
      </c>
      <c r="W28" s="774">
        <f t="shared" si="14"/>
        <v>100</v>
      </c>
      <c r="X28" s="1811"/>
      <c r="Y28" s="320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05"/>
      <c r="Q29" s="1808">
        <f t="shared" si="11"/>
        <v>111</v>
      </c>
      <c r="R29" s="773" t="s">
        <v>21</v>
      </c>
      <c r="S29" s="774">
        <f t="shared" si="12"/>
        <v>100</v>
      </c>
      <c r="T29" s="773" t="s">
        <v>21</v>
      </c>
      <c r="U29" s="774">
        <f t="shared" si="13"/>
        <v>100</v>
      </c>
      <c r="V29" s="773" t="s">
        <v>21</v>
      </c>
      <c r="W29" s="774">
        <f t="shared" si="14"/>
        <v>100</v>
      </c>
      <c r="X29" s="1811"/>
      <c r="Y29" s="320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05"/>
      <c r="Q30" s="1808">
        <f t="shared" si="11"/>
        <v>111</v>
      </c>
      <c r="R30" s="773" t="s">
        <v>21</v>
      </c>
      <c r="S30" s="774">
        <f t="shared" si="12"/>
        <v>100</v>
      </c>
      <c r="T30" s="773" t="s">
        <v>21</v>
      </c>
      <c r="U30" s="774">
        <f t="shared" si="13"/>
        <v>100</v>
      </c>
      <c r="V30" s="773" t="s">
        <v>21</v>
      </c>
      <c r="W30" s="774">
        <f t="shared" si="14"/>
        <v>100</v>
      </c>
      <c r="X30" s="1811"/>
      <c r="Y30" s="3207"/>
      <c r="Z30" s="1812">
        <f t="shared" si="18"/>
        <v>111</v>
      </c>
      <c r="AA30" s="1809">
        <f t="shared" si="15"/>
        <v>1</v>
      </c>
      <c r="AB30" s="1809">
        <f t="shared" si="16"/>
        <v>1</v>
      </c>
      <c r="AC30" s="1809">
        <f t="shared" si="17"/>
        <v>1</v>
      </c>
    </row>
    <row r="31" spans="1:29" ht="15.6"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05"/>
      <c r="Q31" s="1808">
        <f t="shared" si="11"/>
        <v>111</v>
      </c>
      <c r="R31" s="773" t="s">
        <v>21</v>
      </c>
      <c r="S31" s="774">
        <f t="shared" si="12"/>
        <v>100</v>
      </c>
      <c r="T31" s="773" t="s">
        <v>21</v>
      </c>
      <c r="U31" s="774">
        <f t="shared" si="13"/>
        <v>100</v>
      </c>
      <c r="V31" s="773" t="s">
        <v>21</v>
      </c>
      <c r="W31" s="774">
        <f t="shared" si="14"/>
        <v>100</v>
      </c>
      <c r="X31" s="1811"/>
      <c r="Y31" s="3207"/>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08" t="s">
        <v>2554</v>
      </c>
      <c r="Q32" s="1808" t="str">
        <f t="shared" si="11"/>
        <v>建筑类型</v>
      </c>
      <c r="R32" s="773" t="s">
        <v>21</v>
      </c>
      <c r="S32" s="774">
        <f t="shared" si="12"/>
        <v>100</v>
      </c>
      <c r="T32" s="773" t="s">
        <v>21</v>
      </c>
      <c r="U32" s="774">
        <f t="shared" si="13"/>
        <v>100</v>
      </c>
      <c r="V32" s="773" t="s">
        <v>21</v>
      </c>
      <c r="W32" s="774">
        <f t="shared" si="14"/>
        <v>100</v>
      </c>
      <c r="X32" s="1811"/>
      <c r="Y32" s="3211"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09"/>
      <c r="Q34" s="1808" t="str">
        <f t="shared" si="11"/>
        <v>建筑结构</v>
      </c>
      <c r="R34" s="773" t="s">
        <v>21</v>
      </c>
      <c r="S34" s="774">
        <f t="shared" si="12"/>
        <v>100</v>
      </c>
      <c r="T34" s="773" t="s">
        <v>21</v>
      </c>
      <c r="U34" s="774">
        <f t="shared" si="13"/>
        <v>100</v>
      </c>
      <c r="V34" s="773" t="s">
        <v>21</v>
      </c>
      <c r="W34" s="774">
        <f t="shared" si="14"/>
        <v>100</v>
      </c>
      <c r="X34" s="1811"/>
      <c r="Y34" s="3211"/>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09"/>
      <c r="Q35" s="1808" t="str">
        <f t="shared" si="11"/>
        <v>建筑品质</v>
      </c>
      <c r="R35" s="773" t="s">
        <v>21</v>
      </c>
      <c r="S35" s="774">
        <f t="shared" si="12"/>
        <v>100</v>
      </c>
      <c r="T35" s="773" t="s">
        <v>21</v>
      </c>
      <c r="U35" s="774">
        <f t="shared" si="13"/>
        <v>100</v>
      </c>
      <c r="V35" s="773" t="s">
        <v>21</v>
      </c>
      <c r="W35" s="774">
        <f t="shared" si="14"/>
        <v>100</v>
      </c>
      <c r="X35" s="1811"/>
      <c r="Y35" s="3211"/>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09"/>
      <c r="Q36" s="1808" t="str">
        <f t="shared" si="11"/>
        <v>公共部分装修</v>
      </c>
      <c r="R36" s="773" t="s">
        <v>21</v>
      </c>
      <c r="S36" s="774">
        <f t="shared" si="12"/>
        <v>100</v>
      </c>
      <c r="T36" s="773" t="s">
        <v>21</v>
      </c>
      <c r="U36" s="774">
        <f t="shared" si="13"/>
        <v>100</v>
      </c>
      <c r="V36" s="773" t="s">
        <v>21</v>
      </c>
      <c r="W36" s="774">
        <f t="shared" si="14"/>
        <v>100</v>
      </c>
      <c r="X36" s="1811"/>
      <c r="Y36" s="3211"/>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9"/>
      <c r="Q37" s="1793" t="str">
        <f t="shared" si="11"/>
        <v>成新度</v>
      </c>
      <c r="R37" s="769" t="s">
        <v>21</v>
      </c>
      <c r="S37" s="770" t="e">
        <f t="shared" si="12"/>
        <v>#N/A</v>
      </c>
      <c r="T37" s="769" t="s">
        <v>21</v>
      </c>
      <c r="U37" s="770" t="e">
        <f t="shared" si="13"/>
        <v>#N/A</v>
      </c>
      <c r="V37" s="769" t="s">
        <v>21</v>
      </c>
      <c r="W37" s="770" t="e">
        <f t="shared" si="14"/>
        <v>#N/A</v>
      </c>
      <c r="X37" s="771"/>
      <c r="Y37" s="3211"/>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09" t="s">
        <v>2554</v>
      </c>
      <c r="Q38" s="1808" t="str">
        <f t="shared" si="11"/>
        <v>物业管理</v>
      </c>
      <c r="R38" s="773" t="s">
        <v>21</v>
      </c>
      <c r="S38" s="774">
        <f t="shared" si="12"/>
        <v>100</v>
      </c>
      <c r="T38" s="773" t="s">
        <v>21</v>
      </c>
      <c r="U38" s="774">
        <f t="shared" si="13"/>
        <v>100</v>
      </c>
      <c r="V38" s="773" t="s">
        <v>21</v>
      </c>
      <c r="W38" s="774">
        <f t="shared" si="14"/>
        <v>100</v>
      </c>
      <c r="X38" s="1811"/>
      <c r="Y38" s="3211"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09"/>
      <c r="Q39" s="1808" t="str">
        <f t="shared" si="11"/>
        <v>市政基础设施</v>
      </c>
      <c r="R39" s="773" t="s">
        <v>21</v>
      </c>
      <c r="S39" s="774">
        <f t="shared" si="12"/>
        <v>100</v>
      </c>
      <c r="T39" s="773" t="s">
        <v>21</v>
      </c>
      <c r="U39" s="774">
        <f t="shared" si="13"/>
        <v>100</v>
      </c>
      <c r="V39" s="773" t="s">
        <v>21</v>
      </c>
      <c r="W39" s="774">
        <f t="shared" si="14"/>
        <v>100</v>
      </c>
      <c r="X39" s="1811"/>
      <c r="Y39" s="3211"/>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09"/>
      <c r="Q40" s="1808" t="str">
        <f t="shared" si="11"/>
        <v>房型</v>
      </c>
      <c r="R40" s="773" t="s">
        <v>21</v>
      </c>
      <c r="S40" s="774">
        <f t="shared" si="12"/>
        <v>100</v>
      </c>
      <c r="T40" s="773" t="s">
        <v>21</v>
      </c>
      <c r="U40" s="774">
        <f t="shared" si="13"/>
        <v>100</v>
      </c>
      <c r="V40" s="773" t="s">
        <v>21</v>
      </c>
      <c r="W40" s="774">
        <f t="shared" si="14"/>
        <v>100</v>
      </c>
      <c r="X40" s="1811"/>
      <c r="Y40" s="3211"/>
      <c r="Z40" s="1812" t="str">
        <f t="shared" si="18"/>
        <v>房型</v>
      </c>
      <c r="AA40" s="1809">
        <f t="shared" si="15"/>
        <v>1</v>
      </c>
      <c r="AB40" s="1809">
        <f t="shared" si="16"/>
        <v>1</v>
      </c>
      <c r="AC40" s="1809">
        <f t="shared" si="17"/>
        <v>1</v>
      </c>
    </row>
    <row r="41" spans="1:29" s="471" customFormat="1" ht="28.8">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09"/>
      <c r="Q42" s="1808" t="str">
        <f t="shared" si="11"/>
        <v>内部装修</v>
      </c>
      <c r="R42" s="773" t="s">
        <v>21</v>
      </c>
      <c r="S42" s="774">
        <f t="shared" si="12"/>
        <v>100</v>
      </c>
      <c r="T42" s="773" t="s">
        <v>21</v>
      </c>
      <c r="U42" s="774">
        <f t="shared" si="13"/>
        <v>100</v>
      </c>
      <c r="V42" s="773" t="s">
        <v>21</v>
      </c>
      <c r="W42" s="774">
        <f t="shared" si="14"/>
        <v>100</v>
      </c>
      <c r="X42" s="1811"/>
      <c r="Y42" s="3211"/>
      <c r="Z42" s="1812" t="str">
        <f t="shared" si="18"/>
        <v>内部装修</v>
      </c>
      <c r="AA42" s="1809">
        <f t="shared" si="15"/>
        <v>1</v>
      </c>
      <c r="AB42" s="1809">
        <f t="shared" si="16"/>
        <v>1</v>
      </c>
      <c r="AC42" s="1809">
        <f t="shared" si="17"/>
        <v>1</v>
      </c>
    </row>
    <row r="43" spans="1:29" ht="28.8">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09"/>
      <c r="Q43" s="1808" t="str">
        <f t="shared" si="11"/>
        <v>内部装修维护情况</v>
      </c>
      <c r="R43" s="773" t="s">
        <v>21</v>
      </c>
      <c r="S43" s="774">
        <f t="shared" si="12"/>
        <v>100</v>
      </c>
      <c r="T43" s="773" t="s">
        <v>21</v>
      </c>
      <c r="U43" s="774">
        <f t="shared" si="13"/>
        <v>100</v>
      </c>
      <c r="V43" s="773" t="s">
        <v>21</v>
      </c>
      <c r="W43" s="774">
        <f t="shared" si="14"/>
        <v>100</v>
      </c>
      <c r="X43" s="1811"/>
      <c r="Y43" s="321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09"/>
      <c r="Q44" s="1793">
        <f t="shared" si="11"/>
        <v>111</v>
      </c>
      <c r="R44" s="769" t="s">
        <v>21</v>
      </c>
      <c r="S44" s="770">
        <f t="shared" si="12"/>
        <v>100</v>
      </c>
      <c r="T44" s="769" t="s">
        <v>21</v>
      </c>
      <c r="U44" s="770">
        <f t="shared" si="13"/>
        <v>100</v>
      </c>
      <c r="V44" s="769" t="s">
        <v>21</v>
      </c>
      <c r="W44" s="770">
        <f t="shared" si="14"/>
        <v>100</v>
      </c>
      <c r="X44" s="771"/>
      <c r="Y44" s="3211"/>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09"/>
      <c r="Q45" s="1808">
        <f t="shared" si="11"/>
        <v>111</v>
      </c>
      <c r="R45" s="773" t="s">
        <v>21</v>
      </c>
      <c r="S45" s="774">
        <f t="shared" si="12"/>
        <v>100</v>
      </c>
      <c r="T45" s="773" t="s">
        <v>21</v>
      </c>
      <c r="U45" s="774">
        <f t="shared" si="13"/>
        <v>100</v>
      </c>
      <c r="V45" s="773" t="s">
        <v>21</v>
      </c>
      <c r="W45" s="774">
        <f t="shared" si="14"/>
        <v>100</v>
      </c>
      <c r="X45" s="1811"/>
      <c r="Y45" s="3211"/>
      <c r="Z45" s="1812">
        <f t="shared" si="18"/>
        <v>111</v>
      </c>
      <c r="AA45" s="1809">
        <f t="shared" si="15"/>
        <v>1</v>
      </c>
      <c r="AB45" s="1809">
        <f t="shared" si="16"/>
        <v>1</v>
      </c>
      <c r="AC45" s="1809">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10"/>
      <c r="Q46" s="1808">
        <f t="shared" si="11"/>
        <v>111</v>
      </c>
      <c r="R46" s="773" t="s">
        <v>20</v>
      </c>
      <c r="S46" s="774">
        <f t="shared" si="12"/>
        <v>100</v>
      </c>
      <c r="T46" s="773" t="s">
        <v>20</v>
      </c>
      <c r="U46" s="774">
        <f t="shared" si="13"/>
        <v>100</v>
      </c>
      <c r="V46" s="773" t="s">
        <v>20</v>
      </c>
      <c r="W46" s="774">
        <f t="shared" si="14"/>
        <v>100</v>
      </c>
      <c r="X46" s="1811"/>
      <c r="Y46" s="3212"/>
      <c r="Z46" s="1812">
        <f t="shared" si="18"/>
        <v>111</v>
      </c>
      <c r="AA46" s="1809">
        <f t="shared" si="15"/>
        <v>1</v>
      </c>
      <c r="AB46" s="1809">
        <f t="shared" si="16"/>
        <v>1</v>
      </c>
      <c r="AC46" s="1809">
        <f t="shared" si="17"/>
        <v>1</v>
      </c>
    </row>
    <row r="47" spans="1:29" ht="14.4">
      <c r="A47" s="479" t="s">
        <v>2566</v>
      </c>
      <c r="B47" s="480"/>
      <c r="C47" s="1405" t="s">
        <v>19</v>
      </c>
      <c r="D47" s="1406"/>
      <c r="E47" s="1407"/>
      <c r="F47" s="1408"/>
      <c r="G47" s="1409"/>
      <c r="H47" s="1410"/>
      <c r="I47" s="1407"/>
      <c r="J47" s="1410"/>
      <c r="K47" s="2616"/>
      <c r="L47" s="1142"/>
      <c r="M47" s="1143"/>
      <c r="N47" s="1130"/>
      <c r="O47" s="1143"/>
      <c r="P47" s="3199" t="str">
        <f>A47</f>
        <v>成交单价（元/平方米）</v>
      </c>
      <c r="Q47" s="3199"/>
      <c r="R47" s="3200">
        <f>E47</f>
        <v>0</v>
      </c>
      <c r="S47" s="3200"/>
      <c r="T47" s="3200">
        <f>G47</f>
        <v>0</v>
      </c>
      <c r="U47" s="3200"/>
      <c r="V47" s="3200">
        <f>I47</f>
        <v>0</v>
      </c>
      <c r="W47" s="3200"/>
      <c r="X47" s="758"/>
      <c r="Y47" s="780"/>
      <c r="Z47" s="758"/>
      <c r="AA47" s="758"/>
      <c r="AB47" s="758"/>
      <c r="AC47" s="758"/>
    </row>
    <row r="48" spans="1:29" ht="1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 thickBot="1">
      <c r="A49" s="492" t="s">
        <v>2568</v>
      </c>
      <c r="B49" s="493"/>
      <c r="C49" s="1414" t="e">
        <f>R49</f>
        <v>#DIV/0!</v>
      </c>
      <c r="D49" s="1415"/>
      <c r="E49" s="1415"/>
      <c r="F49" s="1415"/>
      <c r="G49" s="1415"/>
      <c r="H49" s="1415"/>
      <c r="I49" s="1415"/>
      <c r="J49" s="1415"/>
      <c r="K49" s="2618"/>
      <c r="L49" s="1142"/>
      <c r="M49" s="1143"/>
      <c r="N49" s="1143"/>
      <c r="O49" s="1143"/>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2.2" thickBot="1">
      <c r="A57" s="762" t="s">
        <v>2572</v>
      </c>
      <c r="B57" s="758"/>
      <c r="C57" s="763"/>
      <c r="D57" s="763"/>
      <c r="E57" s="763"/>
      <c r="F57" s="764"/>
      <c r="G57" s="764"/>
      <c r="H57" s="763"/>
      <c r="I57" s="763"/>
      <c r="J57" s="763"/>
      <c r="K57" s="1159"/>
      <c r="L57" s="1160"/>
      <c r="M57" s="1158"/>
      <c r="N57" s="1158"/>
      <c r="O57" s="1158"/>
      <c r="P57" s="2621"/>
      <c r="Q57" s="504"/>
    </row>
    <row r="58" spans="1:29" s="508" customFormat="1" ht="14.4">
      <c r="A58" s="505" t="s">
        <v>2573</v>
      </c>
      <c r="B58" s="506"/>
      <c r="C58" s="1574" t="str">
        <f>YEAR(C7)&amp;"-"&amp;MONTH(C7)</f>
        <v>2020-1</v>
      </c>
      <c r="D58" s="1573">
        <f>EDATE(C58,-1)</f>
        <v>43800</v>
      </c>
      <c r="E58" s="1573">
        <f>EDATE(D58,-1)</f>
        <v>43770</v>
      </c>
      <c r="F58" s="1573">
        <f t="shared" ref="F58:O58" si="19">EDATE(E58,-1)</f>
        <v>43739</v>
      </c>
      <c r="G58" s="1573">
        <f t="shared" si="19"/>
        <v>43709</v>
      </c>
      <c r="H58" s="1573">
        <f t="shared" si="19"/>
        <v>43678</v>
      </c>
      <c r="I58" s="1573">
        <f t="shared" si="19"/>
        <v>43647</v>
      </c>
      <c r="J58" s="1573">
        <f t="shared" si="19"/>
        <v>43617</v>
      </c>
      <c r="K58" s="1573">
        <f t="shared" si="19"/>
        <v>43586</v>
      </c>
      <c r="L58" s="1573">
        <f t="shared" si="19"/>
        <v>43556</v>
      </c>
      <c r="M58" s="1573">
        <f t="shared" si="19"/>
        <v>43525</v>
      </c>
      <c r="N58" s="1573">
        <f t="shared" si="19"/>
        <v>43497</v>
      </c>
      <c r="O58" s="1573">
        <f t="shared" si="19"/>
        <v>43466</v>
      </c>
      <c r="P58" s="1568"/>
    </row>
    <row r="59" spans="1:29" s="117" customFormat="1">
      <c r="A59" s="509"/>
      <c r="B59" s="2622"/>
      <c r="C59" s="1571">
        <v>100</v>
      </c>
      <c r="D59" s="511"/>
      <c r="E59" s="512"/>
      <c r="F59" s="512"/>
      <c r="G59" s="512"/>
      <c r="H59" s="512"/>
      <c r="I59" s="512"/>
      <c r="J59" s="512"/>
      <c r="K59" s="512"/>
      <c r="L59" s="512"/>
      <c r="M59" s="513"/>
      <c r="N59" s="512"/>
      <c r="O59" s="513"/>
      <c r="P59" s="2623"/>
    </row>
    <row r="60" spans="1:29" s="117" customFormat="1" ht="15" thickBot="1">
      <c r="A60" s="515" t="s">
        <v>2574</v>
      </c>
      <c r="B60" s="516"/>
      <c r="C60" s="517"/>
      <c r="D60" s="518"/>
      <c r="E60" s="518"/>
      <c r="F60" s="518"/>
      <c r="G60" s="518"/>
      <c r="H60" s="518"/>
      <c r="I60" s="518"/>
      <c r="J60" s="518"/>
      <c r="K60" s="518"/>
      <c r="L60" s="518"/>
      <c r="M60" s="519"/>
      <c r="N60" s="518"/>
      <c r="O60" s="519"/>
      <c r="P60" s="2623"/>
      <c r="Q60" s="504"/>
    </row>
    <row r="61" spans="1:29" s="117" customFormat="1" ht="14.4">
      <c r="A61" s="521" t="s">
        <v>2575</v>
      </c>
      <c r="B61" s="510"/>
      <c r="C61" s="522" t="s">
        <v>2576</v>
      </c>
      <c r="D61" s="523"/>
      <c r="E61" s="523"/>
      <c r="F61" s="523"/>
      <c r="G61" s="523"/>
      <c r="H61" s="523"/>
      <c r="I61" s="523"/>
      <c r="J61" s="523"/>
      <c r="K61" s="523"/>
      <c r="L61" s="524"/>
      <c r="M61" s="525"/>
      <c r="N61" s="1150"/>
      <c r="O61" s="1150"/>
      <c r="P61" s="2624"/>
      <c r="Q61" s="504"/>
    </row>
    <row r="62" spans="1:29" s="117" customFormat="1" ht="14.4" thickBot="1">
      <c r="A62" s="521"/>
      <c r="B62" s="510"/>
      <c r="C62" s="511">
        <v>100</v>
      </c>
      <c r="D62" s="512"/>
      <c r="E62" s="512"/>
      <c r="F62" s="512"/>
      <c r="G62" s="512"/>
      <c r="H62" s="512"/>
      <c r="I62" s="512"/>
      <c r="J62" s="512"/>
      <c r="K62" s="512"/>
      <c r="L62" s="512"/>
      <c r="M62" s="514"/>
      <c r="N62" s="1150"/>
      <c r="O62" s="1150"/>
      <c r="P62" s="2623"/>
      <c r="Q62" s="504"/>
    </row>
    <row r="63" spans="1:29" ht="14.4">
      <c r="A63" s="527" t="s">
        <v>2577</v>
      </c>
      <c r="B63" s="528" t="s">
        <v>2543</v>
      </c>
      <c r="C63" s="529">
        <f>C9</f>
        <v>0</v>
      </c>
      <c r="D63" s="530"/>
      <c r="E63" s="530"/>
      <c r="F63" s="530"/>
      <c r="G63" s="530"/>
      <c r="H63" s="530"/>
      <c r="I63" s="530"/>
      <c r="J63" s="530"/>
      <c r="K63" s="531"/>
      <c r="L63" s="532"/>
      <c r="M63" s="533"/>
      <c r="N63" s="1151"/>
      <c r="O63" s="1151"/>
      <c r="P63" s="2625"/>
      <c r="Q63" s="504"/>
    </row>
    <row r="64" spans="1:29" ht="14.4" thickBot="1">
      <c r="A64" s="534"/>
      <c r="B64" s="535"/>
      <c r="C64" s="536">
        <v>100</v>
      </c>
      <c r="D64" s="536"/>
      <c r="E64" s="536"/>
      <c r="F64" s="536"/>
      <c r="G64" s="536"/>
      <c r="H64" s="536"/>
      <c r="I64" s="536"/>
      <c r="J64" s="536"/>
      <c r="K64" s="536"/>
      <c r="L64" s="536"/>
      <c r="M64" s="537"/>
      <c r="N64" s="1152"/>
      <c r="O64" s="1152"/>
      <c r="P64" s="2625"/>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4.4" thickTop="1">
      <c r="A70" s="553"/>
      <c r="B70" s="538">
        <f>B12</f>
        <v>111</v>
      </c>
      <c r="C70" s="554"/>
      <c r="D70" s="554"/>
      <c r="E70" s="554"/>
      <c r="F70" s="554"/>
      <c r="G70" s="554"/>
      <c r="H70" s="555"/>
      <c r="I70" s="555"/>
      <c r="J70" s="555"/>
      <c r="K70" s="555"/>
      <c r="L70" s="556"/>
      <c r="M70" s="557"/>
      <c r="N70" s="1153"/>
      <c r="O70" s="1153"/>
      <c r="P70" s="2626"/>
      <c r="Q70" s="559"/>
    </row>
    <row r="71" spans="1:17" s="471" customFormat="1" ht="14.4" thickBot="1">
      <c r="A71" s="553"/>
      <c r="B71" s="543"/>
      <c r="C71" s="560"/>
      <c r="D71" s="536"/>
      <c r="E71" s="536"/>
      <c r="F71" s="536"/>
      <c r="G71" s="536"/>
      <c r="H71" s="536"/>
      <c r="I71" s="536"/>
      <c r="J71" s="536"/>
      <c r="K71" s="536"/>
      <c r="L71" s="536"/>
      <c r="M71" s="537"/>
      <c r="N71" s="1152"/>
      <c r="O71" s="1152"/>
      <c r="P71" s="2626"/>
      <c r="Q71" s="559"/>
    </row>
    <row r="72" spans="1:17" s="471" customFormat="1" ht="14.4" thickTop="1">
      <c r="A72" s="553"/>
      <c r="B72" s="538">
        <f>B13</f>
        <v>111</v>
      </c>
      <c r="C72" s="554"/>
      <c r="D72" s="554"/>
      <c r="E72" s="554"/>
      <c r="F72" s="554"/>
      <c r="G72" s="554"/>
      <c r="H72" s="555"/>
      <c r="I72" s="555"/>
      <c r="J72" s="555"/>
      <c r="K72" s="555"/>
      <c r="L72" s="556"/>
      <c r="M72" s="557"/>
      <c r="N72" s="1153"/>
      <c r="O72" s="1153"/>
      <c r="P72" s="2627"/>
      <c r="Q72" s="561"/>
    </row>
    <row r="73" spans="1:17" s="471" customFormat="1" ht="14.4" thickBot="1">
      <c r="A73" s="553"/>
      <c r="B73" s="543"/>
      <c r="C73" s="560"/>
      <c r="D73" s="560"/>
      <c r="E73" s="560"/>
      <c r="F73" s="560"/>
      <c r="G73" s="560"/>
      <c r="H73" s="562"/>
      <c r="I73" s="562"/>
      <c r="J73" s="562"/>
      <c r="K73" s="562"/>
      <c r="L73" s="562"/>
      <c r="M73" s="563"/>
      <c r="N73" s="1153"/>
      <c r="O73" s="1153"/>
      <c r="P73" s="2626"/>
      <c r="Q73" s="559"/>
    </row>
    <row r="74" spans="1:17" s="471" customFormat="1" ht="14.4" thickTop="1">
      <c r="A74" s="553"/>
      <c r="B74" s="546">
        <f>B14</f>
        <v>111</v>
      </c>
      <c r="C74" s="554"/>
      <c r="D74" s="554"/>
      <c r="E74" s="554"/>
      <c r="F74" s="554"/>
      <c r="G74" s="523"/>
      <c r="H74" s="564"/>
      <c r="I74" s="564"/>
      <c r="J74" s="564"/>
      <c r="K74" s="564"/>
      <c r="L74" s="565"/>
      <c r="M74" s="566"/>
      <c r="N74" s="1153"/>
      <c r="O74" s="1153"/>
      <c r="P74" s="2628"/>
      <c r="Q74" s="559"/>
    </row>
    <row r="75" spans="1:17" s="471" customFormat="1" ht="14.4" thickBot="1">
      <c r="A75" s="568"/>
      <c r="B75" s="569"/>
      <c r="C75" s="570"/>
      <c r="D75" s="570"/>
      <c r="E75" s="570"/>
      <c r="F75" s="570"/>
      <c r="G75" s="570"/>
      <c r="H75" s="571"/>
      <c r="I75" s="571"/>
      <c r="J75" s="571"/>
      <c r="K75" s="571"/>
      <c r="L75" s="571"/>
      <c r="M75" s="572"/>
      <c r="N75" s="1153"/>
      <c r="O75" s="1153"/>
      <c r="P75" s="2626"/>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 thickTop="1">
      <c r="A86" s="579"/>
      <c r="B86" s="538" t="s">
        <v>2599</v>
      </c>
      <c r="C86" s="554"/>
      <c r="D86" s="554"/>
      <c r="E86" s="554"/>
      <c r="F86" s="554"/>
      <c r="G86" s="554"/>
      <c r="H86" s="554"/>
      <c r="I86" s="554"/>
      <c r="J86" s="554"/>
      <c r="K86" s="554"/>
      <c r="L86" s="580"/>
      <c r="M86" s="581"/>
      <c r="N86" s="1150"/>
      <c r="O86" s="1150"/>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 thickTop="1">
      <c r="A88" s="579"/>
      <c r="B88" s="538" t="s">
        <v>2600</v>
      </c>
      <c r="C88" s="554"/>
      <c r="D88" s="554"/>
      <c r="E88" s="554"/>
      <c r="F88" s="2630"/>
      <c r="G88" s="554"/>
      <c r="H88" s="554"/>
      <c r="I88" s="554"/>
      <c r="J88" s="554"/>
      <c r="K88" s="554"/>
      <c r="L88" s="554"/>
      <c r="M88" s="581"/>
      <c r="N88" s="1150"/>
      <c r="O88" s="1150"/>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4.4" thickTop="1">
      <c r="A90" s="553"/>
      <c r="B90" s="538">
        <f>B27</f>
        <v>111</v>
      </c>
      <c r="C90" s="554"/>
      <c r="D90" s="554"/>
      <c r="E90" s="554"/>
      <c r="F90" s="554"/>
      <c r="G90" s="554"/>
      <c r="H90" s="555"/>
      <c r="I90" s="555"/>
      <c r="J90" s="555"/>
      <c r="K90" s="555"/>
      <c r="L90" s="556"/>
      <c r="M90" s="557"/>
      <c r="N90" s="1153"/>
      <c r="O90" s="1153"/>
      <c r="P90" s="2626"/>
      <c r="Q90" s="559"/>
    </row>
    <row r="91" spans="1:17" s="471" customFormat="1" ht="14.4" thickBot="1">
      <c r="A91" s="553"/>
      <c r="B91" s="543"/>
      <c r="C91" s="560"/>
      <c r="D91" s="560"/>
      <c r="E91" s="560"/>
      <c r="F91" s="560"/>
      <c r="G91" s="560"/>
      <c r="H91" s="562"/>
      <c r="I91" s="562"/>
      <c r="J91" s="562"/>
      <c r="K91" s="562"/>
      <c r="L91" s="562"/>
      <c r="M91" s="563"/>
      <c r="N91" s="1153"/>
      <c r="O91" s="1153"/>
      <c r="P91" s="2626"/>
      <c r="Q91" s="559"/>
    </row>
    <row r="92" spans="1:17" ht="14.4" thickTop="1">
      <c r="A92" s="534"/>
      <c r="B92" s="538">
        <f>B28</f>
        <v>111</v>
      </c>
      <c r="C92" s="554"/>
      <c r="D92" s="554"/>
      <c r="E92" s="554"/>
      <c r="F92" s="554"/>
      <c r="G92" s="583"/>
      <c r="H92" s="583"/>
      <c r="I92" s="583"/>
      <c r="J92" s="583"/>
      <c r="K92" s="584"/>
      <c r="L92" s="585"/>
      <c r="M92" s="586"/>
      <c r="N92" s="1151"/>
      <c r="O92" s="1151"/>
      <c r="P92" s="2625"/>
      <c r="Q92" s="504"/>
    </row>
    <row r="93" spans="1:17" ht="14.4" thickBot="1">
      <c r="A93" s="534"/>
      <c r="B93" s="543"/>
      <c r="C93" s="560"/>
      <c r="D93" s="536"/>
      <c r="E93" s="536"/>
      <c r="F93" s="536"/>
      <c r="G93" s="536"/>
      <c r="H93" s="536"/>
      <c r="I93" s="536"/>
      <c r="J93" s="536"/>
      <c r="K93" s="536"/>
      <c r="L93" s="536"/>
      <c r="M93" s="537"/>
      <c r="N93" s="1152"/>
      <c r="O93" s="1152"/>
      <c r="P93" s="2625"/>
      <c r="Q93" s="504"/>
    </row>
    <row r="94" spans="1:17" ht="14.4" thickTop="1">
      <c r="A94" s="534"/>
      <c r="B94" s="538">
        <f>B29</f>
        <v>111</v>
      </c>
      <c r="C94" s="554"/>
      <c r="D94" s="554"/>
      <c r="E94" s="554"/>
      <c r="F94" s="554"/>
      <c r="G94" s="583"/>
      <c r="H94" s="583"/>
      <c r="I94" s="583"/>
      <c r="J94" s="583"/>
      <c r="K94" s="584"/>
      <c r="L94" s="585"/>
      <c r="M94" s="586"/>
      <c r="N94" s="1151"/>
      <c r="O94" s="1151"/>
      <c r="P94" s="2625"/>
      <c r="Q94" s="504"/>
    </row>
    <row r="95" spans="1:17" ht="14.4" thickBot="1">
      <c r="A95" s="534"/>
      <c r="B95" s="543"/>
      <c r="C95" s="560"/>
      <c r="D95" s="560"/>
      <c r="E95" s="560"/>
      <c r="F95" s="560"/>
      <c r="G95" s="536"/>
      <c r="H95" s="536"/>
      <c r="I95" s="536"/>
      <c r="J95" s="536"/>
      <c r="K95" s="536"/>
      <c r="L95" s="536"/>
      <c r="M95" s="537"/>
      <c r="N95" s="1152"/>
      <c r="O95" s="1152"/>
      <c r="P95" s="2625"/>
      <c r="Q95" s="504"/>
    </row>
    <row r="96" spans="1:17" ht="14.4" thickTop="1">
      <c r="A96" s="534"/>
      <c r="B96" s="538">
        <f>B30</f>
        <v>111</v>
      </c>
      <c r="C96" s="554"/>
      <c r="D96" s="554"/>
      <c r="E96" s="554"/>
      <c r="F96" s="554"/>
      <c r="G96" s="583"/>
      <c r="H96" s="583"/>
      <c r="I96" s="583"/>
      <c r="J96" s="583"/>
      <c r="K96" s="584"/>
      <c r="L96" s="585"/>
      <c r="M96" s="586"/>
      <c r="N96" s="1151"/>
      <c r="O96" s="1151"/>
      <c r="P96" s="2625"/>
      <c r="Q96" s="504"/>
    </row>
    <row r="97" spans="1:17" ht="14.4" thickBot="1">
      <c r="A97" s="534"/>
      <c r="B97" s="543"/>
      <c r="C97" s="570"/>
      <c r="D97" s="570"/>
      <c r="E97" s="570"/>
      <c r="F97" s="570"/>
      <c r="G97" s="536"/>
      <c r="H97" s="536"/>
      <c r="I97" s="536"/>
      <c r="J97" s="536"/>
      <c r="K97" s="536"/>
      <c r="L97" s="536"/>
      <c r="M97" s="537"/>
      <c r="N97" s="1152"/>
      <c r="O97" s="1152"/>
      <c r="P97" s="2625"/>
      <c r="Q97" s="504"/>
    </row>
    <row r="98" spans="1:17" ht="14.4" thickTop="1">
      <c r="A98" s="534"/>
      <c r="B98" s="546">
        <f>B31</f>
        <v>111</v>
      </c>
      <c r="C98" s="587"/>
      <c r="D98" s="587"/>
      <c r="E98" s="587"/>
      <c r="F98" s="587"/>
      <c r="G98" s="587"/>
      <c r="H98" s="587"/>
      <c r="I98" s="587"/>
      <c r="J98" s="587"/>
      <c r="K98" s="588"/>
      <c r="L98" s="589"/>
      <c r="M98" s="590"/>
      <c r="N98" s="1151"/>
      <c r="O98" s="1151"/>
      <c r="P98" s="2625"/>
      <c r="Q98" s="504"/>
    </row>
    <row r="99" spans="1:17" ht="14.4" thickBot="1">
      <c r="A99" s="2631"/>
      <c r="B99" s="569"/>
      <c r="C99" s="591"/>
      <c r="D99" s="591"/>
      <c r="E99" s="591"/>
      <c r="F99" s="591"/>
      <c r="G99" s="591"/>
      <c r="H99" s="591"/>
      <c r="I99" s="591"/>
      <c r="J99" s="591"/>
      <c r="K99" s="591"/>
      <c r="L99" s="591"/>
      <c r="M99" s="592"/>
      <c r="N99" s="1152"/>
      <c r="O99" s="1152"/>
      <c r="P99" s="2625"/>
      <c r="Q99" s="504"/>
    </row>
    <row r="100" spans="1:17" ht="14.4">
      <c r="A100" s="527" t="s">
        <v>2552</v>
      </c>
      <c r="B100" s="528" t="s">
        <v>2601</v>
      </c>
      <c r="C100" s="530"/>
      <c r="D100" s="530"/>
      <c r="E100" s="530"/>
      <c r="F100" s="530"/>
      <c r="G100" s="530"/>
      <c r="H100" s="530"/>
      <c r="I100" s="530"/>
      <c r="J100" s="530"/>
      <c r="K100" s="531"/>
      <c r="L100" s="532"/>
      <c r="M100" s="533"/>
      <c r="N100" s="1151"/>
      <c r="O100" s="1151"/>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4"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9.4"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4.4"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6"/>
      <c r="Q127" s="559"/>
    </row>
    <row r="128" spans="1:17" ht="14.4" thickTop="1">
      <c r="A128" s="599"/>
      <c r="B128" s="538">
        <f>B45</f>
        <v>111</v>
      </c>
      <c r="C128" s="554"/>
      <c r="D128" s="554"/>
      <c r="E128" s="554"/>
      <c r="F128" s="554"/>
      <c r="G128" s="583"/>
      <c r="H128" s="583"/>
      <c r="I128" s="583"/>
      <c r="J128" s="583"/>
      <c r="K128" s="584"/>
      <c r="L128" s="585"/>
      <c r="M128" s="586"/>
      <c r="N128" s="1151"/>
      <c r="O128" s="1151"/>
      <c r="P128" s="2625"/>
      <c r="Q128" s="504"/>
    </row>
    <row r="129" spans="1:17" ht="14.4" thickBot="1">
      <c r="A129" s="534"/>
      <c r="B129" s="543"/>
      <c r="C129" s="560"/>
      <c r="D129" s="560"/>
      <c r="E129" s="560"/>
      <c r="F129" s="560"/>
      <c r="G129" s="536"/>
      <c r="H129" s="536"/>
      <c r="I129" s="536"/>
      <c r="J129" s="536"/>
      <c r="K129" s="536"/>
      <c r="L129" s="536"/>
      <c r="M129" s="537"/>
      <c r="N129" s="1152"/>
      <c r="O129" s="1152"/>
      <c r="P129" s="2625"/>
      <c r="Q129" s="504"/>
    </row>
    <row r="130" spans="1:17" ht="14.4" thickTop="1">
      <c r="A130" s="599"/>
      <c r="B130" s="546">
        <f>B46</f>
        <v>111</v>
      </c>
      <c r="C130" s="554"/>
      <c r="D130" s="554"/>
      <c r="E130" s="554"/>
      <c r="F130" s="554"/>
      <c r="G130" s="587"/>
      <c r="H130" s="587"/>
      <c r="I130" s="587"/>
      <c r="J130" s="587"/>
      <c r="K130" s="523"/>
      <c r="L130" s="524"/>
      <c r="M130" s="590"/>
      <c r="N130" s="1151"/>
      <c r="O130" s="1151"/>
      <c r="P130" s="2625"/>
      <c r="Q130" s="504"/>
    </row>
    <row r="131" spans="1:17" ht="14.4"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
      <c r="B140" s="1089">
        <v>5</v>
      </c>
      <c r="C140" s="1090">
        <v>100</v>
      </c>
      <c r="D140" s="1090"/>
      <c r="E140" s="1091"/>
      <c r="F140" s="1092">
        <v>102</v>
      </c>
      <c r="G140" s="1090"/>
      <c r="H140" s="1093"/>
      <c r="I140" s="2645" t="s">
        <v>2622</v>
      </c>
      <c r="J140" s="315">
        <f>ROUNDUP((J139-1)/2,0)</f>
        <v>10</v>
      </c>
      <c r="K140" s="1094">
        <v>100</v>
      </c>
    </row>
    <row r="141" spans="1:17" ht="15">
      <c r="B141" s="1089">
        <v>4</v>
      </c>
      <c r="C141" s="1090">
        <v>102</v>
      </c>
      <c r="D141" s="1090"/>
      <c r="E141" s="1091"/>
      <c r="F141" s="1092">
        <v>101.5</v>
      </c>
      <c r="G141" s="1090"/>
      <c r="H141" s="1093"/>
      <c r="I141" s="2645" t="s">
        <v>2623</v>
      </c>
      <c r="J141" s="315">
        <v>1</v>
      </c>
      <c r="K141" s="1095">
        <f>ROUND(100+(J141-J140)*K139*100,1)</f>
        <v>96.4</v>
      </c>
    </row>
    <row r="142" spans="1:17" ht="15">
      <c r="B142" s="1089">
        <v>3</v>
      </c>
      <c r="C142" s="1090">
        <v>103</v>
      </c>
      <c r="D142" s="1090"/>
      <c r="E142" s="1091"/>
      <c r="F142" s="1092">
        <v>101</v>
      </c>
      <c r="G142" s="1090"/>
      <c r="H142" s="1093"/>
      <c r="I142" s="2645" t="s">
        <v>2624</v>
      </c>
      <c r="J142" s="315">
        <f>J139</f>
        <v>20</v>
      </c>
      <c r="K142" s="1096">
        <v>95</v>
      </c>
    </row>
    <row r="143" spans="1:17" ht="15">
      <c r="B143" s="1089">
        <v>2</v>
      </c>
      <c r="C143" s="1090">
        <v>100</v>
      </c>
      <c r="D143" s="1090"/>
      <c r="E143" s="1091"/>
      <c r="F143" s="1092">
        <v>100.5</v>
      </c>
      <c r="G143" s="1090"/>
      <c r="H143" s="1093"/>
      <c r="I143" s="2645" t="s">
        <v>2625</v>
      </c>
      <c r="J143" s="1090">
        <v>15</v>
      </c>
      <c r="K143" s="1095">
        <f>ROUND(100+(J143-J140)*K139*100,1)</f>
        <v>102</v>
      </c>
    </row>
    <row r="144" spans="1:17" ht="1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6.2"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ht="14.4">
      <c r="B147" s="2632" t="s">
        <v>2629</v>
      </c>
    </row>
    <row r="148" spans="2:11" ht="14.4">
      <c r="B148" s="2632"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33" t="s">
        <v>2637</v>
      </c>
      <c r="AC4" s="3272" t="s">
        <v>2638</v>
      </c>
    </row>
    <row r="5" spans="1:29">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33"/>
      <c r="AC5" s="3245"/>
    </row>
    <row r="6" spans="1:29" ht="1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33"/>
      <c r="AC6" s="3246"/>
    </row>
    <row r="7" spans="1:29" s="117" customFormat="1" ht="1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6" si="3">D8/F8</f>
        <v>#DIV/0!</v>
      </c>
      <c r="AB8" s="772" t="e">
        <f t="shared" ref="AB8:AB46" si="4">D8/H8</f>
        <v>#DIV/0!</v>
      </c>
      <c r="AC8" s="772" t="e">
        <f t="shared" ref="AC8:AC46" si="5">D8/J8</f>
        <v>#DIV/0!</v>
      </c>
    </row>
    <row r="9" spans="1:29" s="117" customFormat="1" ht="14.4">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8.8">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8"/>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8"/>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8"/>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8"/>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04" t="s">
        <v>2549</v>
      </c>
      <c r="Q15" s="1808" t="str">
        <f t="shared" si="6"/>
        <v>商业繁华度</v>
      </c>
      <c r="R15" s="773" t="s">
        <v>17</v>
      </c>
      <c r="S15" s="774">
        <f t="shared" si="0"/>
        <v>100</v>
      </c>
      <c r="T15" s="773" t="s">
        <v>17</v>
      </c>
      <c r="U15" s="774">
        <f t="shared" si="1"/>
        <v>100</v>
      </c>
      <c r="V15" s="773" t="s">
        <v>17</v>
      </c>
      <c r="W15" s="774">
        <f t="shared" si="2"/>
        <v>100</v>
      </c>
      <c r="X15" s="1811"/>
      <c r="Y15" s="3206"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05"/>
      <c r="Q16" s="1808"/>
      <c r="R16" s="773"/>
      <c r="S16" s="774"/>
      <c r="T16" s="773"/>
      <c r="U16" s="774"/>
      <c r="V16" s="773"/>
      <c r="W16" s="774"/>
      <c r="X16" s="1811"/>
      <c r="Y16" s="3207"/>
      <c r="Z16" s="1812"/>
      <c r="AA16" s="1809">
        <v>1</v>
      </c>
      <c r="AB16" s="1809">
        <v>1</v>
      </c>
      <c r="AC16" s="1809">
        <v>1</v>
      </c>
    </row>
    <row r="17" spans="1:29" ht="248.4">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05"/>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0"/>
      <c r="P18" s="3205"/>
      <c r="Q18" s="1808"/>
      <c r="R18" s="773"/>
      <c r="S18" s="774"/>
      <c r="T18" s="773"/>
      <c r="U18" s="774"/>
      <c r="V18" s="773"/>
      <c r="W18" s="774"/>
      <c r="X18" s="1811"/>
      <c r="Y18" s="3207"/>
      <c r="Z18" s="1812"/>
      <c r="AA18" s="1809">
        <v>1</v>
      </c>
      <c r="AB18" s="1809">
        <v>1</v>
      </c>
      <c r="AC18" s="1809">
        <v>1</v>
      </c>
    </row>
    <row r="19" spans="1:29" ht="248.4">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05"/>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0"/>
      <c r="P20" s="3205"/>
      <c r="Q20" s="1808"/>
      <c r="R20" s="773"/>
      <c r="S20" s="774"/>
      <c r="T20" s="773"/>
      <c r="U20" s="774"/>
      <c r="V20" s="773"/>
      <c r="W20" s="774"/>
      <c r="X20" s="1811"/>
      <c r="Y20" s="3207"/>
      <c r="Z20" s="1812"/>
      <c r="AA20" s="1809">
        <v>1</v>
      </c>
      <c r="AB20" s="1809">
        <v>1</v>
      </c>
      <c r="AC20" s="1809">
        <v>1</v>
      </c>
    </row>
    <row r="21" spans="1:29" ht="27.6">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0"/>
      <c r="P22" s="3205"/>
      <c r="Q22" s="1808"/>
      <c r="R22" s="773"/>
      <c r="S22" s="774"/>
      <c r="T22" s="773"/>
      <c r="U22" s="774"/>
      <c r="V22" s="773"/>
      <c r="W22" s="774"/>
      <c r="X22" s="1811"/>
      <c r="Y22" s="3207"/>
      <c r="Z22" s="1812"/>
      <c r="AA22" s="1809">
        <v>1</v>
      </c>
      <c r="AB22" s="1809">
        <v>1</v>
      </c>
      <c r="AC22" s="1809">
        <v>1</v>
      </c>
    </row>
    <row r="23" spans="1:29" ht="193.2">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05"/>
      <c r="Q23" s="1808" t="str">
        <f>B23</f>
        <v>自然及人文环境</v>
      </c>
      <c r="R23" s="773" t="s">
        <v>17</v>
      </c>
      <c r="S23" s="774">
        <f>F23</f>
        <v>100</v>
      </c>
      <c r="T23" s="773" t="s">
        <v>17</v>
      </c>
      <c r="U23" s="774">
        <f>H23</f>
        <v>100</v>
      </c>
      <c r="V23" s="773" t="s">
        <v>17</v>
      </c>
      <c r="W23" s="774">
        <f>J23</f>
        <v>100</v>
      </c>
      <c r="X23" s="1811"/>
      <c r="Y23" s="3207"/>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39"/>
      <c r="M24" s="1130"/>
      <c r="N24" s="1130"/>
      <c r="O24" s="1130"/>
      <c r="P24" s="3205"/>
      <c r="Q24" s="1808"/>
      <c r="R24" s="773"/>
      <c r="S24" s="774"/>
      <c r="T24" s="773"/>
      <c r="U24" s="774"/>
      <c r="V24" s="773"/>
      <c r="W24" s="774"/>
      <c r="X24" s="1811"/>
      <c r="Y24" s="3207"/>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05"/>
      <c r="Q25" s="1808" t="str">
        <f t="shared" ref="Q25:Q46" si="11">B25</f>
        <v>临街状况</v>
      </c>
      <c r="R25" s="773" t="s">
        <v>17</v>
      </c>
      <c r="S25" s="774">
        <f>F25</f>
        <v>100</v>
      </c>
      <c r="T25" s="773" t="s">
        <v>17</v>
      </c>
      <c r="U25" s="774">
        <f>H25</f>
        <v>100</v>
      </c>
      <c r="V25" s="773" t="s">
        <v>17</v>
      </c>
      <c r="W25" s="774">
        <f>J25</f>
        <v>100</v>
      </c>
      <c r="X25" s="1811"/>
      <c r="Y25" s="3207"/>
      <c r="Z25" s="1812" t="str">
        <f>Q25</f>
        <v>临街状况</v>
      </c>
      <c r="AA25" s="1809">
        <f t="shared" si="3"/>
        <v>1</v>
      </c>
      <c r="AB25" s="1809">
        <f t="shared" si="4"/>
        <v>1</v>
      </c>
      <c r="AC25" s="1809">
        <f t="shared" si="5"/>
        <v>1</v>
      </c>
    </row>
    <row r="26" spans="1:29" ht="1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05"/>
      <c r="Q26" s="1808" t="str">
        <f t="shared" si="11"/>
        <v>平面位置/可视性</v>
      </c>
      <c r="R26" s="773" t="s">
        <v>17</v>
      </c>
      <c r="S26" s="774">
        <f>F26</f>
        <v>100</v>
      </c>
      <c r="T26" s="773" t="s">
        <v>17</v>
      </c>
      <c r="U26" s="774">
        <f>H26</f>
        <v>100</v>
      </c>
      <c r="V26" s="773" t="s">
        <v>17</v>
      </c>
      <c r="W26" s="774">
        <f>J26</f>
        <v>100</v>
      </c>
      <c r="X26" s="1811"/>
      <c r="Y26" s="3207"/>
      <c r="Z26" s="1812" t="str">
        <f>Q26</f>
        <v>平面位置/可视性</v>
      </c>
      <c r="AA26" s="1809">
        <f t="shared" si="3"/>
        <v>1</v>
      </c>
      <c r="AB26" s="1809">
        <f t="shared" si="4"/>
        <v>1</v>
      </c>
      <c r="AC26" s="1809">
        <f t="shared" si="5"/>
        <v>1</v>
      </c>
    </row>
    <row r="27" spans="1:29" s="117" customFormat="1" ht="1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05"/>
      <c r="Q27" s="1793" t="str">
        <f t="shared" si="11"/>
        <v>人流量</v>
      </c>
      <c r="R27" s="769" t="s">
        <v>17</v>
      </c>
      <c r="S27" s="770">
        <f>F27</f>
        <v>100</v>
      </c>
      <c r="T27" s="769" t="s">
        <v>17</v>
      </c>
      <c r="U27" s="770">
        <f>H27</f>
        <v>100</v>
      </c>
      <c r="V27" s="769" t="s">
        <v>17</v>
      </c>
      <c r="W27" s="770">
        <f>J27</f>
        <v>100</v>
      </c>
      <c r="X27" s="771"/>
      <c r="Y27" s="3207"/>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0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5"/>
      <c r="Q29" s="1808">
        <f t="shared" si="11"/>
        <v>111</v>
      </c>
      <c r="R29" s="773" t="s">
        <v>17</v>
      </c>
      <c r="S29" s="774">
        <f t="shared" si="12"/>
        <v>100</v>
      </c>
      <c r="T29" s="773" t="s">
        <v>17</v>
      </c>
      <c r="U29" s="774">
        <f t="shared" si="13"/>
        <v>100</v>
      </c>
      <c r="V29" s="773" t="s">
        <v>17</v>
      </c>
      <c r="W29" s="774">
        <f t="shared" si="14"/>
        <v>100</v>
      </c>
      <c r="X29" s="1811"/>
      <c r="Y29" s="320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5"/>
      <c r="Q30" s="1808">
        <f t="shared" si="11"/>
        <v>111</v>
      </c>
      <c r="R30" s="773" t="s">
        <v>17</v>
      </c>
      <c r="S30" s="774">
        <f t="shared" si="12"/>
        <v>100</v>
      </c>
      <c r="T30" s="773" t="s">
        <v>17</v>
      </c>
      <c r="U30" s="774">
        <f t="shared" si="13"/>
        <v>100</v>
      </c>
      <c r="V30" s="773" t="s">
        <v>17</v>
      </c>
      <c r="W30" s="774">
        <f t="shared" si="14"/>
        <v>100</v>
      </c>
      <c r="X30" s="1811"/>
      <c r="Y30" s="3207"/>
      <c r="Z30" s="1812">
        <f t="shared" si="15"/>
        <v>111</v>
      </c>
      <c r="AA30" s="1809">
        <f t="shared" si="3"/>
        <v>1</v>
      </c>
      <c r="AB30" s="1809">
        <f t="shared" si="4"/>
        <v>1</v>
      </c>
      <c r="AC30" s="1809">
        <f t="shared" si="5"/>
        <v>1</v>
      </c>
    </row>
    <row r="31" spans="1:29" ht="15.6"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5"/>
      <c r="Q31" s="1808">
        <f t="shared" si="11"/>
        <v>111</v>
      </c>
      <c r="R31" s="773" t="s">
        <v>17</v>
      </c>
      <c r="S31" s="774">
        <f t="shared" si="12"/>
        <v>100</v>
      </c>
      <c r="T31" s="773" t="s">
        <v>17</v>
      </c>
      <c r="U31" s="774">
        <f t="shared" si="13"/>
        <v>100</v>
      </c>
      <c r="V31" s="773" t="s">
        <v>17</v>
      </c>
      <c r="W31" s="774">
        <f t="shared" si="14"/>
        <v>100</v>
      </c>
      <c r="X31" s="1811"/>
      <c r="Y31" s="3207"/>
      <c r="Z31" s="1812">
        <f t="shared" si="15"/>
        <v>111</v>
      </c>
      <c r="AA31" s="1809">
        <f t="shared" si="3"/>
        <v>1</v>
      </c>
      <c r="AB31" s="1809">
        <f t="shared" si="4"/>
        <v>1</v>
      </c>
      <c r="AC31" s="1809">
        <f t="shared" si="5"/>
        <v>1</v>
      </c>
    </row>
    <row r="32" spans="1:29" ht="1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08" t="s">
        <v>2554</v>
      </c>
      <c r="Q32" s="1808" t="str">
        <f t="shared" si="11"/>
        <v>商业类型</v>
      </c>
      <c r="R32" s="773" t="s">
        <v>17</v>
      </c>
      <c r="S32" s="774">
        <f t="shared" si="12"/>
        <v>100</v>
      </c>
      <c r="T32" s="773" t="s">
        <v>17</v>
      </c>
      <c r="U32" s="774">
        <f t="shared" si="13"/>
        <v>100</v>
      </c>
      <c r="V32" s="773" t="s">
        <v>17</v>
      </c>
      <c r="W32" s="774">
        <f t="shared" si="14"/>
        <v>100</v>
      </c>
      <c r="X32" s="1811"/>
      <c r="Y32" s="3211"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09"/>
      <c r="Q33" s="775" t="str">
        <f t="shared" si="11"/>
        <v>项目建筑规模</v>
      </c>
      <c r="R33" s="776" t="s">
        <v>17</v>
      </c>
      <c r="S33" s="777" t="e">
        <f t="shared" si="12"/>
        <v>#N/A</v>
      </c>
      <c r="T33" s="776" t="s">
        <v>17</v>
      </c>
      <c r="U33" s="777" t="e">
        <f t="shared" si="13"/>
        <v>#N/A</v>
      </c>
      <c r="V33" s="776" t="s">
        <v>17</v>
      </c>
      <c r="W33" s="777" t="e">
        <f t="shared" si="14"/>
        <v>#N/A</v>
      </c>
      <c r="X33" s="778"/>
      <c r="Y33" s="3211"/>
      <c r="Z33" s="779" t="str">
        <f t="shared" si="15"/>
        <v>项目建筑规模</v>
      </c>
      <c r="AA33" s="1809" t="e">
        <f t="shared" si="3"/>
        <v>#N/A</v>
      </c>
      <c r="AB33" s="1809" t="e">
        <f t="shared" si="4"/>
        <v>#N/A</v>
      </c>
      <c r="AC33" s="1809" t="e">
        <f t="shared" si="5"/>
        <v>#N/A</v>
      </c>
    </row>
    <row r="34" spans="1:29" ht="1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09"/>
      <c r="Q34" s="1808" t="str">
        <f t="shared" si="11"/>
        <v>建筑结构</v>
      </c>
      <c r="R34" s="773" t="s">
        <v>17</v>
      </c>
      <c r="S34" s="774">
        <f t="shared" si="12"/>
        <v>100</v>
      </c>
      <c r="T34" s="773" t="s">
        <v>17</v>
      </c>
      <c r="U34" s="774">
        <f t="shared" si="13"/>
        <v>100</v>
      </c>
      <c r="V34" s="773" t="s">
        <v>17</v>
      </c>
      <c r="W34" s="774">
        <f t="shared" si="14"/>
        <v>100</v>
      </c>
      <c r="X34" s="1811"/>
      <c r="Y34" s="3211"/>
      <c r="Z34" s="1812" t="str">
        <f t="shared" si="15"/>
        <v>建筑结构</v>
      </c>
      <c r="AA34" s="1809">
        <f t="shared" si="3"/>
        <v>1</v>
      </c>
      <c r="AB34" s="1809">
        <f t="shared" si="4"/>
        <v>1</v>
      </c>
      <c r="AC34" s="1809">
        <f t="shared" si="5"/>
        <v>1</v>
      </c>
    </row>
    <row r="35" spans="1:29" ht="1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09"/>
      <c r="Q35" s="1808" t="str">
        <f t="shared" si="11"/>
        <v>公共部分装修</v>
      </c>
      <c r="R35" s="773" t="s">
        <v>17</v>
      </c>
      <c r="S35" s="774">
        <f t="shared" si="12"/>
        <v>100</v>
      </c>
      <c r="T35" s="773" t="s">
        <v>17</v>
      </c>
      <c r="U35" s="774">
        <f t="shared" si="13"/>
        <v>100</v>
      </c>
      <c r="V35" s="773" t="s">
        <v>17</v>
      </c>
      <c r="W35" s="774">
        <f t="shared" si="14"/>
        <v>100</v>
      </c>
      <c r="X35" s="1811"/>
      <c r="Y35" s="3211"/>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09"/>
      <c r="Q36" s="1808" t="str">
        <f t="shared" si="11"/>
        <v>成新度</v>
      </c>
      <c r="R36" s="773" t="s">
        <v>17</v>
      </c>
      <c r="S36" s="774" t="e">
        <f t="shared" si="12"/>
        <v>#N/A</v>
      </c>
      <c r="T36" s="773" t="s">
        <v>17</v>
      </c>
      <c r="U36" s="774" t="e">
        <f t="shared" si="13"/>
        <v>#N/A</v>
      </c>
      <c r="V36" s="773" t="s">
        <v>17</v>
      </c>
      <c r="W36" s="774" t="e">
        <f t="shared" si="14"/>
        <v>#N/A</v>
      </c>
      <c r="X36" s="1811"/>
      <c r="Y36" s="3211"/>
      <c r="Z36" s="1812" t="str">
        <f t="shared" si="15"/>
        <v>成新度</v>
      </c>
      <c r="AA36" s="1809" t="e">
        <f t="shared" si="3"/>
        <v>#N/A</v>
      </c>
      <c r="AB36" s="1809" t="e">
        <f t="shared" si="4"/>
        <v>#N/A</v>
      </c>
      <c r="AC36" s="1809" t="e">
        <f t="shared" si="5"/>
        <v>#N/A</v>
      </c>
    </row>
    <row r="37" spans="1:29" s="117" customFormat="1" ht="1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09"/>
      <c r="Q37" s="1793"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09" t="s">
        <v>2554</v>
      </c>
      <c r="Q38" s="1808" t="str">
        <f t="shared" si="11"/>
        <v>业态</v>
      </c>
      <c r="R38" s="773" t="s">
        <v>17</v>
      </c>
      <c r="S38" s="774">
        <f t="shared" si="12"/>
        <v>100</v>
      </c>
      <c r="T38" s="773" t="s">
        <v>17</v>
      </c>
      <c r="U38" s="774">
        <f t="shared" si="13"/>
        <v>100</v>
      </c>
      <c r="V38" s="773" t="s">
        <v>17</v>
      </c>
      <c r="W38" s="774">
        <f t="shared" si="14"/>
        <v>100</v>
      </c>
      <c r="X38" s="1811"/>
      <c r="Y38" s="3211" t="s">
        <v>2554</v>
      </c>
      <c r="Z38" s="1812" t="str">
        <f t="shared" si="15"/>
        <v>业态</v>
      </c>
      <c r="AA38" s="1809">
        <f t="shared" si="3"/>
        <v>1</v>
      </c>
      <c r="AB38" s="1809">
        <f t="shared" si="4"/>
        <v>1</v>
      </c>
      <c r="AC38" s="1809">
        <f t="shared" si="5"/>
        <v>1</v>
      </c>
    </row>
    <row r="39" spans="1:29" ht="1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09"/>
      <c r="Q39" s="1808" t="str">
        <f t="shared" si="11"/>
        <v>层高</v>
      </c>
      <c r="R39" s="773" t="s">
        <v>17</v>
      </c>
      <c r="S39" s="774">
        <f t="shared" si="12"/>
        <v>100</v>
      </c>
      <c r="T39" s="773" t="s">
        <v>17</v>
      </c>
      <c r="U39" s="774">
        <f t="shared" si="13"/>
        <v>100</v>
      </c>
      <c r="V39" s="773" t="s">
        <v>17</v>
      </c>
      <c r="W39" s="774">
        <f t="shared" si="14"/>
        <v>100</v>
      </c>
      <c r="X39" s="1811"/>
      <c r="Y39" s="3211"/>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9"/>
      <c r="Q40" s="1808" t="str">
        <f t="shared" si="11"/>
        <v>单套建筑面积</v>
      </c>
      <c r="R40" s="773" t="s">
        <v>17</v>
      </c>
      <c r="S40" s="774">
        <f t="shared" si="12"/>
        <v>100</v>
      </c>
      <c r="T40" s="773" t="s">
        <v>17</v>
      </c>
      <c r="U40" s="774">
        <f t="shared" si="13"/>
        <v>100</v>
      </c>
      <c r="V40" s="773" t="s">
        <v>17</v>
      </c>
      <c r="W40" s="774">
        <f t="shared" si="14"/>
        <v>100</v>
      </c>
      <c r="X40" s="1811"/>
      <c r="Y40" s="3211"/>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09">
        <f t="shared" si="3"/>
        <v>1</v>
      </c>
      <c r="AB41" s="1809">
        <f t="shared" si="4"/>
        <v>1</v>
      </c>
      <c r="AC41" s="1809">
        <f t="shared" si="5"/>
        <v>1</v>
      </c>
    </row>
    <row r="42" spans="1:29" ht="1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09"/>
      <c r="Q42" s="1808" t="str">
        <f t="shared" si="11"/>
        <v>内部装修</v>
      </c>
      <c r="R42" s="773" t="s">
        <v>17</v>
      </c>
      <c r="S42" s="774">
        <f t="shared" si="12"/>
        <v>100</v>
      </c>
      <c r="T42" s="773" t="s">
        <v>17</v>
      </c>
      <c r="U42" s="774">
        <f t="shared" si="13"/>
        <v>100</v>
      </c>
      <c r="V42" s="773" t="s">
        <v>17</v>
      </c>
      <c r="W42" s="774">
        <f t="shared" si="14"/>
        <v>100</v>
      </c>
      <c r="X42" s="1811"/>
      <c r="Y42" s="3211"/>
      <c r="Z42" s="1812" t="str">
        <f t="shared" si="15"/>
        <v>内部装修</v>
      </c>
      <c r="AA42" s="1809">
        <f t="shared" si="3"/>
        <v>1</v>
      </c>
      <c r="AB42" s="1809">
        <f t="shared" si="4"/>
        <v>1</v>
      </c>
      <c r="AC42" s="1809">
        <f t="shared" si="5"/>
        <v>1</v>
      </c>
    </row>
    <row r="43" spans="1:29" ht="28.8">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09"/>
      <c r="Q43" s="1808" t="str">
        <f t="shared" si="11"/>
        <v>内部装修维护情况</v>
      </c>
      <c r="R43" s="773" t="s">
        <v>17</v>
      </c>
      <c r="S43" s="774">
        <f t="shared" si="12"/>
        <v>100</v>
      </c>
      <c r="T43" s="773" t="s">
        <v>17</v>
      </c>
      <c r="U43" s="774">
        <f t="shared" si="13"/>
        <v>100</v>
      </c>
      <c r="V43" s="773" t="s">
        <v>17</v>
      </c>
      <c r="W43" s="774">
        <f t="shared" si="14"/>
        <v>100</v>
      </c>
      <c r="X43" s="1811"/>
      <c r="Y43" s="321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9"/>
      <c r="Q44" s="1793">
        <f t="shared" si="11"/>
        <v>111</v>
      </c>
      <c r="R44" s="769" t="s">
        <v>17</v>
      </c>
      <c r="S44" s="770">
        <f t="shared" si="12"/>
        <v>100</v>
      </c>
      <c r="T44" s="769" t="s">
        <v>17</v>
      </c>
      <c r="U44" s="770">
        <f t="shared" si="13"/>
        <v>100</v>
      </c>
      <c r="V44" s="769" t="s">
        <v>17</v>
      </c>
      <c r="W44" s="770">
        <f t="shared" si="14"/>
        <v>100</v>
      </c>
      <c r="X44" s="771"/>
      <c r="Y44" s="3211"/>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9"/>
      <c r="Q45" s="1808">
        <f t="shared" si="11"/>
        <v>111</v>
      </c>
      <c r="R45" s="773" t="s">
        <v>17</v>
      </c>
      <c r="S45" s="774">
        <f t="shared" si="12"/>
        <v>100</v>
      </c>
      <c r="T45" s="773" t="s">
        <v>17</v>
      </c>
      <c r="U45" s="774">
        <f t="shared" si="13"/>
        <v>100</v>
      </c>
      <c r="V45" s="773" t="s">
        <v>17</v>
      </c>
      <c r="W45" s="774">
        <f t="shared" si="14"/>
        <v>100</v>
      </c>
      <c r="X45" s="1811"/>
      <c r="Y45" s="3211"/>
      <c r="Z45" s="1812">
        <f t="shared" si="15"/>
        <v>111</v>
      </c>
      <c r="AA45" s="1809">
        <f t="shared" si="3"/>
        <v>1</v>
      </c>
      <c r="AB45" s="1809">
        <f t="shared" si="4"/>
        <v>1</v>
      </c>
      <c r="AC45" s="1809">
        <f t="shared" si="5"/>
        <v>1</v>
      </c>
    </row>
    <row r="46" spans="1:29" ht="15.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0"/>
      <c r="Q46" s="1808">
        <f t="shared" si="11"/>
        <v>111</v>
      </c>
      <c r="R46" s="773" t="s">
        <v>17</v>
      </c>
      <c r="S46" s="774">
        <f t="shared" si="12"/>
        <v>100</v>
      </c>
      <c r="T46" s="773" t="s">
        <v>17</v>
      </c>
      <c r="U46" s="774">
        <f t="shared" si="13"/>
        <v>100</v>
      </c>
      <c r="V46" s="773" t="s">
        <v>17</v>
      </c>
      <c r="W46" s="774">
        <f t="shared" si="14"/>
        <v>100</v>
      </c>
      <c r="X46" s="1811"/>
      <c r="Y46" s="3212"/>
      <c r="Z46" s="1812">
        <f t="shared" si="15"/>
        <v>111</v>
      </c>
      <c r="AA46" s="1809">
        <f t="shared" si="3"/>
        <v>1</v>
      </c>
      <c r="AB46" s="1809">
        <f t="shared" si="4"/>
        <v>1</v>
      </c>
      <c r="AC46" s="1809">
        <f t="shared" si="5"/>
        <v>1</v>
      </c>
    </row>
    <row r="47" spans="1:29" ht="14.4">
      <c r="A47" s="479" t="s">
        <v>2566</v>
      </c>
      <c r="B47" s="480"/>
      <c r="C47" s="1405" t="s">
        <v>1</v>
      </c>
      <c r="D47" s="1406"/>
      <c r="E47" s="1407"/>
      <c r="F47" s="1408"/>
      <c r="G47" s="1409"/>
      <c r="H47" s="1410"/>
      <c r="I47" s="1407"/>
      <c r="J47" s="1410"/>
      <c r="K47" s="782"/>
      <c r="L47" s="1142"/>
      <c r="M47" s="1143"/>
      <c r="N47" s="1130"/>
      <c r="O47" s="1143"/>
      <c r="P47" s="3199" t="str">
        <f>A47</f>
        <v>成交单价（元/平方米）</v>
      </c>
      <c r="Q47" s="3199"/>
      <c r="R47" s="3233">
        <f>E47</f>
        <v>0</v>
      </c>
      <c r="S47" s="3233"/>
      <c r="T47" s="3233">
        <f>G47</f>
        <v>0</v>
      </c>
      <c r="U47" s="3233"/>
      <c r="V47" s="3233">
        <f>I47</f>
        <v>0</v>
      </c>
      <c r="W47" s="3233"/>
      <c r="X47" s="758"/>
      <c r="Y47" s="780"/>
      <c r="Z47" s="758"/>
      <c r="AA47" s="758"/>
      <c r="AB47" s="758"/>
      <c r="AC47" s="758"/>
    </row>
    <row r="48" spans="1:29" ht="1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 thickBot="1">
      <c r="A49" s="492" t="s">
        <v>2659</v>
      </c>
      <c r="B49" s="493"/>
      <c r="C49" s="1415" t="e">
        <f>R49</f>
        <v>#DIV/0!</v>
      </c>
      <c r="D49" s="1415"/>
      <c r="E49" s="1415"/>
      <c r="F49" s="1415"/>
      <c r="G49" s="1415"/>
      <c r="H49" s="1415"/>
      <c r="I49" s="1415"/>
      <c r="J49" s="1415"/>
      <c r="K49" s="784"/>
      <c r="L49" s="1142"/>
      <c r="M49" s="1143"/>
      <c r="N49" s="1130"/>
      <c r="O49" s="1143"/>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2.2"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4.4">
      <c r="A58" s="505" t="s">
        <v>2537</v>
      </c>
      <c r="B58" s="506"/>
      <c r="C58" s="1572" t="str">
        <f>YEAR(C7)&amp;"-"&amp;MONTH(C7)</f>
        <v>2020-1</v>
      </c>
      <c r="D58" s="1573">
        <f>EDATE(C58,-1)</f>
        <v>43800</v>
      </c>
      <c r="E58" s="1573">
        <f t="shared" ref="E58:N58" si="16">EDATE(D58,-1)</f>
        <v>43770</v>
      </c>
      <c r="F58" s="1573">
        <f t="shared" si="16"/>
        <v>43739</v>
      </c>
      <c r="G58" s="1573">
        <f t="shared" si="16"/>
        <v>43709</v>
      </c>
      <c r="H58" s="1573">
        <f t="shared" si="16"/>
        <v>43678</v>
      </c>
      <c r="I58" s="1573">
        <f t="shared" si="16"/>
        <v>43647</v>
      </c>
      <c r="J58" s="1573">
        <f t="shared" si="16"/>
        <v>43617</v>
      </c>
      <c r="K58" s="1573">
        <f t="shared" si="16"/>
        <v>43586</v>
      </c>
      <c r="L58" s="1573">
        <f t="shared" si="16"/>
        <v>43556</v>
      </c>
      <c r="M58" s="1573">
        <f t="shared" si="16"/>
        <v>43525</v>
      </c>
      <c r="N58" s="1573">
        <f t="shared" si="16"/>
        <v>43497</v>
      </c>
      <c r="O58" s="1573">
        <f>EDATE(N58,-1)</f>
        <v>43466</v>
      </c>
      <c r="P58" s="1568"/>
    </row>
    <row r="59" spans="1:29" s="117" customFormat="1">
      <c r="A59" s="509"/>
      <c r="B59" s="510"/>
      <c r="C59" s="1571">
        <v>100</v>
      </c>
      <c r="D59" s="512"/>
      <c r="E59" s="512"/>
      <c r="F59" s="512"/>
      <c r="G59" s="512"/>
      <c r="H59" s="512"/>
      <c r="I59" s="512"/>
      <c r="J59" s="512"/>
      <c r="K59" s="512"/>
      <c r="L59" s="512"/>
      <c r="M59" s="513"/>
      <c r="N59" s="512"/>
      <c r="O59" s="513"/>
      <c r="P59" s="2623"/>
    </row>
    <row r="60" spans="1:29" s="117" customFormat="1" ht="15" thickBot="1">
      <c r="A60" s="515" t="s">
        <v>2574</v>
      </c>
      <c r="B60" s="516"/>
      <c r="C60" s="517"/>
      <c r="D60" s="518"/>
      <c r="E60" s="518"/>
      <c r="F60" s="518"/>
      <c r="G60" s="518"/>
      <c r="H60" s="518"/>
      <c r="I60" s="518"/>
      <c r="J60" s="518"/>
      <c r="K60" s="518"/>
      <c r="L60" s="518"/>
      <c r="M60" s="519"/>
      <c r="N60" s="518"/>
      <c r="O60" s="519"/>
      <c r="P60" s="2623"/>
      <c r="Q60" s="504"/>
    </row>
    <row r="61" spans="1:29" s="117" customFormat="1" ht="14.4">
      <c r="A61" s="521" t="s">
        <v>2539</v>
      </c>
      <c r="B61" s="510"/>
      <c r="C61" s="522" t="s">
        <v>2641</v>
      </c>
      <c r="D61" s="523"/>
      <c r="E61" s="523"/>
      <c r="F61" s="523"/>
      <c r="G61" s="523"/>
      <c r="H61" s="523"/>
      <c r="I61" s="523"/>
      <c r="J61" s="523"/>
      <c r="K61" s="523"/>
      <c r="L61" s="524"/>
      <c r="M61" s="525"/>
      <c r="N61" s="1150"/>
      <c r="O61" s="1150"/>
      <c r="P61" s="2624"/>
      <c r="Q61" s="504"/>
    </row>
    <row r="62" spans="1:29" s="117" customFormat="1" ht="14.4" thickBot="1">
      <c r="A62" s="521"/>
      <c r="B62" s="510"/>
      <c r="C62" s="511">
        <v>100</v>
      </c>
      <c r="D62" s="512"/>
      <c r="E62" s="512"/>
      <c r="F62" s="512"/>
      <c r="G62" s="512"/>
      <c r="H62" s="512"/>
      <c r="I62" s="512"/>
      <c r="J62" s="512"/>
      <c r="K62" s="512"/>
      <c r="L62" s="512"/>
      <c r="M62" s="514"/>
      <c r="N62" s="1150"/>
      <c r="O62" s="1150"/>
      <c r="P62" s="2623"/>
      <c r="Q62" s="504"/>
    </row>
    <row r="63" spans="1:29" ht="14.4">
      <c r="A63" s="527" t="s">
        <v>2577</v>
      </c>
      <c r="B63" s="528" t="s">
        <v>2543</v>
      </c>
      <c r="C63" s="529">
        <f>C9</f>
        <v>0</v>
      </c>
      <c r="D63" s="530"/>
      <c r="E63" s="530"/>
      <c r="F63" s="530"/>
      <c r="G63" s="530"/>
      <c r="H63" s="530"/>
      <c r="I63" s="530"/>
      <c r="J63" s="530"/>
      <c r="K63" s="531"/>
      <c r="L63" s="532"/>
      <c r="M63" s="533"/>
      <c r="N63" s="1151"/>
      <c r="O63" s="1151"/>
      <c r="P63" s="2625"/>
      <c r="Q63" s="504"/>
    </row>
    <row r="64" spans="1:29" ht="14.4" thickBot="1">
      <c r="A64" s="534"/>
      <c r="B64" s="535"/>
      <c r="C64" s="536">
        <v>100</v>
      </c>
      <c r="D64" s="536"/>
      <c r="E64" s="536"/>
      <c r="F64" s="536"/>
      <c r="G64" s="536"/>
      <c r="H64" s="536"/>
      <c r="I64" s="536"/>
      <c r="J64" s="536"/>
      <c r="K64" s="536"/>
      <c r="L64" s="536"/>
      <c r="M64" s="537"/>
      <c r="N64" s="1152"/>
      <c r="O64" s="1152"/>
      <c r="P64" s="2625"/>
      <c r="Q64" s="504"/>
    </row>
    <row r="65" spans="1:17" ht="29.4"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c r="A68" s="534"/>
      <c r="B68" s="548"/>
      <c r="C68" s="549"/>
      <c r="D68" s="549"/>
      <c r="E68" s="549"/>
      <c r="F68" s="549"/>
      <c r="G68" s="549"/>
      <c r="H68" s="549"/>
      <c r="I68" s="549"/>
      <c r="J68" s="549"/>
      <c r="K68" s="550"/>
      <c r="L68" s="551"/>
      <c r="M68" s="552"/>
      <c r="N68" s="1151"/>
      <c r="O68" s="1151"/>
      <c r="P68" s="2625"/>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4.4" thickTop="1">
      <c r="A70" s="553"/>
      <c r="B70" s="538">
        <f>B12</f>
        <v>111</v>
      </c>
      <c r="C70" s="554"/>
      <c r="D70" s="554"/>
      <c r="E70" s="554"/>
      <c r="F70" s="554"/>
      <c r="G70" s="554"/>
      <c r="H70" s="555"/>
      <c r="I70" s="555"/>
      <c r="J70" s="555"/>
      <c r="K70" s="555"/>
      <c r="L70" s="556"/>
      <c r="M70" s="557"/>
      <c r="N70" s="1153"/>
      <c r="O70" s="1153"/>
      <c r="P70" s="2626"/>
      <c r="Q70" s="559"/>
    </row>
    <row r="71" spans="1:17" s="471" customFormat="1" ht="14.4" thickBot="1">
      <c r="A71" s="553"/>
      <c r="B71" s="543"/>
      <c r="C71" s="560"/>
      <c r="D71" s="536"/>
      <c r="E71" s="536"/>
      <c r="F71" s="536"/>
      <c r="G71" s="536"/>
      <c r="H71" s="536"/>
      <c r="I71" s="536"/>
      <c r="J71" s="536"/>
      <c r="K71" s="536"/>
      <c r="L71" s="536"/>
      <c r="M71" s="537"/>
      <c r="N71" s="1152"/>
      <c r="O71" s="1152"/>
      <c r="P71" s="2626"/>
      <c r="Q71" s="559"/>
    </row>
    <row r="72" spans="1:17" s="471" customFormat="1" ht="14.4" thickTop="1">
      <c r="A72" s="553"/>
      <c r="B72" s="538">
        <f>B13</f>
        <v>111</v>
      </c>
      <c r="C72" s="554"/>
      <c r="D72" s="554"/>
      <c r="E72" s="554"/>
      <c r="F72" s="554"/>
      <c r="G72" s="554"/>
      <c r="H72" s="555"/>
      <c r="I72" s="555"/>
      <c r="J72" s="555"/>
      <c r="K72" s="555"/>
      <c r="L72" s="556"/>
      <c r="M72" s="557"/>
      <c r="N72" s="1153"/>
      <c r="O72" s="1153"/>
      <c r="P72" s="2627"/>
      <c r="Q72" s="561"/>
    </row>
    <row r="73" spans="1:17" s="471" customFormat="1" ht="14.4" thickBot="1">
      <c r="A73" s="553"/>
      <c r="B73" s="543"/>
      <c r="C73" s="560"/>
      <c r="D73" s="536"/>
      <c r="E73" s="536"/>
      <c r="F73" s="536"/>
      <c r="G73" s="560"/>
      <c r="H73" s="562"/>
      <c r="I73" s="562"/>
      <c r="J73" s="562"/>
      <c r="K73" s="562"/>
      <c r="L73" s="562"/>
      <c r="M73" s="563"/>
      <c r="N73" s="1153"/>
      <c r="O73" s="1153"/>
      <c r="P73" s="2626"/>
      <c r="Q73" s="559"/>
    </row>
    <row r="74" spans="1:17" s="471" customFormat="1" ht="14.4" thickTop="1">
      <c r="A74" s="553"/>
      <c r="B74" s="546">
        <f>B14</f>
        <v>111</v>
      </c>
      <c r="C74" s="554"/>
      <c r="D74" s="554"/>
      <c r="E74" s="554"/>
      <c r="F74" s="554"/>
      <c r="G74" s="523"/>
      <c r="H74" s="564"/>
      <c r="I74" s="564"/>
      <c r="J74" s="564"/>
      <c r="K74" s="564"/>
      <c r="L74" s="565"/>
      <c r="M74" s="566"/>
      <c r="N74" s="1153"/>
      <c r="O74" s="1153"/>
      <c r="P74" s="2628"/>
      <c r="Q74" s="559"/>
    </row>
    <row r="75" spans="1:17" s="471" customFormat="1" ht="14.4" thickBot="1">
      <c r="A75" s="568"/>
      <c r="B75" s="569"/>
      <c r="C75" s="570"/>
      <c r="D75" s="570"/>
      <c r="E75" s="570"/>
      <c r="F75" s="570"/>
      <c r="G75" s="570"/>
      <c r="H75" s="571"/>
      <c r="I75" s="571"/>
      <c r="J75" s="571"/>
      <c r="K75" s="571"/>
      <c r="L75" s="571"/>
      <c r="M75" s="572"/>
      <c r="N75" s="1153"/>
      <c r="O75" s="1153"/>
      <c r="P75" s="2626"/>
      <c r="Q75" s="559"/>
    </row>
    <row r="76" spans="1:17" ht="14.4">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 thickTop="1">
      <c r="A86" s="579"/>
      <c r="B86" s="538" t="s">
        <v>2669</v>
      </c>
      <c r="C86" s="554"/>
      <c r="D86" s="554"/>
      <c r="E86" s="554"/>
      <c r="F86" s="554"/>
      <c r="G86" s="554"/>
      <c r="H86" s="554"/>
      <c r="I86" s="554"/>
      <c r="J86" s="554"/>
      <c r="K86" s="554"/>
      <c r="L86" s="580"/>
      <c r="M86" s="581"/>
      <c r="N86" s="1150"/>
      <c r="O86" s="1150"/>
      <c r="P86" s="2625"/>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4.4"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4.4" thickBot="1">
      <c r="A89" s="579"/>
      <c r="B89" s="543"/>
      <c r="C89" s="560"/>
      <c r="D89" s="536"/>
      <c r="E89" s="536"/>
      <c r="F89" s="536"/>
      <c r="G89" s="536"/>
      <c r="H89" s="536"/>
      <c r="I89" s="536"/>
      <c r="J89" s="536"/>
      <c r="K89" s="536"/>
      <c r="L89" s="536"/>
      <c r="M89" s="536"/>
      <c r="N89" s="1152"/>
      <c r="O89" s="1152"/>
      <c r="P89" s="2625"/>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4.4" thickTop="1">
      <c r="A92" s="534"/>
      <c r="B92" s="538" t="str">
        <f>B28</f>
        <v>楼层</v>
      </c>
      <c r="C92" s="554"/>
      <c r="D92" s="554"/>
      <c r="E92" s="554"/>
      <c r="F92" s="554"/>
      <c r="G92" s="554"/>
      <c r="H92" s="554"/>
      <c r="I92" s="554"/>
      <c r="J92" s="554"/>
      <c r="K92" s="554"/>
      <c r="L92" s="580"/>
      <c r="M92" s="581"/>
      <c r="N92" s="1151"/>
      <c r="O92" s="1151"/>
      <c r="P92" s="2625"/>
      <c r="Q92" s="504"/>
    </row>
    <row r="93" spans="1:17" ht="14.4" thickBot="1">
      <c r="A93" s="534"/>
      <c r="B93" s="543"/>
      <c r="C93" s="536"/>
      <c r="D93" s="536"/>
      <c r="E93" s="536"/>
      <c r="F93" s="536"/>
      <c r="G93" s="536"/>
      <c r="H93" s="536"/>
      <c r="I93" s="536"/>
      <c r="J93" s="536"/>
      <c r="K93" s="536"/>
      <c r="L93" s="536"/>
      <c r="M93" s="537"/>
      <c r="N93" s="1152"/>
      <c r="O93" s="1152"/>
      <c r="P93" s="2625"/>
      <c r="Q93" s="504"/>
    </row>
    <row r="94" spans="1:17" ht="14.4" thickTop="1">
      <c r="A94" s="534"/>
      <c r="B94" s="538">
        <f>B29</f>
        <v>111</v>
      </c>
      <c r="C94" s="554"/>
      <c r="D94" s="554"/>
      <c r="E94" s="554"/>
      <c r="F94" s="554"/>
      <c r="G94" s="583"/>
      <c r="H94" s="583"/>
      <c r="I94" s="583"/>
      <c r="J94" s="583"/>
      <c r="K94" s="584"/>
      <c r="L94" s="585"/>
      <c r="M94" s="586"/>
      <c r="N94" s="1151"/>
      <c r="O94" s="1151"/>
      <c r="P94" s="2625"/>
      <c r="Q94" s="504"/>
    </row>
    <row r="95" spans="1:17" ht="14.4" thickBot="1">
      <c r="A95" s="534"/>
      <c r="B95" s="543"/>
      <c r="C95" s="560"/>
      <c r="D95" s="536"/>
      <c r="E95" s="536"/>
      <c r="F95" s="536"/>
      <c r="G95" s="536"/>
      <c r="H95" s="536"/>
      <c r="I95" s="536"/>
      <c r="J95" s="536"/>
      <c r="K95" s="536"/>
      <c r="L95" s="536"/>
      <c r="M95" s="537"/>
      <c r="N95" s="1152"/>
      <c r="O95" s="1152"/>
      <c r="P95" s="2625"/>
      <c r="Q95" s="504"/>
    </row>
    <row r="96" spans="1:17" ht="14.4" thickTop="1">
      <c r="A96" s="534"/>
      <c r="B96" s="538">
        <f>B30</f>
        <v>111</v>
      </c>
      <c r="C96" s="554"/>
      <c r="D96" s="554"/>
      <c r="E96" s="554"/>
      <c r="F96" s="554"/>
      <c r="G96" s="583"/>
      <c r="H96" s="583"/>
      <c r="I96" s="583"/>
      <c r="J96" s="583"/>
      <c r="K96" s="584"/>
      <c r="L96" s="585"/>
      <c r="M96" s="586"/>
      <c r="N96" s="1151"/>
      <c r="O96" s="1151"/>
      <c r="P96" s="2625"/>
      <c r="Q96" s="504"/>
    </row>
    <row r="97" spans="1:17" ht="14.4" thickBot="1">
      <c r="A97" s="534"/>
      <c r="B97" s="543"/>
      <c r="C97" s="560"/>
      <c r="D97" s="536"/>
      <c r="E97" s="536"/>
      <c r="F97" s="536"/>
      <c r="G97" s="536"/>
      <c r="H97" s="536"/>
      <c r="I97" s="536"/>
      <c r="J97" s="536"/>
      <c r="K97" s="536"/>
      <c r="L97" s="536"/>
      <c r="M97" s="537"/>
      <c r="N97" s="1152"/>
      <c r="O97" s="1152"/>
      <c r="P97" s="2625"/>
      <c r="Q97" s="504"/>
    </row>
    <row r="98" spans="1:17" ht="14.4" thickTop="1">
      <c r="A98" s="534"/>
      <c r="B98" s="546">
        <f>B31</f>
        <v>111</v>
      </c>
      <c r="C98" s="554"/>
      <c r="D98" s="554"/>
      <c r="E98" s="554"/>
      <c r="F98" s="554"/>
      <c r="G98" s="587"/>
      <c r="H98" s="587"/>
      <c r="I98" s="587"/>
      <c r="J98" s="587"/>
      <c r="K98" s="588"/>
      <c r="L98" s="589"/>
      <c r="M98" s="590"/>
      <c r="N98" s="1151"/>
      <c r="O98" s="1151"/>
      <c r="P98" s="2625"/>
      <c r="Q98" s="504"/>
    </row>
    <row r="99" spans="1:17" ht="14.4" thickBot="1">
      <c r="A99" s="2631"/>
      <c r="B99" s="569"/>
      <c r="C99" s="570"/>
      <c r="D99" s="570"/>
      <c r="E99" s="570"/>
      <c r="F99" s="570"/>
      <c r="G99" s="591"/>
      <c r="H99" s="591"/>
      <c r="I99" s="591"/>
      <c r="J99" s="591"/>
      <c r="K99" s="591"/>
      <c r="L99" s="591"/>
      <c r="M99" s="592"/>
      <c r="N99" s="1152"/>
      <c r="O99" s="1152"/>
      <c r="P99" s="2625"/>
      <c r="Q99" s="504"/>
    </row>
    <row r="100" spans="1:17" ht="14.4">
      <c r="A100" s="527" t="s">
        <v>2552</v>
      </c>
      <c r="B100" s="528" t="s">
        <v>2670</v>
      </c>
      <c r="C100" s="530"/>
      <c r="D100" s="530"/>
      <c r="E100" s="530"/>
      <c r="F100" s="530"/>
      <c r="G100" s="530"/>
      <c r="H100" s="530"/>
      <c r="I100" s="530"/>
      <c r="J100" s="530"/>
      <c r="K100" s="531"/>
      <c r="L100" s="532"/>
      <c r="M100" s="533"/>
      <c r="N100" s="1151"/>
      <c r="O100" s="1151"/>
      <c r="P100" s="2625"/>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4.4"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2605</v>
      </c>
      <c r="C107" s="554"/>
      <c r="D107" s="554"/>
      <c r="E107" s="554"/>
      <c r="F107" s="583"/>
      <c r="G107" s="583"/>
      <c r="H107" s="583"/>
      <c r="I107" s="583"/>
      <c r="J107" s="583"/>
      <c r="K107" s="584"/>
      <c r="L107" s="585"/>
      <c r="M107" s="586"/>
      <c r="N107" s="1151"/>
      <c r="O107" s="1151"/>
      <c r="P107" s="2625"/>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2671</v>
      </c>
      <c r="C114" s="554"/>
      <c r="D114" s="554"/>
      <c r="E114" s="583"/>
      <c r="F114" s="583"/>
      <c r="G114" s="583"/>
      <c r="H114" s="583"/>
      <c r="I114" s="583"/>
      <c r="J114" s="583"/>
      <c r="K114" s="584"/>
      <c r="L114" s="585"/>
      <c r="M114" s="586"/>
      <c r="N114" s="1151"/>
      <c r="O114" s="1151"/>
      <c r="P114" s="2625"/>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2672</v>
      </c>
      <c r="C116" s="554"/>
      <c r="D116" s="554"/>
      <c r="E116" s="554"/>
      <c r="F116" s="554"/>
      <c r="G116" s="554"/>
      <c r="H116" s="583"/>
      <c r="I116" s="583"/>
      <c r="J116" s="583"/>
      <c r="K116" s="584"/>
      <c r="L116" s="585"/>
      <c r="M116" s="586"/>
      <c r="N116" s="1151"/>
      <c r="O116" s="1151"/>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4.4"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29.4"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4.4" thickBot="1">
      <c r="A127" s="553"/>
      <c r="B127" s="543"/>
      <c r="C127" s="560"/>
      <c r="D127" s="536"/>
      <c r="E127" s="536"/>
      <c r="F127" s="536"/>
      <c r="G127" s="560"/>
      <c r="H127" s="562"/>
      <c r="I127" s="562"/>
      <c r="J127" s="562"/>
      <c r="K127" s="562"/>
      <c r="L127" s="562"/>
      <c r="M127" s="563"/>
      <c r="N127" s="1153"/>
      <c r="O127" s="1153"/>
      <c r="P127" s="2626"/>
      <c r="Q127" s="559"/>
    </row>
    <row r="128" spans="1:17" ht="14.4" thickTop="1">
      <c r="A128" s="599"/>
      <c r="B128" s="538">
        <f>B45</f>
        <v>111</v>
      </c>
      <c r="C128" s="554"/>
      <c r="D128" s="554"/>
      <c r="E128" s="554"/>
      <c r="F128" s="554"/>
      <c r="G128" s="583"/>
      <c r="H128" s="583"/>
      <c r="I128" s="583"/>
      <c r="J128" s="583"/>
      <c r="K128" s="584"/>
      <c r="L128" s="585"/>
      <c r="M128" s="586"/>
      <c r="N128" s="1151"/>
      <c r="O128" s="1151"/>
      <c r="P128" s="2625"/>
      <c r="Q128" s="504"/>
    </row>
    <row r="129" spans="1:17" ht="14.4" thickBot="1">
      <c r="A129" s="534"/>
      <c r="B129" s="543"/>
      <c r="C129" s="560"/>
      <c r="D129" s="536"/>
      <c r="E129" s="536"/>
      <c r="F129" s="536"/>
      <c r="G129" s="536"/>
      <c r="H129" s="536"/>
      <c r="I129" s="536"/>
      <c r="J129" s="536"/>
      <c r="K129" s="536"/>
      <c r="L129" s="536"/>
      <c r="M129" s="537"/>
      <c r="N129" s="1152"/>
      <c r="O129" s="1152"/>
      <c r="P129" s="2625"/>
      <c r="Q129" s="504"/>
    </row>
    <row r="130" spans="1:17" ht="14.4" thickTop="1">
      <c r="A130" s="599"/>
      <c r="B130" s="546">
        <f>B46</f>
        <v>111</v>
      </c>
      <c r="C130" s="554"/>
      <c r="D130" s="554"/>
      <c r="E130" s="554"/>
      <c r="F130" s="554"/>
      <c r="G130" s="587"/>
      <c r="H130" s="587"/>
      <c r="I130" s="587"/>
      <c r="J130" s="587"/>
      <c r="K130" s="523"/>
      <c r="L130" s="524"/>
      <c r="M130" s="590"/>
      <c r="N130" s="1151"/>
      <c r="O130" s="1151"/>
      <c r="P130" s="2625"/>
      <c r="Q130" s="504"/>
    </row>
    <row r="131" spans="1:17" ht="14.4"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1606</v>
      </c>
    </row>
    <row r="2" spans="1:1">
      <c r="A2" s="1943"/>
    </row>
    <row r="3" spans="1:1" ht="17.399999999999999">
      <c r="A3" s="1944" t="str">
        <f>项目基本情况!B5&amp;"："</f>
        <v>北京万相融通科技股份有限公司：</v>
      </c>
    </row>
    <row r="4" spans="1:1" ht="34.799999999999997">
      <c r="A4" s="1945" t="str">
        <f>"受贵公司委托，我公司对"&amp;项目基本情况!S1&amp;"进行了预评估。"</f>
        <v>受贵公司委托，我公司对北京市丰台区汽车博物馆东路1号房地产抵押价值进行了预评估。</v>
      </c>
    </row>
    <row r="5" spans="1:1" ht="17.399999999999999">
      <c r="A5" s="1946" t="s">
        <v>1607</v>
      </c>
    </row>
    <row r="6" spans="1:1" ht="17.399999999999999">
      <c r="A6" s="1947" t="s">
        <v>1608</v>
      </c>
    </row>
    <row r="7" spans="1:1" ht="52.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估价对象为北京市丰台区汽车博物馆东路1号房地产，为所有。根据《国有土地使用证》[]，估价对象（分摊）出让国有建设用地使用权面积为0平方米，建筑面积为768.88平方米。</v>
      </c>
    </row>
    <row r="8" spans="1:1" ht="54.6">
      <c r="A8" s="1948" t="s">
        <v>1609</v>
      </c>
    </row>
    <row r="9" spans="1:1" ht="17.399999999999999">
      <c r="A9" s="1947" t="s">
        <v>1610</v>
      </c>
    </row>
    <row r="10" spans="1:1" ht="69.59999999999999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开发建设的办公项目，该项目尚在开发建设中。根据《国有土地使用证》[]，估价对象（分摊）出让国有建设用地使用权面积为0平方米，规划建筑面积为768.88平方米。</v>
      </c>
    </row>
    <row r="11" spans="1:1" ht="72">
      <c r="A11" s="1948" t="s">
        <v>1611</v>
      </c>
    </row>
    <row r="12" spans="1:1" ht="17.399999999999999">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950" t="s">
        <v>1613</v>
      </c>
    </row>
    <row r="15" spans="1:1" ht="17.399999999999999">
      <c r="A15" s="1951" t="str">
        <f>TEXT(项目基本情况!D3,"yyyy年m月d日;;")&amp;IF(项目基本情况!D3=项目基本情况!B3,"（评估专业人员实地查勘之日）","")</f>
        <v>2020年1月19日（评估专业人员实地查勘之日）</v>
      </c>
    </row>
    <row r="16" spans="1:1" ht="17.399999999999999">
      <c r="A16" s="1950" t="s">
        <v>1614</v>
      </c>
    </row>
    <row r="17" spans="1:1" ht="69.599999999999994">
      <c r="A17" s="1945" t="s">
        <v>1615</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5" t="str">
        <f>IF(项目基本情况!B9="房地产市场价值","——",IF(项目基本情况!E9="——","",定义!C57))</f>
        <v/>
      </c>
    </row>
    <row r="23" spans="1:1" ht="17.399999999999999">
      <c r="A23" s="1950" t="s">
        <v>1604</v>
      </c>
    </row>
    <row r="24" spans="1:1" ht="17.399999999999999">
      <c r="A24" s="1952" t="str">
        <f>"本次评估采用的主估价方法为"&amp;结果表!K4&amp;"和"&amp;结果表!L4&amp;"。"</f>
        <v>本次评估采用的主估价方法为基准地价系数修正法和基准地价系数修正法。</v>
      </c>
    </row>
    <row r="25" spans="1:1" ht="17.399999999999999">
      <c r="A25" s="1952"/>
    </row>
    <row r="26" spans="1:1" ht="17.399999999999999">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 thickBot="1">
      <c r="A7" s="408" t="s">
        <v>2537</v>
      </c>
      <c r="B7" s="409"/>
      <c r="C7" s="410">
        <f>'数据-取费表'!B2</f>
        <v>43849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0" si="3">D8/F8</f>
        <v>#DIV/0!</v>
      </c>
      <c r="AB8" s="772" t="e">
        <f t="shared" ref="AB8:AB40" si="4">D8/H8</f>
        <v>#DIV/0!</v>
      </c>
      <c r="AC8" s="772" t="e">
        <f t="shared" ref="AC8:AC40" si="5">D8/J8</f>
        <v>#DIV/0!</v>
      </c>
    </row>
    <row r="9" spans="1:29" s="117" customFormat="1" ht="14.4">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8.8">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69">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6" t="s">
        <v>2549</v>
      </c>
      <c r="Q15" s="1808" t="str">
        <f t="shared" si="6"/>
        <v>产业集聚程度</v>
      </c>
      <c r="R15" s="773" t="s">
        <v>17</v>
      </c>
      <c r="S15" s="774">
        <f t="shared" si="0"/>
        <v>100</v>
      </c>
      <c r="T15" s="773" t="s">
        <v>17</v>
      </c>
      <c r="U15" s="774">
        <f t="shared" si="1"/>
        <v>100</v>
      </c>
      <c r="V15" s="773" t="s">
        <v>17</v>
      </c>
      <c r="W15" s="774">
        <f t="shared" si="2"/>
        <v>100</v>
      </c>
      <c r="X15" s="1811"/>
      <c r="Y15" s="3206"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07"/>
      <c r="Q16" s="1808"/>
      <c r="R16" s="773"/>
      <c r="S16" s="774"/>
      <c r="T16" s="773"/>
      <c r="U16" s="774"/>
      <c r="V16" s="773"/>
      <c r="W16" s="774"/>
      <c r="X16" s="1811"/>
      <c r="Y16" s="3207"/>
      <c r="Z16" s="1812"/>
      <c r="AA16" s="1809">
        <v>1</v>
      </c>
      <c r="AB16" s="1809">
        <v>1</v>
      </c>
      <c r="AC16" s="1809">
        <v>1</v>
      </c>
    </row>
    <row r="17" spans="1:29" ht="96.6">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7"/>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07"/>
      <c r="Q18" s="1808"/>
      <c r="R18" s="773"/>
      <c r="S18" s="774"/>
      <c r="T18" s="773"/>
      <c r="U18" s="774"/>
      <c r="V18" s="773"/>
      <c r="W18" s="774"/>
      <c r="X18" s="1811"/>
      <c r="Y18" s="3207"/>
      <c r="Z18" s="1812"/>
      <c r="AA18" s="1809">
        <v>1</v>
      </c>
      <c r="AB18" s="1809">
        <v>1</v>
      </c>
      <c r="AC18" s="1809">
        <v>1</v>
      </c>
    </row>
    <row r="19" spans="1:29" ht="41.4">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7"/>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07"/>
      <c r="Q20" s="1808"/>
      <c r="R20" s="773"/>
      <c r="S20" s="774"/>
      <c r="T20" s="773"/>
      <c r="U20" s="774"/>
      <c r="V20" s="773"/>
      <c r="W20" s="774"/>
      <c r="X20" s="1811"/>
      <c r="Y20" s="3207"/>
      <c r="Z20" s="1812"/>
      <c r="AA20" s="1809">
        <v>1</v>
      </c>
      <c r="AB20" s="1809">
        <v>1</v>
      </c>
      <c r="AC20" s="1809">
        <v>1</v>
      </c>
    </row>
    <row r="21" spans="1:29" ht="41.4">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7"/>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8"/>
      <c r="P22" s="3207"/>
      <c r="Q22" s="1808"/>
      <c r="R22" s="773"/>
      <c r="S22" s="774"/>
      <c r="T22" s="773"/>
      <c r="U22" s="774"/>
      <c r="V22" s="773"/>
      <c r="W22" s="774"/>
      <c r="X22" s="1811"/>
      <c r="Y22" s="3207"/>
      <c r="Z22" s="1812"/>
      <c r="AA22" s="1809">
        <v>1</v>
      </c>
      <c r="AB22" s="1809">
        <v>1</v>
      </c>
      <c r="AC22" s="1809">
        <v>1</v>
      </c>
    </row>
    <row r="23" spans="1:29" ht="82.8">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7"/>
      <c r="Q23" s="1808" t="str">
        <f>B23</f>
        <v>环境质量</v>
      </c>
      <c r="R23" s="773" t="s">
        <v>17</v>
      </c>
      <c r="S23" s="774">
        <f>F23</f>
        <v>100</v>
      </c>
      <c r="T23" s="773" t="s">
        <v>17</v>
      </c>
      <c r="U23" s="774">
        <f>H23</f>
        <v>100</v>
      </c>
      <c r="V23" s="773" t="s">
        <v>17</v>
      </c>
      <c r="W23" s="774">
        <f>J23</f>
        <v>100</v>
      </c>
      <c r="X23" s="1811"/>
      <c r="Y23" s="3207"/>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9"/>
      <c r="M24" s="1130"/>
      <c r="N24" s="1130"/>
      <c r="O24" s="1138"/>
      <c r="P24" s="3207"/>
      <c r="Q24" s="1808"/>
      <c r="R24" s="773"/>
      <c r="S24" s="774"/>
      <c r="T24" s="773"/>
      <c r="U24" s="774"/>
      <c r="V24" s="773"/>
      <c r="W24" s="774"/>
      <c r="X24" s="1811"/>
      <c r="Y24" s="320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7"/>
      <c r="Q25" s="1808">
        <f>B25</f>
        <v>111</v>
      </c>
      <c r="R25" s="773" t="s">
        <v>17</v>
      </c>
      <c r="S25" s="774">
        <f>F25</f>
        <v>100</v>
      </c>
      <c r="T25" s="773" t="s">
        <v>17</v>
      </c>
      <c r="U25" s="774">
        <f>H25</f>
        <v>100</v>
      </c>
      <c r="V25" s="773" t="s">
        <v>17</v>
      </c>
      <c r="W25" s="774">
        <f>J25</f>
        <v>100</v>
      </c>
      <c r="X25" s="1811"/>
      <c r="Y25" s="320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7"/>
      <c r="Q26" s="1808">
        <f t="shared" ref="Q26:Q40" si="11">B26</f>
        <v>111</v>
      </c>
      <c r="R26" s="773" t="s">
        <v>17</v>
      </c>
      <c r="S26" s="774">
        <f>F26</f>
        <v>100</v>
      </c>
      <c r="T26" s="773" t="s">
        <v>17</v>
      </c>
      <c r="U26" s="774">
        <f>H26</f>
        <v>100</v>
      </c>
      <c r="V26" s="773" t="s">
        <v>17</v>
      </c>
      <c r="W26" s="774">
        <f>J26</f>
        <v>100</v>
      </c>
      <c r="X26" s="1811"/>
      <c r="Y26" s="320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7"/>
      <c r="Q27" s="1793">
        <f t="shared" si="11"/>
        <v>111</v>
      </c>
      <c r="R27" s="769" t="s">
        <v>17</v>
      </c>
      <c r="S27" s="770">
        <f>F27</f>
        <v>100</v>
      </c>
      <c r="T27" s="769" t="s">
        <v>17</v>
      </c>
      <c r="U27" s="770">
        <f>H27</f>
        <v>100</v>
      </c>
      <c r="V27" s="769" t="s">
        <v>17</v>
      </c>
      <c r="W27" s="770">
        <f>J27</f>
        <v>100</v>
      </c>
      <c r="X27" s="771"/>
      <c r="Y27" s="3207"/>
      <c r="Z27" s="55">
        <f>Q27</f>
        <v>111</v>
      </c>
      <c r="AA27" s="1809">
        <f>D27/F27</f>
        <v>1</v>
      </c>
      <c r="AB27" s="1809">
        <f>D27/H27</f>
        <v>1</v>
      </c>
      <c r="AC27" s="1809">
        <f>D27/J27</f>
        <v>1</v>
      </c>
    </row>
    <row r="28" spans="1:29" ht="15.6"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7"/>
      <c r="Q28" s="1808">
        <f t="shared" si="11"/>
        <v>111</v>
      </c>
      <c r="R28" s="773" t="s">
        <v>17</v>
      </c>
      <c r="S28" s="774">
        <f t="shared" ref="S28:S40" si="12">F28</f>
        <v>100</v>
      </c>
      <c r="T28" s="773" t="s">
        <v>17</v>
      </c>
      <c r="U28" s="774">
        <f t="shared" ref="U28:U40" si="13">H28</f>
        <v>100</v>
      </c>
      <c r="V28" s="773" t="s">
        <v>17</v>
      </c>
      <c r="W28" s="774">
        <f t="shared" ref="W28:W40" si="14">J28</f>
        <v>100</v>
      </c>
      <c r="X28" s="1811"/>
      <c r="Y28" s="3207"/>
      <c r="Z28" s="1812">
        <f t="shared" ref="Z28:Z40" si="15">Q28</f>
        <v>111</v>
      </c>
      <c r="AA28" s="1809">
        <f t="shared" si="3"/>
        <v>1</v>
      </c>
      <c r="AB28" s="1809">
        <f t="shared" si="4"/>
        <v>1</v>
      </c>
      <c r="AC28" s="1809">
        <f t="shared" si="5"/>
        <v>1</v>
      </c>
    </row>
    <row r="29" spans="1:29" ht="30">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11"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1"/>
      <c r="Q31" s="1808" t="str">
        <f t="shared" si="11"/>
        <v>建筑结构</v>
      </c>
      <c r="R31" s="773" t="s">
        <v>17</v>
      </c>
      <c r="S31" s="774">
        <f t="shared" si="12"/>
        <v>100</v>
      </c>
      <c r="T31" s="773" t="s">
        <v>17</v>
      </c>
      <c r="U31" s="774">
        <f t="shared" si="13"/>
        <v>100</v>
      </c>
      <c r="V31" s="773" t="s">
        <v>17</v>
      </c>
      <c r="W31" s="774">
        <f t="shared" si="14"/>
        <v>100</v>
      </c>
      <c r="X31" s="1811"/>
      <c r="Y31" s="3211"/>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1"/>
      <c r="Q32" s="1808" t="str">
        <f t="shared" si="11"/>
        <v>公共部分装修</v>
      </c>
      <c r="R32" s="773" t="s">
        <v>17</v>
      </c>
      <c r="S32" s="774">
        <f t="shared" si="12"/>
        <v>100</v>
      </c>
      <c r="T32" s="773" t="s">
        <v>17</v>
      </c>
      <c r="U32" s="774">
        <f t="shared" si="13"/>
        <v>100</v>
      </c>
      <c r="V32" s="773" t="s">
        <v>17</v>
      </c>
      <c r="W32" s="774">
        <f t="shared" si="14"/>
        <v>100</v>
      </c>
      <c r="X32" s="1811"/>
      <c r="Y32" s="3211"/>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1"/>
      <c r="Q33" s="1808" t="str">
        <f t="shared" si="11"/>
        <v>成新度</v>
      </c>
      <c r="R33" s="773" t="s">
        <v>17</v>
      </c>
      <c r="S33" s="774" t="e">
        <f t="shared" si="12"/>
        <v>#N/A</v>
      </c>
      <c r="T33" s="773" t="s">
        <v>17</v>
      </c>
      <c r="U33" s="774" t="e">
        <f t="shared" si="13"/>
        <v>#N/A</v>
      </c>
      <c r="V33" s="773" t="s">
        <v>17</v>
      </c>
      <c r="W33" s="774" t="e">
        <f t="shared" si="14"/>
        <v>#N/A</v>
      </c>
      <c r="X33" s="1811"/>
      <c r="Y33" s="3211"/>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1"/>
      <c r="Q34" s="1793"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1" t="s">
        <v>2554</v>
      </c>
      <c r="Q35" s="1808" t="str">
        <f t="shared" si="11"/>
        <v>市政基础设施</v>
      </c>
      <c r="R35" s="773" t="s">
        <v>17</v>
      </c>
      <c r="S35" s="774">
        <f t="shared" si="12"/>
        <v>100</v>
      </c>
      <c r="T35" s="773" t="s">
        <v>17</v>
      </c>
      <c r="U35" s="774">
        <f t="shared" si="13"/>
        <v>100</v>
      </c>
      <c r="V35" s="773" t="s">
        <v>17</v>
      </c>
      <c r="W35" s="774">
        <f t="shared" si="14"/>
        <v>100</v>
      </c>
      <c r="X35" s="1811"/>
      <c r="Y35" s="3211"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1"/>
      <c r="Q36" s="1808" t="str">
        <f t="shared" si="11"/>
        <v>内部装修</v>
      </c>
      <c r="R36" s="773" t="s">
        <v>17</v>
      </c>
      <c r="S36" s="774">
        <f t="shared" si="12"/>
        <v>100</v>
      </c>
      <c r="T36" s="773" t="s">
        <v>17</v>
      </c>
      <c r="U36" s="774">
        <f t="shared" si="13"/>
        <v>100</v>
      </c>
      <c r="V36" s="773" t="s">
        <v>17</v>
      </c>
      <c r="W36" s="774">
        <f t="shared" si="14"/>
        <v>100</v>
      </c>
      <c r="X36" s="1811"/>
      <c r="Y36" s="3211"/>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1"/>
      <c r="Q37" s="1808" t="str">
        <f t="shared" si="11"/>
        <v>内部装修状况</v>
      </c>
      <c r="R37" s="773" t="s">
        <v>17</v>
      </c>
      <c r="S37" s="774">
        <f t="shared" si="12"/>
        <v>100</v>
      </c>
      <c r="T37" s="773" t="s">
        <v>17</v>
      </c>
      <c r="U37" s="774">
        <f t="shared" si="13"/>
        <v>100</v>
      </c>
      <c r="V37" s="773" t="s">
        <v>17</v>
      </c>
      <c r="W37" s="774">
        <f t="shared" si="14"/>
        <v>100</v>
      </c>
      <c r="X37" s="1811"/>
      <c r="Y37" s="321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1"/>
      <c r="Q39" s="1808">
        <f t="shared" si="11"/>
        <v>111</v>
      </c>
      <c r="R39" s="773" t="s">
        <v>17</v>
      </c>
      <c r="S39" s="774">
        <f t="shared" si="12"/>
        <v>100</v>
      </c>
      <c r="T39" s="773" t="s">
        <v>17</v>
      </c>
      <c r="U39" s="774">
        <f t="shared" si="13"/>
        <v>100</v>
      </c>
      <c r="V39" s="773" t="s">
        <v>17</v>
      </c>
      <c r="W39" s="774">
        <f t="shared" si="14"/>
        <v>100</v>
      </c>
      <c r="X39" s="1811"/>
      <c r="Y39" s="3211"/>
      <c r="Z39" s="1812">
        <f t="shared" si="15"/>
        <v>111</v>
      </c>
      <c r="AA39" s="1809">
        <f t="shared" si="3"/>
        <v>1</v>
      </c>
      <c r="AB39" s="1809">
        <f t="shared" si="4"/>
        <v>1</v>
      </c>
      <c r="AC39" s="1809">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2"/>
      <c r="Q40" s="1808">
        <f t="shared" si="11"/>
        <v>111</v>
      </c>
      <c r="R40" s="773" t="s">
        <v>17</v>
      </c>
      <c r="S40" s="774">
        <f t="shared" si="12"/>
        <v>100</v>
      </c>
      <c r="T40" s="773" t="s">
        <v>17</v>
      </c>
      <c r="U40" s="774">
        <f t="shared" si="13"/>
        <v>100</v>
      </c>
      <c r="V40" s="773" t="s">
        <v>17</v>
      </c>
      <c r="W40" s="774">
        <f t="shared" si="14"/>
        <v>100</v>
      </c>
      <c r="X40" s="1811"/>
      <c r="Y40" s="3212"/>
      <c r="Z40" s="1812">
        <f t="shared" si="15"/>
        <v>111</v>
      </c>
      <c r="AA40" s="1809">
        <f t="shared" si="3"/>
        <v>1</v>
      </c>
      <c r="AB40" s="1809">
        <f t="shared" si="4"/>
        <v>1</v>
      </c>
      <c r="AC40" s="1809">
        <f t="shared" si="5"/>
        <v>1</v>
      </c>
    </row>
    <row r="41" spans="1:29" ht="14.4">
      <c r="A41" s="479" t="s">
        <v>2566</v>
      </c>
      <c r="B41" s="480"/>
      <c r="C41" s="1405" t="s">
        <v>1</v>
      </c>
      <c r="D41" s="1406"/>
      <c r="E41" s="1407"/>
      <c r="F41" s="1408"/>
      <c r="G41" s="1409"/>
      <c r="H41" s="1410"/>
      <c r="I41" s="1407"/>
      <c r="J41" s="1410"/>
      <c r="K41" s="782"/>
      <c r="L41" s="1142"/>
      <c r="M41" s="1143"/>
      <c r="N41" s="1130"/>
      <c r="O41" s="1143"/>
      <c r="P41" s="3199" t="str">
        <f>A41</f>
        <v>成交单价（元/平方米）</v>
      </c>
      <c r="Q41" s="3199"/>
      <c r="R41" s="3200">
        <f>E41</f>
        <v>0</v>
      </c>
      <c r="S41" s="3200"/>
      <c r="T41" s="3200">
        <f>G41</f>
        <v>0</v>
      </c>
      <c r="U41" s="3200"/>
      <c r="V41" s="3200">
        <f>I41</f>
        <v>0</v>
      </c>
      <c r="W41" s="3200"/>
      <c r="X41" s="758"/>
      <c r="Y41" s="780"/>
      <c r="Z41" s="758"/>
      <c r="AA41" s="758"/>
      <c r="AB41" s="758"/>
      <c r="AC41" s="758"/>
    </row>
    <row r="42" spans="1:29" ht="1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8"/>
      <c r="Y42" s="758"/>
      <c r="Z42" s="758"/>
      <c r="AA42" s="758"/>
      <c r="AB42" s="758"/>
      <c r="AC42" s="758"/>
    </row>
    <row r="43" spans="1:29" ht="15" thickBot="1">
      <c r="A43" s="492" t="s">
        <v>2659</v>
      </c>
      <c r="B43" s="493"/>
      <c r="C43" s="1415" t="e">
        <f>R43</f>
        <v>#DIV/0!</v>
      </c>
      <c r="D43" s="1415"/>
      <c r="E43" s="1415"/>
      <c r="F43" s="1415"/>
      <c r="G43" s="1415"/>
      <c r="H43" s="1415"/>
      <c r="I43" s="1415"/>
      <c r="J43" s="1415"/>
      <c r="K43" s="784"/>
      <c r="L43" s="1142"/>
      <c r="M43" s="1143"/>
      <c r="N43" s="1143"/>
      <c r="O43" s="1143"/>
      <c r="P43" s="3269" t="str">
        <f>A43</f>
        <v>估价对象XX用房的比较价值（楼面单价，元/平方米）</v>
      </c>
      <c r="Q43" s="3270"/>
      <c r="R43" s="3271" t="e">
        <f>IF(F1="售价",ROUND(AVERAGE(R42:V42),0),ROUND(AVERAGE(R42:V42),1))</f>
        <v>#DIV/0!</v>
      </c>
      <c r="S43" s="3271"/>
      <c r="T43" s="3271"/>
      <c r="U43" s="3271"/>
      <c r="V43" s="3271"/>
      <c r="W43" s="327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2663</v>
      </c>
      <c r="B51" s="758"/>
      <c r="C51" s="763"/>
      <c r="D51" s="763"/>
      <c r="E51" s="763"/>
      <c r="F51" s="764"/>
      <c r="G51" s="764"/>
      <c r="H51" s="763"/>
      <c r="I51" s="763"/>
      <c r="J51" s="763"/>
      <c r="K51" s="1159"/>
      <c r="L51" s="1160"/>
      <c r="M51" s="1158"/>
      <c r="N51" s="1158"/>
      <c r="O51" s="1158"/>
      <c r="P51" s="503"/>
      <c r="Q51" s="504"/>
    </row>
    <row r="52" spans="1:17" s="508" customFormat="1" ht="14.4">
      <c r="A52" s="505" t="s">
        <v>2537</v>
      </c>
      <c r="B52" s="506"/>
      <c r="C52" s="1572" t="str">
        <f>YEAR(C7)&amp;"-"&amp;MONTH(C7)</f>
        <v>2020-1</v>
      </c>
      <c r="D52" s="1573">
        <f>EDATE(C52,-1)</f>
        <v>43800</v>
      </c>
      <c r="E52" s="1573">
        <f t="shared" ref="E52:O52" si="16">EDATE(D52,-1)</f>
        <v>43770</v>
      </c>
      <c r="F52" s="1573">
        <f t="shared" si="16"/>
        <v>43739</v>
      </c>
      <c r="G52" s="1573">
        <f t="shared" si="16"/>
        <v>43709</v>
      </c>
      <c r="H52" s="1573">
        <f t="shared" si="16"/>
        <v>43678</v>
      </c>
      <c r="I52" s="1573">
        <f t="shared" si="16"/>
        <v>43647</v>
      </c>
      <c r="J52" s="1573">
        <f t="shared" si="16"/>
        <v>43617</v>
      </c>
      <c r="K52" s="1573">
        <f t="shared" si="16"/>
        <v>43586</v>
      </c>
      <c r="L52" s="1573">
        <f t="shared" si="16"/>
        <v>43556</v>
      </c>
      <c r="M52" s="1573">
        <f t="shared" si="16"/>
        <v>43525</v>
      </c>
      <c r="N52" s="1573">
        <f t="shared" si="16"/>
        <v>43497</v>
      </c>
      <c r="O52" s="1573">
        <f t="shared" si="16"/>
        <v>43466</v>
      </c>
      <c r="P52" s="507"/>
    </row>
    <row r="53" spans="1:17" s="117" customFormat="1">
      <c r="A53" s="509"/>
      <c r="B53" s="510"/>
      <c r="C53" s="1571">
        <v>100</v>
      </c>
      <c r="D53" s="512"/>
      <c r="E53" s="512"/>
      <c r="F53" s="512"/>
      <c r="G53" s="512"/>
      <c r="H53" s="512"/>
      <c r="I53" s="512"/>
      <c r="J53" s="512"/>
      <c r="K53" s="512"/>
      <c r="L53" s="512"/>
      <c r="M53" s="513"/>
      <c r="N53" s="512"/>
      <c r="O53" s="514"/>
      <c r="P53" s="504"/>
    </row>
    <row r="54" spans="1:17" s="117" customFormat="1" ht="15" thickBot="1">
      <c r="A54" s="515" t="s">
        <v>2574</v>
      </c>
      <c r="B54" s="516"/>
      <c r="C54" s="517"/>
      <c r="D54" s="518"/>
      <c r="E54" s="518"/>
      <c r="F54" s="518"/>
      <c r="G54" s="518"/>
      <c r="H54" s="518"/>
      <c r="I54" s="518"/>
      <c r="J54" s="518"/>
      <c r="K54" s="518"/>
      <c r="L54" s="518"/>
      <c r="M54" s="519"/>
      <c r="N54" s="518"/>
      <c r="O54" s="520"/>
      <c r="P54" s="504"/>
      <c r="Q54" s="504"/>
    </row>
    <row r="55" spans="1:17" s="117" customFormat="1" ht="14.4">
      <c r="A55" s="521" t="s">
        <v>2539</v>
      </c>
      <c r="B55" s="510"/>
      <c r="C55" s="522" t="s">
        <v>2641</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2577</v>
      </c>
      <c r="B57" s="528" t="s">
        <v>2543</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1"/>
      <c r="B87" s="569"/>
      <c r="C87" s="570"/>
      <c r="D87" s="570"/>
      <c r="E87" s="570"/>
      <c r="F87" s="570"/>
      <c r="G87" s="591"/>
      <c r="H87" s="591"/>
      <c r="I87" s="591"/>
      <c r="J87" s="591"/>
      <c r="K87" s="591"/>
      <c r="L87" s="591"/>
      <c r="M87" s="592"/>
      <c r="N87" s="1152"/>
      <c r="O87" s="1152"/>
      <c r="P87" s="45"/>
      <c r="Q87" s="504"/>
    </row>
    <row r="88" spans="1:17" ht="14.4">
      <c r="A88" s="527" t="s">
        <v>2552</v>
      </c>
      <c r="B88" s="528" t="s">
        <v>2601</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 thickBot="1">
      <c r="A7" s="408" t="s">
        <v>2537</v>
      </c>
      <c r="B7" s="409"/>
      <c r="C7" s="410">
        <f>'数据-取费表'!B2</f>
        <v>43849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0" t="s">
        <v>2538</v>
      </c>
      <c r="Q7" s="3241"/>
      <c r="R7" s="769" t="s">
        <v>17</v>
      </c>
      <c r="S7" s="770">
        <f t="shared" ref="S7:S14" si="0">F7</f>
        <v>0</v>
      </c>
      <c r="T7" s="769" t="s">
        <v>17</v>
      </c>
      <c r="U7" s="770">
        <f t="shared" ref="U7:U14" si="1">H7</f>
        <v>0</v>
      </c>
      <c r="V7" s="769" t="s">
        <v>17</v>
      </c>
      <c r="W7" s="770">
        <f t="shared" ref="W7:W14" si="2">J7</f>
        <v>0</v>
      </c>
      <c r="X7" s="771"/>
      <c r="Y7" s="3240" t="s">
        <v>2538</v>
      </c>
      <c r="Z7" s="3239"/>
      <c r="AA7" s="772" t="e">
        <f>D7/F7</f>
        <v>#DIV/0!</v>
      </c>
      <c r="AB7" s="772" t="e">
        <f>D7/H7</f>
        <v>#DIV/0!</v>
      </c>
      <c r="AC7" s="772" t="e">
        <f>D7/J7</f>
        <v>#DIV/0!</v>
      </c>
    </row>
    <row r="8" spans="1:29" s="117" customFormat="1" ht="1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36" si="3">D8/F8</f>
        <v>#DIV/0!</v>
      </c>
      <c r="AB8" s="772" t="e">
        <f t="shared" ref="AB8:AB36" si="4">D8/H8</f>
        <v>#DIV/0!</v>
      </c>
      <c r="AC8" s="772" t="e">
        <f t="shared" ref="AC8:AC36" si="5">D8/J8</f>
        <v>#DIV/0!</v>
      </c>
    </row>
    <row r="9" spans="1:29" s="117" customFormat="1" ht="14.4">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9" t="s">
        <v>2544</v>
      </c>
      <c r="Q9" s="1793" t="str">
        <f t="shared" ref="Q9:Q14" si="6">B9</f>
        <v>用途</v>
      </c>
      <c r="R9" s="769" t="s">
        <v>17</v>
      </c>
      <c r="S9" s="770">
        <f t="shared" si="0"/>
        <v>100</v>
      </c>
      <c r="T9" s="769" t="s">
        <v>17</v>
      </c>
      <c r="U9" s="770">
        <f t="shared" si="1"/>
        <v>100</v>
      </c>
      <c r="V9" s="769" t="s">
        <v>17</v>
      </c>
      <c r="W9" s="770">
        <f t="shared" si="2"/>
        <v>100</v>
      </c>
      <c r="X9" s="771"/>
      <c r="Y9" s="3048" t="s">
        <v>2545</v>
      </c>
      <c r="Z9" s="55" t="str">
        <f t="shared" ref="Z9:Z14" si="7">Q9</f>
        <v>用途</v>
      </c>
      <c r="AA9" s="772">
        <f t="shared" si="3"/>
        <v>1</v>
      </c>
      <c r="AB9" s="772">
        <f t="shared" si="4"/>
        <v>1</v>
      </c>
      <c r="AC9" s="772">
        <f t="shared" si="5"/>
        <v>1</v>
      </c>
    </row>
    <row r="10" spans="1:29" s="427" customFormat="1" ht="28.8">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9"/>
      <c r="Q11" s="1793">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289.8">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6" t="s">
        <v>2549</v>
      </c>
      <c r="Q14" s="1808" t="str">
        <f t="shared" si="6"/>
        <v>交通便捷度</v>
      </c>
      <c r="R14" s="773" t="s">
        <v>17</v>
      </c>
      <c r="S14" s="774">
        <f t="shared" si="0"/>
        <v>100</v>
      </c>
      <c r="T14" s="773" t="s">
        <v>17</v>
      </c>
      <c r="U14" s="774">
        <f t="shared" si="1"/>
        <v>100</v>
      </c>
      <c r="V14" s="773" t="s">
        <v>17</v>
      </c>
      <c r="W14" s="774">
        <f t="shared" si="2"/>
        <v>100</v>
      </c>
      <c r="X14" s="1811"/>
      <c r="Y14" s="3206"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07"/>
      <c r="Q15" s="1808"/>
      <c r="R15" s="773"/>
      <c r="S15" s="774"/>
      <c r="T15" s="773"/>
      <c r="U15" s="774"/>
      <c r="V15" s="773"/>
      <c r="W15" s="774"/>
      <c r="X15" s="1811"/>
      <c r="Y15" s="3207"/>
      <c r="Z15" s="1812"/>
      <c r="AA15" s="1809">
        <v>1</v>
      </c>
      <c r="AB15" s="1809">
        <v>1</v>
      </c>
      <c r="AC15" s="1809">
        <v>1</v>
      </c>
    </row>
    <row r="16" spans="1:29" ht="276">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7"/>
      <c r="Q16" s="1808" t="str">
        <f>B16</f>
        <v>公共配套设施</v>
      </c>
      <c r="R16" s="773" t="s">
        <v>17</v>
      </c>
      <c r="S16" s="774">
        <f>F16</f>
        <v>100</v>
      </c>
      <c r="T16" s="773" t="s">
        <v>17</v>
      </c>
      <c r="U16" s="774">
        <f>H16</f>
        <v>100</v>
      </c>
      <c r="V16" s="773" t="s">
        <v>17</v>
      </c>
      <c r="W16" s="774">
        <f>J16</f>
        <v>100</v>
      </c>
      <c r="X16" s="1811"/>
      <c r="Y16" s="320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07"/>
      <c r="Q17" s="1808"/>
      <c r="R17" s="773"/>
      <c r="S17" s="774"/>
      <c r="T17" s="773"/>
      <c r="U17" s="774"/>
      <c r="V17" s="773"/>
      <c r="W17" s="774"/>
      <c r="X17" s="1811"/>
      <c r="Y17" s="3207"/>
      <c r="Z17" s="1812"/>
      <c r="AA17" s="1809">
        <v>1</v>
      </c>
      <c r="AB17" s="1809">
        <v>1</v>
      </c>
      <c r="AC17" s="1809">
        <v>1</v>
      </c>
    </row>
    <row r="18" spans="1:29" ht="27.6">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7"/>
      <c r="Q18" s="1808" t="str">
        <f>B18</f>
        <v>基础设施水平</v>
      </c>
      <c r="R18" s="773" t="s">
        <v>17</v>
      </c>
      <c r="S18" s="774">
        <f>F18</f>
        <v>100</v>
      </c>
      <c r="T18" s="773" t="s">
        <v>17</v>
      </c>
      <c r="U18" s="774">
        <f>H18</f>
        <v>100</v>
      </c>
      <c r="V18" s="773" t="s">
        <v>17</v>
      </c>
      <c r="W18" s="774">
        <f>J18</f>
        <v>100</v>
      </c>
      <c r="X18" s="1811"/>
      <c r="Y18" s="320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39"/>
      <c r="M19" s="1130"/>
      <c r="N19" s="1130"/>
      <c r="O19" s="1130"/>
      <c r="P19" s="3207"/>
      <c r="Q19" s="1808"/>
      <c r="R19" s="773"/>
      <c r="S19" s="774"/>
      <c r="T19" s="773"/>
      <c r="U19" s="774"/>
      <c r="V19" s="773"/>
      <c r="W19" s="774"/>
      <c r="X19" s="1811"/>
      <c r="Y19" s="3207"/>
      <c r="Z19" s="1812"/>
      <c r="AA19" s="1809">
        <v>1</v>
      </c>
      <c r="AB19" s="1809">
        <v>1</v>
      </c>
      <c r="AC19" s="1809">
        <v>1</v>
      </c>
    </row>
    <row r="20" spans="1:29" ht="234.6">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7"/>
      <c r="Q20" s="1808" t="str">
        <f>B20</f>
        <v>自然及人文环境</v>
      </c>
      <c r="R20" s="773" t="s">
        <v>17</v>
      </c>
      <c r="S20" s="774">
        <f>F20</f>
        <v>100</v>
      </c>
      <c r="T20" s="773" t="s">
        <v>17</v>
      </c>
      <c r="U20" s="774">
        <f>H20</f>
        <v>100</v>
      </c>
      <c r="V20" s="773" t="s">
        <v>17</v>
      </c>
      <c r="W20" s="774">
        <f>J20</f>
        <v>100</v>
      </c>
      <c r="X20" s="1811"/>
      <c r="Y20" s="320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07"/>
      <c r="Q21" s="1808"/>
      <c r="R21" s="773"/>
      <c r="S21" s="774"/>
      <c r="T21" s="773"/>
      <c r="U21" s="774"/>
      <c r="V21" s="773"/>
      <c r="W21" s="774"/>
      <c r="X21" s="1811"/>
      <c r="Y21" s="3207"/>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7"/>
      <c r="Q22" s="1808" t="str">
        <f>B22</f>
        <v>楼层</v>
      </c>
      <c r="R22" s="773" t="s">
        <v>17</v>
      </c>
      <c r="S22" s="774">
        <f>F22</f>
        <v>100</v>
      </c>
      <c r="T22" s="773" t="s">
        <v>17</v>
      </c>
      <c r="U22" s="774">
        <f>H22</f>
        <v>100</v>
      </c>
      <c r="V22" s="773" t="s">
        <v>17</v>
      </c>
      <c r="W22" s="774">
        <f>J22</f>
        <v>100</v>
      </c>
      <c r="X22" s="1811"/>
      <c r="Y22" s="320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7"/>
      <c r="Q23" s="1808">
        <f>B23</f>
        <v>111</v>
      </c>
      <c r="R23" s="773" t="s">
        <v>17</v>
      </c>
      <c r="S23" s="774">
        <f>F23</f>
        <v>100</v>
      </c>
      <c r="T23" s="773" t="s">
        <v>17</v>
      </c>
      <c r="U23" s="774">
        <f>H23</f>
        <v>100</v>
      </c>
      <c r="V23" s="773" t="s">
        <v>17</v>
      </c>
      <c r="W23" s="774">
        <f>J23</f>
        <v>100</v>
      </c>
      <c r="X23" s="1811"/>
      <c r="Y23" s="320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7"/>
      <c r="Q24" s="1808">
        <f t="shared" ref="Q24:Q36" si="11">B24</f>
        <v>111</v>
      </c>
      <c r="R24" s="773" t="s">
        <v>17</v>
      </c>
      <c r="S24" s="774">
        <f>F24</f>
        <v>100</v>
      </c>
      <c r="T24" s="773" t="s">
        <v>17</v>
      </c>
      <c r="U24" s="774">
        <f>H24</f>
        <v>100</v>
      </c>
      <c r="V24" s="773" t="s">
        <v>17</v>
      </c>
      <c r="W24" s="774">
        <f>J24</f>
        <v>100</v>
      </c>
      <c r="X24" s="1811"/>
      <c r="Y24" s="3207"/>
      <c r="Z24" s="1812">
        <f>Q24</f>
        <v>111</v>
      </c>
      <c r="AA24" s="1809">
        <f t="shared" si="3"/>
        <v>1</v>
      </c>
      <c r="AB24" s="1809">
        <f t="shared" si="4"/>
        <v>1</v>
      </c>
      <c r="AC24" s="1809">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7"/>
      <c r="Q25" s="1793">
        <f t="shared" si="11"/>
        <v>111</v>
      </c>
      <c r="R25" s="769" t="s">
        <v>17</v>
      </c>
      <c r="S25" s="770">
        <f>F25</f>
        <v>100</v>
      </c>
      <c r="T25" s="769" t="s">
        <v>17</v>
      </c>
      <c r="U25" s="770">
        <f>H25</f>
        <v>100</v>
      </c>
      <c r="V25" s="769" t="s">
        <v>17</v>
      </c>
      <c r="W25" s="770">
        <f>J25</f>
        <v>100</v>
      </c>
      <c r="X25" s="771"/>
      <c r="Y25" s="3207"/>
      <c r="Z25" s="55">
        <f>Q25</f>
        <v>111</v>
      </c>
      <c r="AA25" s="1809">
        <f>D25/F25</f>
        <v>1</v>
      </c>
      <c r="AB25" s="1809">
        <f>D25/H25</f>
        <v>1</v>
      </c>
      <c r="AC25" s="1809">
        <f>D25/J25</f>
        <v>1</v>
      </c>
    </row>
    <row r="26" spans="1:29" ht="30">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1"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1"/>
      <c r="Q28" s="1808" t="str">
        <f t="shared" si="11"/>
        <v>公共部分装修</v>
      </c>
      <c r="R28" s="773" t="s">
        <v>17</v>
      </c>
      <c r="S28" s="774">
        <f t="shared" si="12"/>
        <v>100</v>
      </c>
      <c r="T28" s="773" t="s">
        <v>17</v>
      </c>
      <c r="U28" s="774">
        <f t="shared" si="13"/>
        <v>100</v>
      </c>
      <c r="V28" s="773" t="s">
        <v>17</v>
      </c>
      <c r="W28" s="774">
        <f t="shared" si="14"/>
        <v>100</v>
      </c>
      <c r="X28" s="1811"/>
      <c r="Y28" s="3211"/>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1"/>
      <c r="Q29" s="1808" t="str">
        <f t="shared" si="11"/>
        <v>成新率</v>
      </c>
      <c r="R29" s="773" t="s">
        <v>17</v>
      </c>
      <c r="S29" s="774" t="e">
        <f t="shared" si="12"/>
        <v>#N/A</v>
      </c>
      <c r="T29" s="773" t="s">
        <v>17</v>
      </c>
      <c r="U29" s="774" t="e">
        <f t="shared" si="13"/>
        <v>#N/A</v>
      </c>
      <c r="V29" s="773" t="s">
        <v>17</v>
      </c>
      <c r="W29" s="774" t="e">
        <f t="shared" si="14"/>
        <v>#N/A</v>
      </c>
      <c r="X29" s="1811"/>
      <c r="Y29" s="3211"/>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1"/>
      <c r="Q30" s="1808" t="str">
        <f t="shared" si="11"/>
        <v>物业等级</v>
      </c>
      <c r="R30" s="773" t="s">
        <v>17</v>
      </c>
      <c r="S30" s="774">
        <f t="shared" si="12"/>
        <v>100</v>
      </c>
      <c r="T30" s="773" t="s">
        <v>17</v>
      </c>
      <c r="U30" s="774">
        <f t="shared" si="13"/>
        <v>100</v>
      </c>
      <c r="V30" s="773" t="s">
        <v>17</v>
      </c>
      <c r="W30" s="774">
        <f t="shared" si="14"/>
        <v>100</v>
      </c>
      <c r="X30" s="1811"/>
      <c r="Y30" s="3211"/>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1"/>
      <c r="Q31" s="1793"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1" t="s">
        <v>2554</v>
      </c>
      <c r="Q32" s="1808" t="str">
        <f t="shared" si="11"/>
        <v>车位类型</v>
      </c>
      <c r="R32" s="773" t="s">
        <v>17</v>
      </c>
      <c r="S32" s="774">
        <f t="shared" si="12"/>
        <v>100</v>
      </c>
      <c r="T32" s="773" t="s">
        <v>17</v>
      </c>
      <c r="U32" s="774">
        <f t="shared" si="13"/>
        <v>100</v>
      </c>
      <c r="V32" s="773" t="s">
        <v>17</v>
      </c>
      <c r="W32" s="774">
        <f t="shared" si="14"/>
        <v>100</v>
      </c>
      <c r="X32" s="1811"/>
      <c r="Y32" s="3211"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1"/>
      <c r="Q33" s="1808" t="str">
        <f t="shared" si="11"/>
        <v>是否直接入户</v>
      </c>
      <c r="R33" s="773" t="s">
        <v>17</v>
      </c>
      <c r="S33" s="774">
        <f t="shared" si="12"/>
        <v>100</v>
      </c>
      <c r="T33" s="773" t="s">
        <v>17</v>
      </c>
      <c r="U33" s="774">
        <f t="shared" si="13"/>
        <v>100</v>
      </c>
      <c r="V33" s="773" t="s">
        <v>17</v>
      </c>
      <c r="W33" s="774">
        <f t="shared" si="14"/>
        <v>100</v>
      </c>
      <c r="X33" s="1811"/>
      <c r="Y33" s="321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1"/>
      <c r="Q34" s="1808">
        <f t="shared" si="11"/>
        <v>111</v>
      </c>
      <c r="R34" s="773" t="s">
        <v>17</v>
      </c>
      <c r="S34" s="774">
        <f t="shared" si="12"/>
        <v>100</v>
      </c>
      <c r="T34" s="773" t="s">
        <v>17</v>
      </c>
      <c r="U34" s="774">
        <f t="shared" si="13"/>
        <v>100</v>
      </c>
      <c r="V34" s="773" t="s">
        <v>17</v>
      </c>
      <c r="W34" s="774">
        <f t="shared" si="14"/>
        <v>100</v>
      </c>
      <c r="X34" s="1811"/>
      <c r="Y34" s="321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09">
        <f t="shared" si="3"/>
        <v>1</v>
      </c>
      <c r="AB35" s="1809">
        <f t="shared" si="4"/>
        <v>1</v>
      </c>
      <c r="AC35" s="1809">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1"/>
      <c r="Q36" s="1808">
        <f t="shared" si="11"/>
        <v>111</v>
      </c>
      <c r="R36" s="773" t="s">
        <v>17</v>
      </c>
      <c r="S36" s="774">
        <f t="shared" si="12"/>
        <v>100</v>
      </c>
      <c r="T36" s="773" t="s">
        <v>17</v>
      </c>
      <c r="U36" s="774">
        <f t="shared" si="13"/>
        <v>100</v>
      </c>
      <c r="V36" s="773" t="s">
        <v>17</v>
      </c>
      <c r="W36" s="774">
        <f t="shared" si="14"/>
        <v>100</v>
      </c>
      <c r="X36" s="1811"/>
      <c r="Y36" s="3211"/>
      <c r="Z36" s="1812">
        <f t="shared" si="15"/>
        <v>111</v>
      </c>
      <c r="AA36" s="1809">
        <f t="shared" si="3"/>
        <v>1</v>
      </c>
      <c r="AB36" s="1809">
        <f t="shared" si="4"/>
        <v>1</v>
      </c>
      <c r="AC36" s="1809">
        <f t="shared" si="5"/>
        <v>1</v>
      </c>
    </row>
    <row r="37" spans="1:29" ht="14.4">
      <c r="A37" s="479" t="s">
        <v>2709</v>
      </c>
      <c r="B37" s="2690" t="s">
        <v>2710</v>
      </c>
      <c r="C37" s="1405" t="s">
        <v>1</v>
      </c>
      <c r="D37" s="1406"/>
      <c r="E37" s="1407"/>
      <c r="F37" s="1408"/>
      <c r="G37" s="1409"/>
      <c r="H37" s="1410"/>
      <c r="I37" s="1407"/>
      <c r="J37" s="1410"/>
      <c r="K37" s="619"/>
      <c r="L37" s="1142"/>
      <c r="M37" s="1143"/>
      <c r="N37" s="1130"/>
      <c r="O37" s="1143"/>
      <c r="P37" s="3199" t="str">
        <f>A37</f>
        <v>成交单价</v>
      </c>
      <c r="Q37" s="3199"/>
      <c r="R37" s="3200">
        <f>E37</f>
        <v>0</v>
      </c>
      <c r="S37" s="3200"/>
      <c r="T37" s="3200">
        <f>G37</f>
        <v>0</v>
      </c>
      <c r="U37" s="3200"/>
      <c r="V37" s="3200">
        <f>I37</f>
        <v>0</v>
      </c>
      <c r="W37" s="3200"/>
      <c r="X37" s="758"/>
      <c r="Y37" s="780"/>
      <c r="Z37" s="758"/>
      <c r="AA37" s="758"/>
      <c r="AB37" s="758"/>
      <c r="AC37" s="758"/>
    </row>
    <row r="38" spans="1:29" ht="1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8"/>
      <c r="Y38" s="758"/>
      <c r="Z38" s="758"/>
      <c r="AA38" s="758"/>
      <c r="AB38" s="758"/>
      <c r="AC38" s="758"/>
    </row>
    <row r="39" spans="1:29" ht="15" thickBot="1">
      <c r="A39" s="492" t="s">
        <v>2712</v>
      </c>
      <c r="B39" s="493"/>
      <c r="C39" s="1415" t="e">
        <f>R39</f>
        <v>#DIV/0!</v>
      </c>
      <c r="D39" s="1415"/>
      <c r="E39" s="1415"/>
      <c r="F39" s="1415"/>
      <c r="G39" s="1415"/>
      <c r="H39" s="1415"/>
      <c r="I39" s="1415"/>
      <c r="J39" s="1415"/>
      <c r="K39" s="621"/>
      <c r="L39" s="1142"/>
      <c r="M39" s="1143"/>
      <c r="N39" s="1143"/>
      <c r="O39" s="1143"/>
      <c r="P39" s="3269" t="str">
        <f>A39</f>
        <v>估价对象XX用房的比较价值（楼面单价，元/平方米）</v>
      </c>
      <c r="Q39" s="3270"/>
      <c r="R39" s="3271" t="e">
        <f>IF(F1="售价",ROUND(AVERAGE(R38:V38),0),ROUND(AVERAGE(R38:V38),1))</f>
        <v>#DIV/0!</v>
      </c>
      <c r="S39" s="3271"/>
      <c r="T39" s="3271"/>
      <c r="U39" s="3271"/>
      <c r="V39" s="3271"/>
      <c r="W39" s="327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2.2"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4.4">
      <c r="A48" s="505" t="s">
        <v>2717</v>
      </c>
      <c r="B48" s="506"/>
      <c r="C48" s="1572" t="str">
        <f>YEAR(C7)&amp;"-"&amp;MONTH(C7)</f>
        <v>2020-1</v>
      </c>
      <c r="D48" s="1573">
        <f>EDATE(C48,-1)</f>
        <v>43800</v>
      </c>
      <c r="E48" s="1573">
        <f t="shared" ref="E48:O48" si="16">EDATE(D48,-1)</f>
        <v>43770</v>
      </c>
      <c r="F48" s="1573">
        <f t="shared" si="16"/>
        <v>43739</v>
      </c>
      <c r="G48" s="1573">
        <f t="shared" si="16"/>
        <v>43709</v>
      </c>
      <c r="H48" s="1573">
        <f t="shared" si="16"/>
        <v>43678</v>
      </c>
      <c r="I48" s="1573">
        <f t="shared" si="16"/>
        <v>43647</v>
      </c>
      <c r="J48" s="1573">
        <f t="shared" si="16"/>
        <v>43617</v>
      </c>
      <c r="K48" s="1573">
        <f t="shared" si="16"/>
        <v>43586</v>
      </c>
      <c r="L48" s="1573">
        <f t="shared" si="16"/>
        <v>43556</v>
      </c>
      <c r="M48" s="1573">
        <f t="shared" si="16"/>
        <v>43525</v>
      </c>
      <c r="N48" s="1573">
        <f t="shared" si="16"/>
        <v>43497</v>
      </c>
      <c r="O48" s="1573">
        <f t="shared" si="16"/>
        <v>43466</v>
      </c>
      <c r="P48" s="1436"/>
      <c r="Q48" s="1437"/>
      <c r="R48" s="1437"/>
      <c r="S48" s="1437"/>
      <c r="T48" s="1437"/>
      <c r="U48" s="1437"/>
      <c r="V48" s="1437"/>
      <c r="W48" s="1437"/>
      <c r="X48" s="1437"/>
      <c r="Y48" s="1437"/>
      <c r="Z48" s="1437"/>
      <c r="AA48" s="1437"/>
      <c r="AB48" s="1437"/>
      <c r="AC48" s="1437"/>
    </row>
    <row r="49" spans="1:29" s="117" customFormat="1">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4.4">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4.4"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ht="14.4">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9.4"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4.4"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4.4"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4.4"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4.4"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4.4"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4.4"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4.4"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4.4"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9.4"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4.4"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4.4"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4.4"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 thickBot="1">
      <c r="A7" s="408" t="s">
        <v>2537</v>
      </c>
      <c r="B7" s="409"/>
      <c r="C7" s="410">
        <f>'数据-取费表'!B2</f>
        <v>43849</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40" t="s">
        <v>2538</v>
      </c>
      <c r="Q7" s="3241"/>
      <c r="R7" s="769" t="s">
        <v>17</v>
      </c>
      <c r="S7" s="770">
        <f t="shared" ref="S7:S14" si="0">F7</f>
        <v>0</v>
      </c>
      <c r="T7" s="769" t="s">
        <v>17</v>
      </c>
      <c r="U7" s="770">
        <f t="shared" ref="U7:U14" si="1">H7</f>
        <v>0</v>
      </c>
      <c r="V7" s="769" t="s">
        <v>17</v>
      </c>
      <c r="W7" s="770">
        <f t="shared" ref="W7:W14" si="2">J7</f>
        <v>0</v>
      </c>
      <c r="X7" s="771"/>
      <c r="Y7" s="3240" t="s">
        <v>2538</v>
      </c>
      <c r="Z7" s="3239"/>
      <c r="AA7" s="772" t="e">
        <f>D7/F7</f>
        <v>#DIV/0!</v>
      </c>
      <c r="AB7" s="772" t="e">
        <f>D7/H7</f>
        <v>#DIV/0!</v>
      </c>
      <c r="AC7" s="772" t="e">
        <f>D7/J7</f>
        <v>#DIV/0!</v>
      </c>
    </row>
    <row r="8" spans="1:29" s="117" customFormat="1" ht="1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34" si="3">D8/F8</f>
        <v>#DIV/0!</v>
      </c>
      <c r="AB8" s="772" t="e">
        <f t="shared" ref="AB8:AB34" si="4">D8/H8</f>
        <v>#DIV/0!</v>
      </c>
      <c r="AC8" s="772" t="e">
        <f t="shared" ref="AC8:AC34" si="5">D8/J8</f>
        <v>#DIV/0!</v>
      </c>
    </row>
    <row r="9" spans="1:29" s="117" customFormat="1" ht="14.4">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9" t="s">
        <v>2544</v>
      </c>
      <c r="Q9" s="1793" t="str">
        <f t="shared" ref="Q9:Q14" si="6">B9</f>
        <v>用途</v>
      </c>
      <c r="R9" s="769" t="s">
        <v>17</v>
      </c>
      <c r="S9" s="770">
        <f t="shared" si="0"/>
        <v>100</v>
      </c>
      <c r="T9" s="769" t="s">
        <v>17</v>
      </c>
      <c r="U9" s="770">
        <f t="shared" si="1"/>
        <v>100</v>
      </c>
      <c r="V9" s="769" t="s">
        <v>17</v>
      </c>
      <c r="W9" s="770">
        <f t="shared" si="2"/>
        <v>100</v>
      </c>
      <c r="X9" s="771"/>
      <c r="Y9" s="3048" t="s">
        <v>2545</v>
      </c>
      <c r="Z9" s="55" t="str">
        <f t="shared" ref="Z9:Z14" si="7">Q9</f>
        <v>用途</v>
      </c>
      <c r="AA9" s="772">
        <f t="shared" si="3"/>
        <v>1</v>
      </c>
      <c r="AB9" s="772">
        <f t="shared" si="4"/>
        <v>1</v>
      </c>
      <c r="AC9" s="772">
        <f t="shared" si="5"/>
        <v>1</v>
      </c>
    </row>
    <row r="10" spans="1:29" s="427" customFormat="1" ht="28.8">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9"/>
      <c r="Q11" s="1793">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289.8">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6" t="s">
        <v>2549</v>
      </c>
      <c r="Q14" s="1808" t="str">
        <f t="shared" si="6"/>
        <v>交通便捷度</v>
      </c>
      <c r="R14" s="773" t="s">
        <v>17</v>
      </c>
      <c r="S14" s="774">
        <f t="shared" si="0"/>
        <v>100</v>
      </c>
      <c r="T14" s="773" t="s">
        <v>17</v>
      </c>
      <c r="U14" s="774">
        <f t="shared" si="1"/>
        <v>100</v>
      </c>
      <c r="V14" s="773" t="s">
        <v>17</v>
      </c>
      <c r="W14" s="774">
        <f t="shared" si="2"/>
        <v>100</v>
      </c>
      <c r="X14" s="1811"/>
      <c r="Y14" s="3206"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07"/>
      <c r="Q15" s="1808"/>
      <c r="R15" s="773"/>
      <c r="S15" s="774"/>
      <c r="T15" s="773"/>
      <c r="U15" s="774"/>
      <c r="V15" s="773"/>
      <c r="W15" s="774"/>
      <c r="X15" s="1811"/>
      <c r="Y15" s="3207"/>
      <c r="Z15" s="1812"/>
      <c r="AA15" s="1809">
        <v>1</v>
      </c>
      <c r="AB15" s="1809">
        <v>1</v>
      </c>
      <c r="AC15" s="1809">
        <v>1</v>
      </c>
    </row>
    <row r="16" spans="1:29" ht="276">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7"/>
      <c r="Q16" s="1808" t="str">
        <f>B16</f>
        <v>公共配套设施</v>
      </c>
      <c r="R16" s="773" t="s">
        <v>17</v>
      </c>
      <c r="S16" s="774">
        <f>F16</f>
        <v>100</v>
      </c>
      <c r="T16" s="773" t="s">
        <v>17</v>
      </c>
      <c r="U16" s="774">
        <f>H16</f>
        <v>100</v>
      </c>
      <c r="V16" s="773" t="s">
        <v>17</v>
      </c>
      <c r="W16" s="774">
        <f>J16</f>
        <v>100</v>
      </c>
      <c r="X16" s="1811"/>
      <c r="Y16" s="320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07"/>
      <c r="Q17" s="1808"/>
      <c r="R17" s="773"/>
      <c r="S17" s="774"/>
      <c r="T17" s="773"/>
      <c r="U17" s="774"/>
      <c r="V17" s="773"/>
      <c r="W17" s="774"/>
      <c r="X17" s="1811"/>
      <c r="Y17" s="3207"/>
      <c r="Z17" s="1812"/>
      <c r="AA17" s="1809">
        <v>1</v>
      </c>
      <c r="AB17" s="1809">
        <v>1</v>
      </c>
      <c r="AC17" s="1809">
        <v>1</v>
      </c>
    </row>
    <row r="18" spans="1:29" ht="27.6">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7"/>
      <c r="Q18" s="1808" t="str">
        <f>B18</f>
        <v>基础设施水平</v>
      </c>
      <c r="R18" s="773" t="s">
        <v>17</v>
      </c>
      <c r="S18" s="774">
        <f>F18</f>
        <v>100</v>
      </c>
      <c r="T18" s="773" t="s">
        <v>17</v>
      </c>
      <c r="U18" s="774">
        <f>H18</f>
        <v>100</v>
      </c>
      <c r="V18" s="773" t="s">
        <v>17</v>
      </c>
      <c r="W18" s="774">
        <f>J18</f>
        <v>100</v>
      </c>
      <c r="X18" s="1811"/>
      <c r="Y18" s="3207"/>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9"/>
      <c r="M19" s="1130"/>
      <c r="N19" s="1130"/>
      <c r="O19" s="1138"/>
      <c r="P19" s="3207"/>
      <c r="Q19" s="1808"/>
      <c r="R19" s="773"/>
      <c r="S19" s="774"/>
      <c r="T19" s="773"/>
      <c r="U19" s="774"/>
      <c r="V19" s="773"/>
      <c r="W19" s="774"/>
      <c r="X19" s="1811"/>
      <c r="Y19" s="3207"/>
      <c r="Z19" s="1812"/>
      <c r="AA19" s="1809">
        <v>1</v>
      </c>
      <c r="AB19" s="1809">
        <v>1</v>
      </c>
      <c r="AC19" s="1809">
        <v>1</v>
      </c>
    </row>
    <row r="20" spans="1:29" ht="234.6">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7"/>
      <c r="Q20" s="1808" t="str">
        <f>B20</f>
        <v>自然及人文环境</v>
      </c>
      <c r="R20" s="773" t="s">
        <v>17</v>
      </c>
      <c r="S20" s="774">
        <f>F20</f>
        <v>100</v>
      </c>
      <c r="T20" s="773" t="s">
        <v>17</v>
      </c>
      <c r="U20" s="774">
        <f>H20</f>
        <v>100</v>
      </c>
      <c r="V20" s="773" t="s">
        <v>17</v>
      </c>
      <c r="W20" s="774">
        <f>J20</f>
        <v>100</v>
      </c>
      <c r="X20" s="1811"/>
      <c r="Y20" s="320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07"/>
      <c r="Q21" s="1808"/>
      <c r="R21" s="773"/>
      <c r="S21" s="774"/>
      <c r="T21" s="773"/>
      <c r="U21" s="774"/>
      <c r="V21" s="773"/>
      <c r="W21" s="774"/>
      <c r="X21" s="1811"/>
      <c r="Y21" s="3207"/>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7"/>
      <c r="Q22" s="1808" t="str">
        <f>B22</f>
        <v>楼层</v>
      </c>
      <c r="R22" s="773" t="s">
        <v>17</v>
      </c>
      <c r="S22" s="774">
        <f>F22</f>
        <v>100</v>
      </c>
      <c r="T22" s="773" t="s">
        <v>17</v>
      </c>
      <c r="U22" s="774">
        <f>H22</f>
        <v>100</v>
      </c>
      <c r="V22" s="773" t="s">
        <v>17</v>
      </c>
      <c r="W22" s="774">
        <f>J22</f>
        <v>100</v>
      </c>
      <c r="X22" s="1811"/>
      <c r="Y22" s="320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7"/>
      <c r="Q23" s="1808">
        <f>B23</f>
        <v>111</v>
      </c>
      <c r="R23" s="773" t="s">
        <v>17</v>
      </c>
      <c r="S23" s="774">
        <f>F23</f>
        <v>100</v>
      </c>
      <c r="T23" s="773" t="s">
        <v>17</v>
      </c>
      <c r="U23" s="774">
        <f>H23</f>
        <v>100</v>
      </c>
      <c r="V23" s="773" t="s">
        <v>17</v>
      </c>
      <c r="W23" s="774">
        <f>J23</f>
        <v>100</v>
      </c>
      <c r="X23" s="1811"/>
      <c r="Y23" s="320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7"/>
      <c r="Q24" s="1808">
        <f t="shared" ref="Q24:Q34" si="11">B24</f>
        <v>111</v>
      </c>
      <c r="R24" s="773" t="s">
        <v>17</v>
      </c>
      <c r="S24" s="774">
        <f>F24</f>
        <v>100</v>
      </c>
      <c r="T24" s="773" t="s">
        <v>17</v>
      </c>
      <c r="U24" s="774">
        <f>H24</f>
        <v>100</v>
      </c>
      <c r="V24" s="773" t="s">
        <v>17</v>
      </c>
      <c r="W24" s="774">
        <f>J24</f>
        <v>100</v>
      </c>
      <c r="X24" s="1811"/>
      <c r="Y24" s="3207"/>
      <c r="Z24" s="1812">
        <f>Q24</f>
        <v>111</v>
      </c>
      <c r="AA24" s="1809">
        <f t="shared" si="3"/>
        <v>1</v>
      </c>
      <c r="AB24" s="1809">
        <f t="shared" si="4"/>
        <v>1</v>
      </c>
      <c r="AC24" s="1809">
        <f t="shared" si="5"/>
        <v>1</v>
      </c>
    </row>
    <row r="25" spans="1:29" s="117" customFormat="1" ht="15.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07"/>
      <c r="Q25" s="1793">
        <f t="shared" si="11"/>
        <v>111</v>
      </c>
      <c r="R25" s="769" t="s">
        <v>17</v>
      </c>
      <c r="S25" s="770">
        <f>F25</f>
        <v>100</v>
      </c>
      <c r="T25" s="769" t="s">
        <v>17</v>
      </c>
      <c r="U25" s="770">
        <f>H25</f>
        <v>100</v>
      </c>
      <c r="V25" s="769" t="s">
        <v>17</v>
      </c>
      <c r="W25" s="770">
        <f>J25</f>
        <v>100</v>
      </c>
      <c r="X25" s="771"/>
      <c r="Y25" s="3207"/>
      <c r="Z25" s="55">
        <f>Q25</f>
        <v>111</v>
      </c>
      <c r="AA25" s="1809">
        <f>D25/F25</f>
        <v>1</v>
      </c>
      <c r="AB25" s="1809">
        <f>D25/H25</f>
        <v>1</v>
      </c>
      <c r="AC25" s="1809">
        <f>D25/J25</f>
        <v>1</v>
      </c>
    </row>
    <row r="26" spans="1:29" ht="30">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1"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1"/>
      <c r="Q28" s="1808" t="str">
        <f t="shared" si="11"/>
        <v>物业等级</v>
      </c>
      <c r="R28" s="773" t="s">
        <v>17</v>
      </c>
      <c r="S28" s="774">
        <f t="shared" si="12"/>
        <v>100</v>
      </c>
      <c r="T28" s="773" t="s">
        <v>17</v>
      </c>
      <c r="U28" s="774">
        <f t="shared" si="13"/>
        <v>100</v>
      </c>
      <c r="V28" s="773" t="s">
        <v>17</v>
      </c>
      <c r="W28" s="774">
        <f t="shared" si="14"/>
        <v>100</v>
      </c>
      <c r="X28" s="1811"/>
      <c r="Y28" s="3211"/>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1"/>
      <c r="Q29" s="1808" t="str">
        <f t="shared" si="11"/>
        <v>有无电梯</v>
      </c>
      <c r="R29" s="773" t="s">
        <v>17</v>
      </c>
      <c r="S29" s="774">
        <f t="shared" si="12"/>
        <v>100</v>
      </c>
      <c r="T29" s="773" t="s">
        <v>17</v>
      </c>
      <c r="U29" s="774">
        <f t="shared" si="13"/>
        <v>100</v>
      </c>
      <c r="V29" s="773" t="s">
        <v>17</v>
      </c>
      <c r="W29" s="774">
        <f t="shared" si="14"/>
        <v>100</v>
      </c>
      <c r="X29" s="1811"/>
      <c r="Y29" s="3211"/>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1"/>
      <c r="Q30" s="1808" t="str">
        <f t="shared" si="11"/>
        <v>建筑面积</v>
      </c>
      <c r="R30" s="773" t="s">
        <v>17</v>
      </c>
      <c r="S30" s="774" t="e">
        <f t="shared" si="12"/>
        <v>#N/A</v>
      </c>
      <c r="T30" s="773" t="s">
        <v>17</v>
      </c>
      <c r="U30" s="774" t="e">
        <f t="shared" si="13"/>
        <v>#N/A</v>
      </c>
      <c r="V30" s="773" t="s">
        <v>17</v>
      </c>
      <c r="W30" s="774" t="e">
        <f t="shared" si="14"/>
        <v>#N/A</v>
      </c>
      <c r="X30" s="1811"/>
      <c r="Y30" s="3211"/>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1"/>
      <c r="Q31" s="1793"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1" t="s">
        <v>2554</v>
      </c>
      <c r="Q32" s="1808">
        <f t="shared" si="11"/>
        <v>111</v>
      </c>
      <c r="R32" s="773" t="s">
        <v>17</v>
      </c>
      <c r="S32" s="774">
        <f t="shared" si="12"/>
        <v>100</v>
      </c>
      <c r="T32" s="773" t="s">
        <v>17</v>
      </c>
      <c r="U32" s="774">
        <f t="shared" si="13"/>
        <v>100</v>
      </c>
      <c r="V32" s="773" t="s">
        <v>17</v>
      </c>
      <c r="W32" s="774">
        <f t="shared" si="14"/>
        <v>100</v>
      </c>
      <c r="X32" s="1811"/>
      <c r="Y32" s="3211"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1"/>
      <c r="Q33" s="1808">
        <f t="shared" si="11"/>
        <v>111</v>
      </c>
      <c r="R33" s="773" t="s">
        <v>17</v>
      </c>
      <c r="S33" s="774">
        <f t="shared" si="12"/>
        <v>100</v>
      </c>
      <c r="T33" s="773" t="s">
        <v>17</v>
      </c>
      <c r="U33" s="774">
        <f t="shared" si="13"/>
        <v>100</v>
      </c>
      <c r="V33" s="773" t="s">
        <v>17</v>
      </c>
      <c r="W33" s="774">
        <f t="shared" si="14"/>
        <v>100</v>
      </c>
      <c r="X33" s="1811"/>
      <c r="Y33" s="3211"/>
      <c r="Z33" s="1812">
        <f t="shared" si="15"/>
        <v>111</v>
      </c>
      <c r="AA33" s="1809">
        <f t="shared" si="3"/>
        <v>1</v>
      </c>
      <c r="AB33" s="1809">
        <f t="shared" si="4"/>
        <v>1</v>
      </c>
      <c r="AC33" s="1809">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11"/>
      <c r="Q34" s="1808">
        <f t="shared" si="11"/>
        <v>111</v>
      </c>
      <c r="R34" s="773" t="s">
        <v>17</v>
      </c>
      <c r="S34" s="774">
        <f t="shared" si="12"/>
        <v>100</v>
      </c>
      <c r="T34" s="773" t="s">
        <v>17</v>
      </c>
      <c r="U34" s="774">
        <f t="shared" si="13"/>
        <v>100</v>
      </c>
      <c r="V34" s="773" t="s">
        <v>17</v>
      </c>
      <c r="W34" s="774">
        <f t="shared" si="14"/>
        <v>100</v>
      </c>
      <c r="X34" s="1811"/>
      <c r="Y34" s="3211"/>
      <c r="Z34" s="1812">
        <f t="shared" si="15"/>
        <v>111</v>
      </c>
      <c r="AA34" s="1809">
        <f t="shared" si="3"/>
        <v>1</v>
      </c>
      <c r="AB34" s="1809">
        <f t="shared" si="4"/>
        <v>1</v>
      </c>
      <c r="AC34" s="1809">
        <f t="shared" si="5"/>
        <v>1</v>
      </c>
    </row>
    <row r="35" spans="1:29" ht="14.4">
      <c r="A35" s="479" t="s">
        <v>2566</v>
      </c>
      <c r="B35" s="480"/>
      <c r="C35" s="1405" t="s">
        <v>1</v>
      </c>
      <c r="D35" s="1406"/>
      <c r="E35" s="1407"/>
      <c r="F35" s="1408"/>
      <c r="G35" s="1409"/>
      <c r="H35" s="1410"/>
      <c r="I35" s="1407"/>
      <c r="J35" s="1410"/>
      <c r="K35" s="782"/>
      <c r="L35" s="1142"/>
      <c r="M35" s="1143"/>
      <c r="N35" s="1130"/>
      <c r="O35" s="1143"/>
      <c r="P35" s="3199" t="str">
        <f>A35</f>
        <v>成交单价（元/平方米）</v>
      </c>
      <c r="Q35" s="3199"/>
      <c r="R35" s="3200">
        <f>E35</f>
        <v>0</v>
      </c>
      <c r="S35" s="3200"/>
      <c r="T35" s="3200">
        <f>G35</f>
        <v>0</v>
      </c>
      <c r="U35" s="3200"/>
      <c r="V35" s="3200">
        <f>I35</f>
        <v>0</v>
      </c>
      <c r="W35" s="3200"/>
      <c r="X35" s="758"/>
      <c r="Y35" s="780"/>
      <c r="Z35" s="758"/>
      <c r="AA35" s="758"/>
      <c r="AB35" s="758"/>
      <c r="AC35" s="758"/>
    </row>
    <row r="36" spans="1:29" ht="1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8"/>
      <c r="Y36" s="758"/>
      <c r="Z36" s="758"/>
      <c r="AA36" s="758"/>
      <c r="AB36" s="758"/>
      <c r="AC36" s="758"/>
    </row>
    <row r="37" spans="1:29" ht="15" thickBot="1">
      <c r="A37" s="492" t="s">
        <v>2659</v>
      </c>
      <c r="B37" s="493"/>
      <c r="C37" s="1415" t="e">
        <f>R37</f>
        <v>#DIV/0!</v>
      </c>
      <c r="D37" s="1415"/>
      <c r="E37" s="1415"/>
      <c r="F37" s="1415"/>
      <c r="G37" s="1415"/>
      <c r="H37" s="1415"/>
      <c r="I37" s="1415"/>
      <c r="J37" s="1415"/>
      <c r="K37" s="784"/>
      <c r="L37" s="1142"/>
      <c r="M37" s="1143"/>
      <c r="N37" s="1143"/>
      <c r="O37" s="1143"/>
      <c r="P37" s="3269" t="str">
        <f>A37</f>
        <v>估价对象XX用房的比较价值（楼面单价，元/平方米）</v>
      </c>
      <c r="Q37" s="3270"/>
      <c r="R37" s="3271" t="e">
        <f>IF(F1="售价",ROUND(AVERAGE(R36:V36),0),ROUND(AVERAGE(R36:V36),1))</f>
        <v>#DIV/0!</v>
      </c>
      <c r="S37" s="3271"/>
      <c r="T37" s="3271"/>
      <c r="U37" s="3271"/>
      <c r="V37" s="3271"/>
      <c r="W37" s="327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2663</v>
      </c>
      <c r="B45" s="758"/>
      <c r="C45" s="763"/>
      <c r="D45" s="763"/>
      <c r="E45" s="763"/>
      <c r="F45" s="764"/>
      <c r="G45" s="764"/>
      <c r="H45" s="763"/>
      <c r="I45" s="763"/>
      <c r="J45" s="763"/>
      <c r="K45" s="765"/>
      <c r="L45" s="766"/>
      <c r="M45" s="763"/>
      <c r="N45" s="763"/>
      <c r="O45" s="763"/>
      <c r="P45" s="503"/>
      <c r="Q45" s="504"/>
    </row>
    <row r="46" spans="1:29" s="508" customFormat="1" ht="14.4">
      <c r="A46" s="505" t="s">
        <v>2537</v>
      </c>
      <c r="B46" s="506"/>
      <c r="C46" s="1572" t="str">
        <f>YEAR(C7)&amp;"-"&amp;MONTH(C7)</f>
        <v>2020-1</v>
      </c>
      <c r="D46" s="1573">
        <f>EDATE(C46,-1)</f>
        <v>43800</v>
      </c>
      <c r="E46" s="1573">
        <f t="shared" ref="E46:O46" si="16">EDATE(D46,-1)</f>
        <v>43770</v>
      </c>
      <c r="F46" s="1573">
        <f t="shared" si="16"/>
        <v>43739</v>
      </c>
      <c r="G46" s="1573">
        <f t="shared" si="16"/>
        <v>43709</v>
      </c>
      <c r="H46" s="1573">
        <f t="shared" si="16"/>
        <v>43678</v>
      </c>
      <c r="I46" s="1573">
        <f t="shared" si="16"/>
        <v>43647</v>
      </c>
      <c r="J46" s="1573">
        <f t="shared" si="16"/>
        <v>43617</v>
      </c>
      <c r="K46" s="1573">
        <f t="shared" si="16"/>
        <v>43586</v>
      </c>
      <c r="L46" s="1573">
        <f t="shared" si="16"/>
        <v>43556</v>
      </c>
      <c r="M46" s="1573">
        <f t="shared" si="16"/>
        <v>43525</v>
      </c>
      <c r="N46" s="1573">
        <f t="shared" si="16"/>
        <v>43497</v>
      </c>
      <c r="O46" s="1573">
        <f t="shared" si="16"/>
        <v>43466</v>
      </c>
      <c r="P46" s="507"/>
    </row>
    <row r="47" spans="1:29" s="117" customFormat="1">
      <c r="A47" s="509"/>
      <c r="B47" s="510"/>
      <c r="C47" s="1571">
        <v>100</v>
      </c>
      <c r="D47" s="512"/>
      <c r="E47" s="512"/>
      <c r="F47" s="512"/>
      <c r="G47" s="512"/>
      <c r="H47" s="512"/>
      <c r="I47" s="512"/>
      <c r="J47" s="512"/>
      <c r="K47" s="512"/>
      <c r="L47" s="512"/>
      <c r="M47" s="513"/>
      <c r="N47" s="512"/>
      <c r="O47" s="514"/>
      <c r="P47" s="504"/>
    </row>
    <row r="48" spans="1:29" s="117" customFormat="1" ht="15" thickBot="1">
      <c r="A48" s="515" t="s">
        <v>2574</v>
      </c>
      <c r="B48" s="516"/>
      <c r="C48" s="517"/>
      <c r="D48" s="518"/>
      <c r="E48" s="518"/>
      <c r="F48" s="518"/>
      <c r="G48" s="518"/>
      <c r="H48" s="518"/>
      <c r="I48" s="518"/>
      <c r="J48" s="518"/>
      <c r="K48" s="518"/>
      <c r="L48" s="518"/>
      <c r="M48" s="519"/>
      <c r="N48" s="518"/>
      <c r="O48" s="520"/>
      <c r="P48" s="504"/>
      <c r="Q48" s="504"/>
    </row>
    <row r="49" spans="1:17" s="117" customFormat="1" ht="14.4">
      <c r="A49" s="521" t="s">
        <v>2539</v>
      </c>
      <c r="B49" s="510"/>
      <c r="C49" s="522" t="s">
        <v>2641</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2577</v>
      </c>
      <c r="B51" s="528" t="s">
        <v>2543</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2718</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30">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30" ht="1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30" s="117" customFormat="1" ht="15" thickBot="1">
      <c r="A7" s="408" t="s">
        <v>2537</v>
      </c>
      <c r="B7" s="409"/>
      <c r="C7" s="410">
        <f>'数据-取费表'!B2</f>
        <v>43849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30" s="117" customFormat="1" ht="1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5" si="3">D8/F8</f>
        <v>#DIV/0!</v>
      </c>
      <c r="AB8" s="772" t="e">
        <f t="shared" ref="AB8:AB45" si="4">D8/H8</f>
        <v>#DIV/0!</v>
      </c>
      <c r="AC8" s="772" t="e">
        <f t="shared" ref="AC8:AC45" si="5">D8/J8</f>
        <v>#DIV/0!</v>
      </c>
    </row>
    <row r="9" spans="1:30" s="117" customFormat="1" ht="14.4">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30" s="427" customFormat="1" ht="28.8">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99"/>
      <c r="Q10" s="1793" t="str">
        <f t="shared" si="6"/>
        <v>土地使用年限（年）</v>
      </c>
      <c r="R10" s="769" t="s">
        <v>17</v>
      </c>
      <c r="S10" s="770">
        <f t="shared" si="0"/>
        <v>106</v>
      </c>
      <c r="T10" s="769" t="s">
        <v>17</v>
      </c>
      <c r="U10" s="770">
        <f t="shared" si="1"/>
        <v>106</v>
      </c>
      <c r="V10" s="769" t="s">
        <v>17</v>
      </c>
      <c r="W10" s="770">
        <f t="shared" si="2"/>
        <v>106</v>
      </c>
      <c r="X10" s="771"/>
      <c r="Y10" s="3048"/>
      <c r="Z10" s="55" t="str">
        <f t="shared" si="7"/>
        <v>土地使用年限（年）</v>
      </c>
      <c r="AA10" s="772">
        <f t="shared" si="3"/>
        <v>0.94339622641509435</v>
      </c>
      <c r="AB10" s="772">
        <f t="shared" si="4"/>
        <v>0.94339622641509435</v>
      </c>
      <c r="AC10" s="772">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9"/>
      <c r="Q12" s="1793" t="str">
        <f t="shared" si="6"/>
        <v>配建</v>
      </c>
      <c r="R12" s="769" t="s">
        <v>17</v>
      </c>
      <c r="S12" s="770">
        <f t="shared" si="0"/>
        <v>100</v>
      </c>
      <c r="T12" s="769" t="s">
        <v>17</v>
      </c>
      <c r="U12" s="770">
        <f t="shared" si="1"/>
        <v>100</v>
      </c>
      <c r="V12" s="769" t="s">
        <v>17</v>
      </c>
      <c r="W12" s="770">
        <f t="shared" si="2"/>
        <v>100</v>
      </c>
      <c r="X12" s="771"/>
      <c r="Y12" s="3048"/>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D13/F13</f>
        <v>1</v>
      </c>
      <c r="AB13" s="772">
        <f>D13/H13</f>
        <v>1</v>
      </c>
      <c r="AC13" s="772">
        <f>D13/J13</f>
        <v>1</v>
      </c>
    </row>
    <row r="14" spans="1:30" ht="15.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D14/F14</f>
        <v>1</v>
      </c>
      <c r="AB14" s="772">
        <f>D14/H14</f>
        <v>1</v>
      </c>
      <c r="AC14" s="772">
        <f>D14/J14</f>
        <v>1</v>
      </c>
    </row>
    <row r="15" spans="1:30" ht="1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6" t="s">
        <v>2549</v>
      </c>
      <c r="Q15" s="1808" t="str">
        <f t="shared" si="6"/>
        <v>居住社区成熟度</v>
      </c>
      <c r="R15" s="773" t="s">
        <v>17</v>
      </c>
      <c r="S15" s="774">
        <f t="shared" si="0"/>
        <v>100</v>
      </c>
      <c r="T15" s="773" t="s">
        <v>17</v>
      </c>
      <c r="U15" s="774">
        <f t="shared" si="1"/>
        <v>100</v>
      </c>
      <c r="V15" s="773" t="s">
        <v>17</v>
      </c>
      <c r="W15" s="774">
        <f t="shared" si="2"/>
        <v>100</v>
      </c>
      <c r="X15" s="1811"/>
      <c r="Y15" s="3206"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07"/>
      <c r="Q16" s="1808"/>
      <c r="R16" s="773"/>
      <c r="S16" s="774"/>
      <c r="T16" s="773"/>
      <c r="U16" s="774"/>
      <c r="V16" s="773"/>
      <c r="W16" s="774"/>
      <c r="X16" s="1811"/>
      <c r="Y16" s="3207"/>
      <c r="Z16" s="1812"/>
      <c r="AA16" s="1809">
        <v>1</v>
      </c>
      <c r="AB16" s="1809">
        <v>1</v>
      </c>
      <c r="AC16" s="1809">
        <v>1</v>
      </c>
    </row>
    <row r="17" spans="1:29" ht="1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7"/>
      <c r="Q17" s="1808" t="str">
        <f>B17</f>
        <v>商业繁华度</v>
      </c>
      <c r="R17" s="773" t="s">
        <v>17</v>
      </c>
      <c r="S17" s="774">
        <f>F17</f>
        <v>100</v>
      </c>
      <c r="T17" s="773" t="s">
        <v>17</v>
      </c>
      <c r="U17" s="774">
        <f>H17</f>
        <v>100</v>
      </c>
      <c r="V17" s="773" t="s">
        <v>17</v>
      </c>
      <c r="W17" s="774">
        <f>J17</f>
        <v>100</v>
      </c>
      <c r="X17" s="1811"/>
      <c r="Y17" s="3207"/>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07"/>
      <c r="Q18" s="1808"/>
      <c r="R18" s="773"/>
      <c r="S18" s="774"/>
      <c r="T18" s="773"/>
      <c r="U18" s="774"/>
      <c r="V18" s="773"/>
      <c r="W18" s="774"/>
      <c r="X18" s="1811"/>
      <c r="Y18" s="3207"/>
      <c r="Z18" s="1812"/>
      <c r="AA18" s="1809">
        <v>1</v>
      </c>
      <c r="AB18" s="1809">
        <v>1</v>
      </c>
      <c r="AC18" s="1809">
        <v>1</v>
      </c>
    </row>
    <row r="19" spans="1:29" ht="151.80000000000001">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7"/>
      <c r="Q19" s="1808" t="str">
        <f>B19</f>
        <v>办公集聚程度</v>
      </c>
      <c r="R19" s="773" t="s">
        <v>17</v>
      </c>
      <c r="S19" s="774">
        <f>F19</f>
        <v>100</v>
      </c>
      <c r="T19" s="773" t="s">
        <v>17</v>
      </c>
      <c r="U19" s="774">
        <f>H19</f>
        <v>100</v>
      </c>
      <c r="V19" s="773" t="s">
        <v>17</v>
      </c>
      <c r="W19" s="774">
        <f>J19</f>
        <v>100</v>
      </c>
      <c r="X19" s="1811"/>
      <c r="Y19" s="3207"/>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07"/>
      <c r="Q20" s="1808"/>
      <c r="R20" s="773"/>
      <c r="S20" s="774"/>
      <c r="T20" s="773"/>
      <c r="U20" s="774"/>
      <c r="V20" s="773"/>
      <c r="W20" s="774"/>
      <c r="X20" s="1811"/>
      <c r="Y20" s="3207"/>
      <c r="Z20" s="1812"/>
      <c r="AA20" s="1809">
        <v>1</v>
      </c>
      <c r="AB20" s="1809">
        <v>1</v>
      </c>
      <c r="AC20" s="1809">
        <v>1</v>
      </c>
    </row>
    <row r="21" spans="1:29" ht="289.8">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7"/>
      <c r="Q21" s="1808" t="str">
        <f>B21</f>
        <v>交通便捷度</v>
      </c>
      <c r="R21" s="773" t="s">
        <v>17</v>
      </c>
      <c r="S21" s="774">
        <f>F21</f>
        <v>100</v>
      </c>
      <c r="T21" s="773" t="s">
        <v>17</v>
      </c>
      <c r="U21" s="774">
        <f>H21</f>
        <v>100</v>
      </c>
      <c r="V21" s="773" t="s">
        <v>17</v>
      </c>
      <c r="W21" s="774">
        <f>J21</f>
        <v>100</v>
      </c>
      <c r="X21" s="1811"/>
      <c r="Y21" s="3207"/>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39"/>
      <c r="M22" s="1130"/>
      <c r="N22" s="1130"/>
      <c r="O22" s="1138"/>
      <c r="P22" s="3207"/>
      <c r="Q22" s="1808"/>
      <c r="R22" s="773"/>
      <c r="S22" s="774"/>
      <c r="T22" s="773"/>
      <c r="U22" s="774"/>
      <c r="V22" s="773"/>
      <c r="W22" s="774"/>
      <c r="X22" s="1811"/>
      <c r="Y22" s="3207"/>
      <c r="Z22" s="1812"/>
      <c r="AA22" s="1809">
        <v>1</v>
      </c>
      <c r="AB22" s="1809">
        <v>1</v>
      </c>
      <c r="AC22" s="1809">
        <v>1</v>
      </c>
    </row>
    <row r="23" spans="1:29" ht="28.8">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7"/>
      <c r="Q23" s="1808" t="str">
        <f t="shared" ref="Q23:Q37" si="8">B23</f>
        <v>区域土地利用方向</v>
      </c>
      <c r="R23" s="773" t="s">
        <v>17</v>
      </c>
      <c r="S23" s="774">
        <f>F23</f>
        <v>100</v>
      </c>
      <c r="T23" s="773" t="s">
        <v>17</v>
      </c>
      <c r="U23" s="774">
        <f>H23</f>
        <v>100</v>
      </c>
      <c r="V23" s="773" t="s">
        <v>17</v>
      </c>
      <c r="W23" s="774">
        <f>J23</f>
        <v>100</v>
      </c>
      <c r="X23" s="1811"/>
      <c r="Y23" s="3207"/>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07"/>
      <c r="Q24" s="1808"/>
      <c r="R24" s="773"/>
      <c r="S24" s="774"/>
      <c r="T24" s="773"/>
      <c r="U24" s="774"/>
      <c r="V24" s="773"/>
      <c r="W24" s="774"/>
      <c r="X24" s="1811"/>
      <c r="Y24" s="3207"/>
      <c r="Z24" s="1812"/>
      <c r="AA24" s="1809"/>
      <c r="AB24" s="1809"/>
      <c r="AC24" s="1809"/>
    </row>
    <row r="25" spans="1:29" ht="234.6">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7"/>
      <c r="Q25" s="1808" t="str">
        <f t="shared" si="8"/>
        <v>自然及人文环境状况</v>
      </c>
      <c r="R25" s="773" t="s">
        <v>17</v>
      </c>
      <c r="S25" s="774">
        <f>F25</f>
        <v>100</v>
      </c>
      <c r="T25" s="773" t="s">
        <v>17</v>
      </c>
      <c r="U25" s="774">
        <f>H25</f>
        <v>100</v>
      </c>
      <c r="V25" s="773" t="s">
        <v>17</v>
      </c>
      <c r="W25" s="774">
        <f>J25</f>
        <v>100</v>
      </c>
      <c r="X25" s="1811"/>
      <c r="Y25" s="3207"/>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07"/>
      <c r="Q26" s="1808"/>
      <c r="R26" s="773"/>
      <c r="S26" s="774"/>
      <c r="T26" s="773"/>
      <c r="U26" s="774"/>
      <c r="V26" s="773"/>
      <c r="W26" s="774"/>
      <c r="X26" s="1811"/>
      <c r="Y26" s="3207"/>
      <c r="Z26" s="1812"/>
      <c r="AA26" s="1809">
        <v>1</v>
      </c>
      <c r="AB26" s="1809">
        <v>1</v>
      </c>
      <c r="AC26" s="1809">
        <v>1</v>
      </c>
    </row>
    <row r="27" spans="1:29" s="117" customFormat="1" ht="276">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7"/>
      <c r="Q27" s="1793" t="str">
        <f t="shared" si="8"/>
        <v>公共配套设施</v>
      </c>
      <c r="R27" s="769" t="s">
        <v>17</v>
      </c>
      <c r="S27" s="770">
        <f>F27</f>
        <v>100</v>
      </c>
      <c r="T27" s="769" t="s">
        <v>17</v>
      </c>
      <c r="U27" s="770">
        <f>H27</f>
        <v>100</v>
      </c>
      <c r="V27" s="769" t="s">
        <v>17</v>
      </c>
      <c r="W27" s="770">
        <f>J27</f>
        <v>100</v>
      </c>
      <c r="X27" s="771"/>
      <c r="Y27" s="3207"/>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07"/>
      <c r="Q28" s="1793"/>
      <c r="R28" s="769"/>
      <c r="S28" s="770"/>
      <c r="T28" s="769"/>
      <c r="U28" s="770"/>
      <c r="V28" s="769"/>
      <c r="W28" s="770"/>
      <c r="X28" s="771"/>
      <c r="Y28" s="3207"/>
      <c r="Z28" s="55"/>
      <c r="AA28" s="1809">
        <v>1</v>
      </c>
      <c r="AB28" s="1809">
        <v>1</v>
      </c>
      <c r="AC28" s="1809">
        <v>1</v>
      </c>
    </row>
    <row r="29" spans="1:29" s="117" customFormat="1" ht="27.6">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7"/>
      <c r="Q29" s="1793" t="str">
        <f t="shared" ref="Q29" si="9">B29</f>
        <v>基础设施水平</v>
      </c>
      <c r="R29" s="769" t="s">
        <v>17</v>
      </c>
      <c r="S29" s="770">
        <f>F29</f>
        <v>100</v>
      </c>
      <c r="T29" s="769" t="s">
        <v>17</v>
      </c>
      <c r="U29" s="770">
        <f>H29</f>
        <v>100</v>
      </c>
      <c r="V29" s="769" t="s">
        <v>17</v>
      </c>
      <c r="W29" s="770">
        <f>J29</f>
        <v>100</v>
      </c>
      <c r="X29" s="771"/>
      <c r="Y29" s="3207"/>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07"/>
      <c r="Q30" s="1793"/>
      <c r="R30" s="769"/>
      <c r="S30" s="770"/>
      <c r="T30" s="769"/>
      <c r="U30" s="770"/>
      <c r="V30" s="769"/>
      <c r="W30" s="770"/>
      <c r="X30" s="771"/>
      <c r="Y30" s="3207"/>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7"/>
      <c r="Z31" s="1812" t="str">
        <f t="shared" ref="Z31:Z45" si="13">Q31</f>
        <v>临街状况</v>
      </c>
      <c r="AA31" s="1809">
        <f t="shared" si="3"/>
        <v>1</v>
      </c>
      <c r="AB31" s="1809">
        <f t="shared" si="4"/>
        <v>1</v>
      </c>
      <c r="AC31" s="1809">
        <f t="shared" si="5"/>
        <v>1</v>
      </c>
    </row>
    <row r="32" spans="1:29" ht="28.8">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7"/>
      <c r="Q32" s="1808" t="str">
        <f t="shared" si="8"/>
        <v>毗邻道路的类型与等级</v>
      </c>
      <c r="R32" s="773" t="s">
        <v>17</v>
      </c>
      <c r="S32" s="774">
        <f t="shared" si="10"/>
        <v>100</v>
      </c>
      <c r="T32" s="773" t="s">
        <v>17</v>
      </c>
      <c r="U32" s="774">
        <f t="shared" si="11"/>
        <v>100</v>
      </c>
      <c r="V32" s="773" t="s">
        <v>17</v>
      </c>
      <c r="W32" s="774">
        <f t="shared" si="12"/>
        <v>100</v>
      </c>
      <c r="X32" s="1811"/>
      <c r="Y32" s="3207"/>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07"/>
      <c r="Q33" s="1808"/>
      <c r="R33" s="773"/>
      <c r="S33" s="774"/>
      <c r="T33" s="773"/>
      <c r="U33" s="774"/>
      <c r="V33" s="773"/>
      <c r="W33" s="774"/>
      <c r="X33" s="1811"/>
      <c r="Y33" s="3207"/>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7"/>
      <c r="Q34" s="1808" t="str">
        <f t="shared" si="8"/>
        <v>土地级别</v>
      </c>
      <c r="R34" s="773" t="s">
        <v>17</v>
      </c>
      <c r="S34" s="774">
        <f t="shared" si="10"/>
        <v>100</v>
      </c>
      <c r="T34" s="773" t="s">
        <v>17</v>
      </c>
      <c r="U34" s="774">
        <f t="shared" si="11"/>
        <v>100</v>
      </c>
      <c r="V34" s="773" t="s">
        <v>17</v>
      </c>
      <c r="W34" s="774">
        <f t="shared" si="12"/>
        <v>100</v>
      </c>
      <c r="X34" s="1811"/>
      <c r="Y34" s="320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7"/>
      <c r="Q35" s="1808">
        <f t="shared" si="8"/>
        <v>111</v>
      </c>
      <c r="R35" s="773" t="s">
        <v>17</v>
      </c>
      <c r="S35" s="774">
        <f t="shared" si="10"/>
        <v>100</v>
      </c>
      <c r="T35" s="773" t="s">
        <v>17</v>
      </c>
      <c r="U35" s="774">
        <f t="shared" si="11"/>
        <v>100</v>
      </c>
      <c r="V35" s="773" t="s">
        <v>17</v>
      </c>
      <c r="W35" s="774">
        <f t="shared" si="12"/>
        <v>100</v>
      </c>
      <c r="X35" s="1811"/>
      <c r="Y35" s="320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11" t="s">
        <v>2554</v>
      </c>
      <c r="Z36" s="1812">
        <f t="shared" si="13"/>
        <v>111</v>
      </c>
      <c r="AA36" s="1809">
        <f t="shared" si="3"/>
        <v>1</v>
      </c>
      <c r="AB36" s="1809">
        <f t="shared" si="4"/>
        <v>1</v>
      </c>
      <c r="AC36" s="1809">
        <f t="shared" si="5"/>
        <v>1</v>
      </c>
    </row>
    <row r="37" spans="1:29" s="471" customFormat="1" ht="15.6"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1"/>
      <c r="Q37" s="1808">
        <f t="shared" si="8"/>
        <v>111</v>
      </c>
      <c r="R37" s="776" t="s">
        <v>17</v>
      </c>
      <c r="S37" s="777">
        <f t="shared" si="10"/>
        <v>100</v>
      </c>
      <c r="T37" s="776" t="s">
        <v>17</v>
      </c>
      <c r="U37" s="777">
        <f t="shared" si="11"/>
        <v>100</v>
      </c>
      <c r="V37" s="776" t="s">
        <v>17</v>
      </c>
      <c r="W37" s="777">
        <f t="shared" si="12"/>
        <v>100</v>
      </c>
      <c r="X37" s="778"/>
      <c r="Y37" s="3211"/>
      <c r="Z37" s="779">
        <f t="shared" si="13"/>
        <v>111</v>
      </c>
      <c r="AA37" s="1809">
        <f t="shared" si="3"/>
        <v>1</v>
      </c>
      <c r="AB37" s="1809">
        <f t="shared" si="4"/>
        <v>1</v>
      </c>
      <c r="AC37" s="1809">
        <f t="shared" si="5"/>
        <v>1</v>
      </c>
    </row>
    <row r="38" spans="1:29" ht="15.6">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1"/>
      <c r="Q38" s="1808" t="str">
        <f>B38</f>
        <v>宗地面积</v>
      </c>
      <c r="R38" s="773" t="s">
        <v>17</v>
      </c>
      <c r="S38" s="774" t="e">
        <f t="shared" si="10"/>
        <v>#N/A</v>
      </c>
      <c r="T38" s="773" t="s">
        <v>17</v>
      </c>
      <c r="U38" s="774" t="e">
        <f t="shared" si="11"/>
        <v>#N/A</v>
      </c>
      <c r="V38" s="773" t="s">
        <v>17</v>
      </c>
      <c r="W38" s="774" t="e">
        <f t="shared" si="12"/>
        <v>#N/A</v>
      </c>
      <c r="X38" s="1811"/>
      <c r="Y38" s="3211"/>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11"/>
      <c r="Q39" s="1808" t="str">
        <f t="shared" ref="Q39:Q45" si="14">B39</f>
        <v>宗地形状</v>
      </c>
      <c r="R39" s="773" t="s">
        <v>17</v>
      </c>
      <c r="S39" s="774">
        <f t="shared" si="10"/>
        <v>100</v>
      </c>
      <c r="T39" s="773" t="s">
        <v>17</v>
      </c>
      <c r="U39" s="774">
        <f t="shared" si="11"/>
        <v>100</v>
      </c>
      <c r="V39" s="773" t="s">
        <v>17</v>
      </c>
      <c r="W39" s="774">
        <f t="shared" si="12"/>
        <v>100</v>
      </c>
      <c r="X39" s="1811"/>
      <c r="Y39" s="3211"/>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11"/>
      <c r="Q40" s="1808" t="str">
        <f t="shared" si="14"/>
        <v>临街宽度及深度</v>
      </c>
      <c r="R40" s="773" t="s">
        <v>17</v>
      </c>
      <c r="S40" s="774">
        <f t="shared" si="10"/>
        <v>100</v>
      </c>
      <c r="T40" s="773" t="s">
        <v>17</v>
      </c>
      <c r="U40" s="774">
        <f t="shared" si="11"/>
        <v>100</v>
      </c>
      <c r="V40" s="773" t="s">
        <v>17</v>
      </c>
      <c r="W40" s="774">
        <f t="shared" si="12"/>
        <v>100</v>
      </c>
      <c r="X40" s="1811"/>
      <c r="Y40" s="3211"/>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11"/>
      <c r="Q41" s="1808"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11" t="s">
        <v>2554</v>
      </c>
      <c r="Q42" s="1808" t="str">
        <f t="shared" si="14"/>
        <v>工程地质条件</v>
      </c>
      <c r="R42" s="773" t="s">
        <v>17</v>
      </c>
      <c r="S42" s="774">
        <f t="shared" si="10"/>
        <v>100</v>
      </c>
      <c r="T42" s="773" t="s">
        <v>17</v>
      </c>
      <c r="U42" s="774">
        <f t="shared" si="11"/>
        <v>100</v>
      </c>
      <c r="V42" s="773" t="s">
        <v>17</v>
      </c>
      <c r="W42" s="774">
        <f t="shared" si="12"/>
        <v>100</v>
      </c>
      <c r="X42" s="1811"/>
      <c r="Y42" s="3211" t="s">
        <v>2554</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1"/>
      <c r="Q43" s="1808">
        <f t="shared" si="14"/>
        <v>111</v>
      </c>
      <c r="R43" s="773" t="s">
        <v>17</v>
      </c>
      <c r="S43" s="774">
        <f t="shared" si="10"/>
        <v>100</v>
      </c>
      <c r="T43" s="773" t="s">
        <v>17</v>
      </c>
      <c r="U43" s="774">
        <f t="shared" si="11"/>
        <v>100</v>
      </c>
      <c r="V43" s="773" t="s">
        <v>17</v>
      </c>
      <c r="W43" s="774">
        <f t="shared" si="12"/>
        <v>100</v>
      </c>
      <c r="X43" s="1811"/>
      <c r="Y43" s="321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1"/>
      <c r="Q44" s="1808">
        <f t="shared" si="14"/>
        <v>111</v>
      </c>
      <c r="R44" s="773" t="s">
        <v>17</v>
      </c>
      <c r="S44" s="774">
        <f t="shared" si="10"/>
        <v>100</v>
      </c>
      <c r="T44" s="773" t="s">
        <v>17</v>
      </c>
      <c r="U44" s="774">
        <f t="shared" si="11"/>
        <v>100</v>
      </c>
      <c r="V44" s="773" t="s">
        <v>17</v>
      </c>
      <c r="W44" s="774">
        <f t="shared" si="12"/>
        <v>100</v>
      </c>
      <c r="X44" s="1811"/>
      <c r="Y44" s="3211"/>
      <c r="Z44" s="1812">
        <f t="shared" si="13"/>
        <v>111</v>
      </c>
      <c r="AA44" s="1809">
        <f t="shared" si="3"/>
        <v>1</v>
      </c>
      <c r="AB44" s="1809">
        <f t="shared" si="4"/>
        <v>1</v>
      </c>
      <c r="AC44" s="1809">
        <f t="shared" si="5"/>
        <v>1</v>
      </c>
    </row>
    <row r="45" spans="1:29" s="471" customFormat="1" ht="15.6"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1"/>
      <c r="Q45" s="1808">
        <f t="shared" si="14"/>
        <v>111</v>
      </c>
      <c r="R45" s="776" t="s">
        <v>17</v>
      </c>
      <c r="S45" s="777">
        <f t="shared" si="10"/>
        <v>100</v>
      </c>
      <c r="T45" s="776" t="s">
        <v>17</v>
      </c>
      <c r="U45" s="777">
        <f t="shared" si="11"/>
        <v>100</v>
      </c>
      <c r="V45" s="776" t="s">
        <v>17</v>
      </c>
      <c r="W45" s="777">
        <f t="shared" si="12"/>
        <v>100</v>
      </c>
      <c r="X45" s="778"/>
      <c r="Y45" s="3211"/>
      <c r="Z45" s="779">
        <f t="shared" si="13"/>
        <v>111</v>
      </c>
      <c r="AA45" s="1809">
        <f t="shared" si="3"/>
        <v>1</v>
      </c>
      <c r="AB45" s="1809">
        <f t="shared" si="4"/>
        <v>1</v>
      </c>
      <c r="AC45" s="1809">
        <f t="shared" si="5"/>
        <v>1</v>
      </c>
    </row>
    <row r="46" spans="1:29" ht="14.4">
      <c r="A46" s="479" t="s">
        <v>2709</v>
      </c>
      <c r="B46" s="2699" t="s">
        <v>2745</v>
      </c>
      <c r="C46" s="682" t="s">
        <v>1</v>
      </c>
      <c r="D46" s="481"/>
      <c r="E46" s="482"/>
      <c r="F46" s="483"/>
      <c r="G46" s="484"/>
      <c r="H46" s="485"/>
      <c r="I46" s="482"/>
      <c r="J46" s="485"/>
      <c r="K46" s="782"/>
      <c r="L46" s="1142"/>
      <c r="M46" s="1143"/>
      <c r="N46" s="1130"/>
      <c r="O46" s="1143"/>
      <c r="P46" s="3199" t="str">
        <f>A46</f>
        <v>成交单价</v>
      </c>
      <c r="Q46" s="3199"/>
      <c r="R46" s="3233">
        <f>E46</f>
        <v>0</v>
      </c>
      <c r="S46" s="3233"/>
      <c r="T46" s="3233">
        <f>G46</f>
        <v>0</v>
      </c>
      <c r="U46" s="3233"/>
      <c r="V46" s="3233">
        <f>I46</f>
        <v>0</v>
      </c>
      <c r="W46" s="3233"/>
      <c r="X46" s="758"/>
      <c r="Y46" s="780"/>
      <c r="Z46" s="758"/>
      <c r="AA46" s="758"/>
      <c r="AB46" s="758"/>
      <c r="AC46" s="758"/>
    </row>
    <row r="47" spans="1:29" ht="1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199" t="str">
        <f>A47</f>
        <v>比较价值（元/平方米）</v>
      </c>
      <c r="Q47" s="3199"/>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5" thickBot="1">
      <c r="A48" s="492" t="s">
        <v>2746</v>
      </c>
      <c r="B48" s="493"/>
      <c r="C48" s="494" t="e">
        <f>R48</f>
        <v>#DIV/0!</v>
      </c>
      <c r="D48" s="494"/>
      <c r="E48" s="494"/>
      <c r="F48" s="494"/>
      <c r="G48" s="494"/>
      <c r="H48" s="494"/>
      <c r="I48" s="494"/>
      <c r="J48" s="494"/>
      <c r="K48" s="784"/>
      <c r="L48" s="1142"/>
      <c r="M48" s="1143"/>
      <c r="N48" s="1143"/>
      <c r="O48" s="1143"/>
      <c r="P48" s="3269" t="str">
        <f>A48</f>
        <v>估价对象XX用房的比较价值（楼面单价，元/平方米）</v>
      </c>
      <c r="Q48" s="3270"/>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16"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198"/>
      <c r="H56" s="3199"/>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4.4"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2.2" thickBot="1">
      <c r="A69" s="762" t="s">
        <v>2663</v>
      </c>
      <c r="B69" s="758"/>
      <c r="C69" s="763"/>
      <c r="D69" s="763"/>
      <c r="E69" s="763"/>
      <c r="F69" s="764"/>
      <c r="G69" s="764"/>
      <c r="H69" s="763"/>
      <c r="I69" s="763"/>
      <c r="J69" s="1158"/>
      <c r="K69" s="1159"/>
      <c r="L69" s="1160"/>
      <c r="M69" s="1158"/>
      <c r="N69" s="1158"/>
      <c r="O69" s="1158"/>
      <c r="P69" s="503"/>
      <c r="Q69" s="504"/>
    </row>
    <row r="70" spans="1:17" s="508" customFormat="1" ht="14.4">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 thickBot="1">
      <c r="A72" s="515" t="s">
        <v>2574</v>
      </c>
      <c r="B72" s="516"/>
      <c r="C72" s="517"/>
      <c r="D72" s="518"/>
      <c r="E72" s="518"/>
      <c r="F72" s="518"/>
      <c r="G72" s="518"/>
      <c r="H72" s="518"/>
      <c r="I72" s="518"/>
      <c r="J72" s="518"/>
      <c r="K72" s="518"/>
      <c r="L72" s="518"/>
      <c r="M72" s="519"/>
      <c r="N72" s="518"/>
      <c r="O72" s="1161"/>
      <c r="P72" s="504"/>
      <c r="Q72" s="504"/>
    </row>
    <row r="73" spans="1:17" s="117" customFormat="1" ht="14.4">
      <c r="A73" s="521" t="s">
        <v>2539</v>
      </c>
      <c r="B73" s="510"/>
      <c r="C73" s="522" t="s">
        <v>2641</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2577</v>
      </c>
      <c r="B75" s="528" t="s">
        <v>2543</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2546</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2680</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2739</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 thickBot="1">
      <c r="A6" s="406"/>
      <c r="B6" s="407"/>
      <c r="C6" s="3289" t="s">
        <v>2786</v>
      </c>
      <c r="D6" s="3290"/>
      <c r="E6" s="3291" t="s">
        <v>2786</v>
      </c>
      <c r="F6" s="3292"/>
      <c r="G6" s="3289" t="s">
        <v>2786</v>
      </c>
      <c r="H6" s="3290"/>
      <c r="I6" s="3289" t="s">
        <v>2786</v>
      </c>
      <c r="J6" s="3290"/>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 thickBot="1">
      <c r="A7" s="408" t="s">
        <v>2537</v>
      </c>
      <c r="B7" s="409"/>
      <c r="C7" s="410">
        <f>'数据-取费表'!B2</f>
        <v>43849</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0" si="3">D8/F8</f>
        <v>#DIV/0!</v>
      </c>
      <c r="AB8" s="772" t="e">
        <f t="shared" ref="AB8:AB40" si="4">D8/H8</f>
        <v>#DIV/0!</v>
      </c>
      <c r="AC8" s="772" t="e">
        <f t="shared" ref="AC8:AC40" si="5">D8/J8</f>
        <v>#DIV/0!</v>
      </c>
    </row>
    <row r="9" spans="1:29" s="117" customFormat="1" ht="14.4">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8.8">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99"/>
      <c r="Q10" s="1793" t="str">
        <f t="shared" si="6"/>
        <v>土地使用年限（年）</v>
      </c>
      <c r="R10" s="769" t="s">
        <v>17</v>
      </c>
      <c r="S10" s="770">
        <f t="shared" si="0"/>
        <v>106</v>
      </c>
      <c r="T10" s="769" t="s">
        <v>17</v>
      </c>
      <c r="U10" s="770">
        <f t="shared" si="1"/>
        <v>106</v>
      </c>
      <c r="V10" s="769" t="s">
        <v>17</v>
      </c>
      <c r="W10" s="770">
        <f t="shared" si="2"/>
        <v>106</v>
      </c>
      <c r="X10" s="771"/>
      <c r="Y10" s="3048"/>
      <c r="Z10" s="55" t="str">
        <f t="shared" si="7"/>
        <v>土地使用年限（年）</v>
      </c>
      <c r="AA10" s="772">
        <f t="shared" si="3"/>
        <v>0.94339622641509435</v>
      </c>
      <c r="AB10" s="772">
        <f t="shared" si="4"/>
        <v>0.94339622641509435</v>
      </c>
      <c r="AC10" s="772">
        <f t="shared" si="5"/>
        <v>0.94339622641509435</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69">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6" t="s">
        <v>2549</v>
      </c>
      <c r="Q15" s="1808" t="str">
        <f t="shared" si="6"/>
        <v>产业集聚程度</v>
      </c>
      <c r="R15" s="773" t="s">
        <v>17</v>
      </c>
      <c r="S15" s="774">
        <f t="shared" si="0"/>
        <v>100</v>
      </c>
      <c r="T15" s="773" t="s">
        <v>17</v>
      </c>
      <c r="U15" s="774">
        <f t="shared" si="1"/>
        <v>100</v>
      </c>
      <c r="V15" s="773" t="s">
        <v>17</v>
      </c>
      <c r="W15" s="774">
        <f t="shared" si="2"/>
        <v>100</v>
      </c>
      <c r="X15" s="1811"/>
      <c r="Y15" s="3206"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07"/>
      <c r="Q16" s="1808"/>
      <c r="R16" s="773"/>
      <c r="S16" s="774"/>
      <c r="T16" s="773"/>
      <c r="U16" s="774"/>
      <c r="V16" s="773"/>
      <c r="W16" s="774"/>
      <c r="X16" s="1811"/>
      <c r="Y16" s="3207"/>
      <c r="Z16" s="1812"/>
      <c r="AA16" s="1809">
        <v>1</v>
      </c>
      <c r="AB16" s="1809">
        <v>1</v>
      </c>
      <c r="AC16" s="1809">
        <v>1</v>
      </c>
    </row>
    <row r="17" spans="1:29" ht="96.6">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7"/>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07"/>
      <c r="Q18" s="1808"/>
      <c r="R18" s="773"/>
      <c r="S18" s="774"/>
      <c r="T18" s="773"/>
      <c r="U18" s="774"/>
      <c r="V18" s="773"/>
      <c r="W18" s="774"/>
      <c r="X18" s="1811"/>
      <c r="Y18" s="3207"/>
      <c r="Z18" s="1812"/>
      <c r="AA18" s="1809">
        <v>1</v>
      </c>
      <c r="AB18" s="1809">
        <v>1</v>
      </c>
      <c r="AC18" s="1809">
        <v>1</v>
      </c>
    </row>
    <row r="19" spans="1:29" ht="28.8">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7"/>
      <c r="Q19" s="1808" t="str">
        <f t="shared" ref="Q19:Q33" si="8">B19</f>
        <v>区域土地利用方向</v>
      </c>
      <c r="R19" s="773" t="s">
        <v>17</v>
      </c>
      <c r="S19" s="774">
        <f>F19</f>
        <v>100</v>
      </c>
      <c r="T19" s="773" t="s">
        <v>17</v>
      </c>
      <c r="U19" s="774">
        <f>H19</f>
        <v>100</v>
      </c>
      <c r="V19" s="773" t="s">
        <v>17</v>
      </c>
      <c r="W19" s="774">
        <f>J19</f>
        <v>100</v>
      </c>
      <c r="X19" s="1811"/>
      <c r="Y19" s="320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07"/>
      <c r="Q20" s="1808"/>
      <c r="R20" s="773"/>
      <c r="S20" s="774"/>
      <c r="T20" s="773"/>
      <c r="U20" s="774"/>
      <c r="V20" s="773"/>
      <c r="W20" s="774"/>
      <c r="X20" s="1811"/>
      <c r="Y20" s="3207"/>
      <c r="Z20" s="1812"/>
      <c r="AA20" s="1809"/>
      <c r="AB20" s="1809"/>
      <c r="AC20" s="1809"/>
    </row>
    <row r="21" spans="1:29" ht="82.8">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7"/>
      <c r="Q21" s="1808" t="str">
        <f t="shared" si="8"/>
        <v>环境状况</v>
      </c>
      <c r="R21" s="773" t="s">
        <v>17</v>
      </c>
      <c r="S21" s="774">
        <f>F21</f>
        <v>100</v>
      </c>
      <c r="T21" s="773" t="s">
        <v>17</v>
      </c>
      <c r="U21" s="774">
        <f>H21</f>
        <v>100</v>
      </c>
      <c r="V21" s="773" t="s">
        <v>17</v>
      </c>
      <c r="W21" s="774">
        <f>J21</f>
        <v>100</v>
      </c>
      <c r="X21" s="1811"/>
      <c r="Y21" s="320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07"/>
      <c r="Q22" s="1808"/>
      <c r="R22" s="773"/>
      <c r="S22" s="774"/>
      <c r="T22" s="773"/>
      <c r="U22" s="774"/>
      <c r="V22" s="773"/>
      <c r="W22" s="774"/>
      <c r="X22" s="1811"/>
      <c r="Y22" s="3207"/>
      <c r="Z22" s="1812"/>
      <c r="AA22" s="1809">
        <v>1</v>
      </c>
      <c r="AB22" s="1809">
        <v>1</v>
      </c>
      <c r="AC22" s="1809">
        <v>1</v>
      </c>
    </row>
    <row r="23" spans="1:29" s="117" customFormat="1" ht="41.4">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7"/>
      <c r="Q23" s="1793" t="str">
        <f t="shared" si="8"/>
        <v>公共配套设施</v>
      </c>
      <c r="R23" s="769" t="s">
        <v>17</v>
      </c>
      <c r="S23" s="770">
        <f>F23</f>
        <v>100</v>
      </c>
      <c r="T23" s="769" t="s">
        <v>17</v>
      </c>
      <c r="U23" s="770">
        <f>H23</f>
        <v>100</v>
      </c>
      <c r="V23" s="769" t="s">
        <v>17</v>
      </c>
      <c r="W23" s="770">
        <f>J23</f>
        <v>100</v>
      </c>
      <c r="X23" s="771"/>
      <c r="Y23" s="320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07"/>
      <c r="Q24" s="1793"/>
      <c r="R24" s="769"/>
      <c r="S24" s="770"/>
      <c r="T24" s="769"/>
      <c r="U24" s="770"/>
      <c r="V24" s="769"/>
      <c r="W24" s="770"/>
      <c r="X24" s="771"/>
      <c r="Y24" s="3207"/>
      <c r="Z24" s="55"/>
      <c r="AA24" s="772">
        <v>1</v>
      </c>
      <c r="AB24" s="772">
        <v>1</v>
      </c>
      <c r="AC24" s="772">
        <v>1</v>
      </c>
    </row>
    <row r="25" spans="1:29" s="117" customFormat="1" ht="41.4">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7"/>
      <c r="Q25" s="1793" t="str">
        <f t="shared" ref="Q25" si="9">B25</f>
        <v>基础设施水平</v>
      </c>
      <c r="R25" s="769" t="s">
        <v>17</v>
      </c>
      <c r="S25" s="770">
        <f>F25</f>
        <v>100</v>
      </c>
      <c r="T25" s="769" t="s">
        <v>17</v>
      </c>
      <c r="U25" s="770">
        <f>H25</f>
        <v>100</v>
      </c>
      <c r="V25" s="769" t="s">
        <v>17</v>
      </c>
      <c r="W25" s="770">
        <f>J25</f>
        <v>100</v>
      </c>
      <c r="X25" s="771"/>
      <c r="Y25" s="320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07"/>
      <c r="Q26" s="1793"/>
      <c r="R26" s="769"/>
      <c r="S26" s="770"/>
      <c r="T26" s="769"/>
      <c r="U26" s="770"/>
      <c r="V26" s="769"/>
      <c r="W26" s="770"/>
      <c r="X26" s="771"/>
      <c r="Y26" s="3207"/>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7"/>
      <c r="Z27" s="1812" t="str">
        <f t="shared" ref="Z27:Z40" si="13">Q27</f>
        <v>临街状况</v>
      </c>
      <c r="AA27" s="1809">
        <f t="shared" si="3"/>
        <v>1</v>
      </c>
      <c r="AB27" s="1809">
        <f t="shared" si="4"/>
        <v>1</v>
      </c>
      <c r="AC27" s="1809">
        <f t="shared" si="5"/>
        <v>1</v>
      </c>
    </row>
    <row r="28" spans="1:29" ht="28.8">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7"/>
      <c r="Q28" s="1808" t="str">
        <f t="shared" si="8"/>
        <v>毗邻道路的类型与等级</v>
      </c>
      <c r="R28" s="773" t="s">
        <v>17</v>
      </c>
      <c r="S28" s="774">
        <f t="shared" si="10"/>
        <v>100</v>
      </c>
      <c r="T28" s="773" t="s">
        <v>17</v>
      </c>
      <c r="U28" s="774">
        <f t="shared" si="11"/>
        <v>100</v>
      </c>
      <c r="V28" s="773" t="s">
        <v>17</v>
      </c>
      <c r="W28" s="774">
        <f t="shared" si="12"/>
        <v>100</v>
      </c>
      <c r="X28" s="1811"/>
      <c r="Y28" s="320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07"/>
      <c r="Q29" s="1808"/>
      <c r="R29" s="773"/>
      <c r="S29" s="774"/>
      <c r="T29" s="773"/>
      <c r="U29" s="774"/>
      <c r="V29" s="773"/>
      <c r="W29" s="774"/>
      <c r="X29" s="1811"/>
      <c r="Y29" s="3207"/>
      <c r="Z29" s="1812"/>
      <c r="AA29" s="1809">
        <v>1</v>
      </c>
      <c r="AB29" s="1809">
        <v>1</v>
      </c>
      <c r="AC29" s="1809">
        <v>1</v>
      </c>
    </row>
    <row r="30" spans="1:29" ht="1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7"/>
      <c r="Q30" s="1808" t="str">
        <f t="shared" si="8"/>
        <v>土地级别</v>
      </c>
      <c r="R30" s="773" t="s">
        <v>17</v>
      </c>
      <c r="S30" s="774">
        <f t="shared" si="10"/>
        <v>100</v>
      </c>
      <c r="T30" s="773" t="s">
        <v>17</v>
      </c>
      <c r="U30" s="774">
        <f t="shared" si="11"/>
        <v>100</v>
      </c>
      <c r="V30" s="773" t="s">
        <v>17</v>
      </c>
      <c r="W30" s="774">
        <f t="shared" si="12"/>
        <v>100</v>
      </c>
      <c r="X30" s="1811"/>
      <c r="Y30" s="320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7"/>
      <c r="Q31" s="1808">
        <f t="shared" si="8"/>
        <v>111</v>
      </c>
      <c r="R31" s="773" t="s">
        <v>17</v>
      </c>
      <c r="S31" s="774">
        <f t="shared" si="10"/>
        <v>100</v>
      </c>
      <c r="T31" s="773" t="s">
        <v>17</v>
      </c>
      <c r="U31" s="774">
        <f t="shared" si="11"/>
        <v>100</v>
      </c>
      <c r="V31" s="773" t="s">
        <v>17</v>
      </c>
      <c r="W31" s="774">
        <f t="shared" si="12"/>
        <v>100</v>
      </c>
      <c r="X31" s="1811"/>
      <c r="Y31" s="320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11" t="s">
        <v>2554</v>
      </c>
      <c r="Z32" s="1812">
        <f t="shared" si="13"/>
        <v>111</v>
      </c>
      <c r="AA32" s="1809">
        <f t="shared" si="3"/>
        <v>1</v>
      </c>
      <c r="AB32" s="1809">
        <f t="shared" si="4"/>
        <v>1</v>
      </c>
      <c r="AC32" s="1809">
        <f t="shared" si="5"/>
        <v>1</v>
      </c>
    </row>
    <row r="33" spans="1:29" s="471" customFormat="1" ht="15.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1"/>
      <c r="Q33" s="1808">
        <f t="shared" si="8"/>
        <v>111</v>
      </c>
      <c r="R33" s="776" t="s">
        <v>17</v>
      </c>
      <c r="S33" s="777">
        <f t="shared" si="10"/>
        <v>100</v>
      </c>
      <c r="T33" s="776" t="s">
        <v>17</v>
      </c>
      <c r="U33" s="777">
        <f t="shared" si="11"/>
        <v>100</v>
      </c>
      <c r="V33" s="776" t="s">
        <v>17</v>
      </c>
      <c r="W33" s="777">
        <f t="shared" si="12"/>
        <v>100</v>
      </c>
      <c r="X33" s="778"/>
      <c r="Y33" s="3211"/>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1"/>
      <c r="Q34" s="1808" t="str">
        <f>B34</f>
        <v>宗地面积</v>
      </c>
      <c r="R34" s="773" t="s">
        <v>17</v>
      </c>
      <c r="S34" s="774" t="e">
        <f t="shared" si="10"/>
        <v>#N/A</v>
      </c>
      <c r="T34" s="773" t="s">
        <v>17</v>
      </c>
      <c r="U34" s="774" t="e">
        <f t="shared" si="11"/>
        <v>#N/A</v>
      </c>
      <c r="V34" s="773" t="s">
        <v>17</v>
      </c>
      <c r="W34" s="774" t="e">
        <f t="shared" si="12"/>
        <v>#N/A</v>
      </c>
      <c r="X34" s="1811"/>
      <c r="Y34" s="3211"/>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11"/>
      <c r="Q35" s="1808" t="str">
        <f t="shared" ref="Q35:Q40" si="14">B35</f>
        <v>宗地形状</v>
      </c>
      <c r="R35" s="773" t="s">
        <v>17</v>
      </c>
      <c r="S35" s="774">
        <f t="shared" si="10"/>
        <v>100</v>
      </c>
      <c r="T35" s="773" t="s">
        <v>17</v>
      </c>
      <c r="U35" s="774">
        <f t="shared" si="11"/>
        <v>100</v>
      </c>
      <c r="V35" s="773" t="s">
        <v>17</v>
      </c>
      <c r="W35" s="774">
        <f t="shared" si="12"/>
        <v>100</v>
      </c>
      <c r="X35" s="1811"/>
      <c r="Y35" s="3211"/>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11"/>
      <c r="Q36" s="1808"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11" t="s">
        <v>2554</v>
      </c>
      <c r="Q37" s="1808" t="str">
        <f t="shared" si="14"/>
        <v>工程地质条件</v>
      </c>
      <c r="R37" s="773" t="s">
        <v>17</v>
      </c>
      <c r="S37" s="774">
        <f t="shared" si="10"/>
        <v>100</v>
      </c>
      <c r="T37" s="773" t="s">
        <v>17</v>
      </c>
      <c r="U37" s="774">
        <f t="shared" si="11"/>
        <v>100</v>
      </c>
      <c r="V37" s="773" t="s">
        <v>17</v>
      </c>
      <c r="W37" s="774">
        <f t="shared" si="12"/>
        <v>100</v>
      </c>
      <c r="X37" s="1811"/>
      <c r="Y37" s="3211" t="s">
        <v>2554</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1"/>
      <c r="Q38" s="1808">
        <f t="shared" si="14"/>
        <v>111</v>
      </c>
      <c r="R38" s="773" t="s">
        <v>17</v>
      </c>
      <c r="S38" s="774">
        <f t="shared" si="10"/>
        <v>100</v>
      </c>
      <c r="T38" s="773" t="s">
        <v>17</v>
      </c>
      <c r="U38" s="774">
        <f t="shared" si="11"/>
        <v>100</v>
      </c>
      <c r="V38" s="773" t="s">
        <v>17</v>
      </c>
      <c r="W38" s="774">
        <f t="shared" si="12"/>
        <v>100</v>
      </c>
      <c r="X38" s="1811"/>
      <c r="Y38" s="321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1"/>
      <c r="Q39" s="1808">
        <f t="shared" si="14"/>
        <v>111</v>
      </c>
      <c r="R39" s="773" t="s">
        <v>17</v>
      </c>
      <c r="S39" s="774">
        <f t="shared" si="10"/>
        <v>100</v>
      </c>
      <c r="T39" s="773" t="s">
        <v>17</v>
      </c>
      <c r="U39" s="774">
        <f t="shared" si="11"/>
        <v>100</v>
      </c>
      <c r="V39" s="773" t="s">
        <v>17</v>
      </c>
      <c r="W39" s="774">
        <f t="shared" si="12"/>
        <v>100</v>
      </c>
      <c r="X39" s="1811"/>
      <c r="Y39" s="3211"/>
      <c r="Z39" s="1812">
        <f t="shared" si="13"/>
        <v>111</v>
      </c>
      <c r="AA39" s="1809">
        <f t="shared" si="3"/>
        <v>1</v>
      </c>
      <c r="AB39" s="1809">
        <f t="shared" si="4"/>
        <v>1</v>
      </c>
      <c r="AC39" s="1809">
        <f t="shared" si="5"/>
        <v>1</v>
      </c>
    </row>
    <row r="40" spans="1:29" s="471" customFormat="1" ht="15.6"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1"/>
      <c r="Q40" s="1808">
        <f t="shared" si="14"/>
        <v>111</v>
      </c>
      <c r="R40" s="776" t="s">
        <v>17</v>
      </c>
      <c r="S40" s="777">
        <f t="shared" si="10"/>
        <v>100</v>
      </c>
      <c r="T40" s="776" t="s">
        <v>17</v>
      </c>
      <c r="U40" s="777">
        <f t="shared" si="11"/>
        <v>100</v>
      </c>
      <c r="V40" s="776" t="s">
        <v>17</v>
      </c>
      <c r="W40" s="777">
        <f t="shared" si="12"/>
        <v>100</v>
      </c>
      <c r="X40" s="778"/>
      <c r="Y40" s="3211"/>
      <c r="Z40" s="779">
        <f t="shared" si="13"/>
        <v>111</v>
      </c>
      <c r="AA40" s="1809">
        <f t="shared" si="3"/>
        <v>1</v>
      </c>
      <c r="AB40" s="1809">
        <f t="shared" si="4"/>
        <v>1</v>
      </c>
      <c r="AC40" s="1809">
        <f t="shared" si="5"/>
        <v>1</v>
      </c>
    </row>
    <row r="41" spans="1:29" ht="14.4">
      <c r="A41" s="479" t="s">
        <v>2709</v>
      </c>
      <c r="B41" s="2699" t="s">
        <v>2789</v>
      </c>
      <c r="C41" s="682" t="s">
        <v>1</v>
      </c>
      <c r="D41" s="481"/>
      <c r="E41" s="482"/>
      <c r="F41" s="483"/>
      <c r="G41" s="484"/>
      <c r="H41" s="485"/>
      <c r="I41" s="482"/>
      <c r="J41" s="485"/>
      <c r="K41" s="782"/>
      <c r="L41" s="1142"/>
      <c r="M41" s="1130"/>
      <c r="N41" s="1130"/>
      <c r="O41" s="1143"/>
      <c r="P41" s="3199" t="str">
        <f>A41</f>
        <v>成交单价</v>
      </c>
      <c r="Q41" s="3199"/>
      <c r="R41" s="3233">
        <f>E41</f>
        <v>0</v>
      </c>
      <c r="S41" s="3233"/>
      <c r="T41" s="3233">
        <f>G41</f>
        <v>0</v>
      </c>
      <c r="U41" s="3233"/>
      <c r="V41" s="3233">
        <f>I41</f>
        <v>0</v>
      </c>
      <c r="W41" s="3233"/>
      <c r="X41" s="758"/>
      <c r="Y41" s="780"/>
      <c r="Z41" s="758"/>
      <c r="AA41" s="758"/>
      <c r="AB41" s="758"/>
      <c r="AC41" s="758"/>
    </row>
    <row r="42" spans="1:29" ht="1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199" t="str">
        <f>A42</f>
        <v>比较价值（元/平方米）</v>
      </c>
      <c r="Q42" s="3199"/>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5" thickBot="1">
      <c r="A43" s="492" t="s">
        <v>2659</v>
      </c>
      <c r="B43" s="493"/>
      <c r="C43" s="494" t="e">
        <f>R43</f>
        <v>#DIV/0!</v>
      </c>
      <c r="D43" s="494"/>
      <c r="E43" s="494"/>
      <c r="F43" s="494"/>
      <c r="G43" s="494"/>
      <c r="H43" s="494"/>
      <c r="I43" s="494"/>
      <c r="J43" s="494"/>
      <c r="K43" s="784"/>
      <c r="L43" s="1142"/>
      <c r="M43" s="1130"/>
      <c r="N43" s="1130"/>
      <c r="O43" s="1143"/>
      <c r="P43" s="3269" t="str">
        <f>A43</f>
        <v>估价对象XX用房的比较价值（楼面单价，元/平方米）</v>
      </c>
      <c r="Q43" s="3270"/>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1"/>
      <c r="D49" s="759"/>
      <c r="E49" s="759"/>
      <c r="F49" s="759"/>
      <c r="G49" s="759"/>
      <c r="H49" s="759"/>
      <c r="I49" s="759"/>
      <c r="J49" s="759"/>
      <c r="K49" s="1147"/>
      <c r="L49" s="1148"/>
      <c r="M49" s="1144"/>
      <c r="N49" s="1144"/>
      <c r="O49" s="1144"/>
    </row>
    <row r="50" spans="1:17" ht="28.8">
      <c r="A50" s="684" t="s">
        <v>2747</v>
      </c>
      <c r="B50" s="685" t="s">
        <v>2748</v>
      </c>
      <c r="C50" s="2700" t="s">
        <v>2749</v>
      </c>
      <c r="D50" s="2701" t="s">
        <v>2750</v>
      </c>
      <c r="E50" s="686" t="s">
        <v>2751</v>
      </c>
      <c r="F50" s="687" t="s">
        <v>2752</v>
      </c>
      <c r="G50" s="3216"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198"/>
      <c r="H51" s="3199"/>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4.4"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4.4"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2.2" thickBot="1">
      <c r="A64" s="762" t="s">
        <v>2663</v>
      </c>
      <c r="B64" s="758"/>
      <c r="C64" s="763"/>
      <c r="D64" s="763"/>
      <c r="E64" s="763"/>
      <c r="F64" s="764"/>
      <c r="G64" s="764"/>
      <c r="H64" s="763"/>
      <c r="I64" s="763"/>
      <c r="J64" s="763"/>
      <c r="K64" s="765"/>
      <c r="L64" s="766"/>
      <c r="M64" s="763"/>
      <c r="N64" s="763"/>
      <c r="O64" s="1158"/>
      <c r="P64" s="503"/>
      <c r="Q64" s="504"/>
    </row>
    <row r="65" spans="1:17" s="508" customFormat="1" ht="14.4">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 thickBot="1">
      <c r="A67" s="515" t="s">
        <v>2574</v>
      </c>
      <c r="B67" s="516"/>
      <c r="C67" s="517"/>
      <c r="D67" s="518"/>
      <c r="E67" s="518"/>
      <c r="F67" s="518"/>
      <c r="G67" s="518"/>
      <c r="H67" s="518"/>
      <c r="I67" s="518"/>
      <c r="J67" s="518"/>
      <c r="K67" s="518"/>
      <c r="L67" s="518"/>
      <c r="M67" s="519"/>
      <c r="N67" s="519"/>
      <c r="O67" s="520"/>
      <c r="P67" s="504"/>
      <c r="Q67" s="504"/>
    </row>
    <row r="68" spans="1:17" s="117" customFormat="1" ht="14.4">
      <c r="A68" s="521" t="s">
        <v>2539</v>
      </c>
      <c r="B68" s="510"/>
      <c r="C68" s="522" t="s">
        <v>2641</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2577</v>
      </c>
      <c r="B70" s="528" t="s">
        <v>2543</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2546</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2680</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2739</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3.2"/>
  <cols>
    <col min="1" max="1" width="9.77734375" style="2783" customWidth="1"/>
    <col min="2" max="2" width="19.2187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70" customWidth="1"/>
    <col min="33" max="36" width="9.33203125" style="2783" customWidth="1"/>
    <col min="37" max="38" width="9.33203125" style="2715" customWidth="1"/>
    <col min="39" max="16384" width="12" style="2715"/>
  </cols>
  <sheetData>
    <row r="1" spans="1:36" ht="31.2">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6">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6.4">
      <c r="A3" s="247" t="s">
        <v>2807</v>
      </c>
      <c r="B3" s="248">
        <f ca="1">ROUND(B2*10000/D1,0)</f>
        <v>0</v>
      </c>
      <c r="C3" s="2716" t="s">
        <v>2808</v>
      </c>
      <c r="D3" s="2717" t="s">
        <v>2809</v>
      </c>
      <c r="E3" s="2722" t="s">
        <v>3071</v>
      </c>
      <c r="F3" s="2723" t="s">
        <v>3072</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296"/>
      <c r="B4" s="3297"/>
      <c r="C4" s="3297"/>
      <c r="D4" s="3298"/>
      <c r="E4" s="3298"/>
      <c r="F4" s="3298"/>
      <c r="G4" s="3298"/>
      <c r="H4" s="3298"/>
      <c r="I4" s="3298"/>
      <c r="J4" s="3299"/>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5.6"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5.6"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4">
      <c r="A7" s="3300"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6.4">
      <c r="A8" s="3301"/>
      <c r="B8" s="198" t="s">
        <v>2825</v>
      </c>
      <c r="C8" s="2745" t="s">
        <v>3073</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93" t="s">
        <v>2828</v>
      </c>
      <c r="X8" s="3294"/>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01"/>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295"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1"/>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9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01"/>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95"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8" thickBot="1">
      <c r="A12" s="3300"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95"/>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2"/>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295"/>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02"/>
      <c r="B14" s="2763"/>
      <c r="C14" s="2764" t="s">
        <v>3053</v>
      </c>
      <c r="D14" s="2765" t="s">
        <v>3053</v>
      </c>
      <c r="E14" s="2765" t="s">
        <v>3053</v>
      </c>
      <c r="F14" s="2766" t="s">
        <v>3074</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303"/>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00" t="s">
        <v>2871</v>
      </c>
      <c r="B16" s="2740" t="s">
        <v>2872</v>
      </c>
      <c r="C16" s="2927">
        <f>ROUND(IF(F17="与级别开发程度一致",0,(G17-E17)/C17),0)</f>
        <v>0</v>
      </c>
      <c r="D16" s="3314" t="s">
        <v>2876</v>
      </c>
      <c r="E16" s="3315"/>
      <c r="F16" s="3314" t="s">
        <v>2873</v>
      </c>
      <c r="G16" s="3315"/>
      <c r="H16" s="2774" t="s">
        <v>3055</v>
      </c>
      <c r="I16" s="2774" t="s">
        <v>3056</v>
      </c>
      <c r="J16" s="2931" t="s">
        <v>3060</v>
      </c>
      <c r="K16" s="2774" t="s">
        <v>3057</v>
      </c>
      <c r="L16" s="2774" t="s">
        <v>3058</v>
      </c>
      <c r="M16" s="2774" t="s">
        <v>3059</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30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3075</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9.4"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43849</v>
      </c>
      <c r="H19" s="2785" t="s">
        <v>3076</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9.4" thickBot="1">
      <c r="A20" s="2791" t="s">
        <v>810</v>
      </c>
      <c r="B20" s="2792" t="s">
        <v>2884</v>
      </c>
      <c r="C20" s="928">
        <f ca="1">ROUND(POWER(1+G20,J20-I20)*(POWER(1+G20,I20)-1)/(POWER(1+G20,J20)-1),4)</f>
        <v>0.95689999999999997</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42</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4.4">
      <c r="A21" s="2798" t="s">
        <v>811</v>
      </c>
      <c r="B21" s="2799" t="s">
        <v>3077</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4">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9.4"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4.4">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8"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3.8">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36">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1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31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8" thickBot="1">
      <c r="A36" s="331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8"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4.4">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5.2">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5.2">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84.8">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50.4">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36">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84.8">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6.4">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45.80000000000001"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4.4">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105.6">
      <c r="A59" s="2865" t="s">
        <v>2950</v>
      </c>
      <c r="B59" s="2868" t="str">
        <f>估价对象房地状况!C17</f>
        <v>估价对象位于中关村软件园丰台科技园区，周边办公楼项目较多，如：诺德中心二期、三期、华夏幸福中心等，入驻率高，办公集聚程度较好</v>
      </c>
      <c r="C59" s="2765" t="s">
        <v>3078</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84.8">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3078</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5" t="s">
        <v>2939</v>
      </c>
      <c r="B61" s="2869">
        <f>估价对象房地状况!C19</f>
        <v>0</v>
      </c>
      <c r="C61" s="2765" t="s">
        <v>3078</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50.4">
      <c r="A62" s="2865" t="s">
        <v>2940</v>
      </c>
      <c r="B62" s="2870" t="s">
        <v>2941</v>
      </c>
      <c r="C62" s="2765" t="s">
        <v>3078</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5" t="s">
        <v>2942</v>
      </c>
      <c r="B63" s="2869">
        <f>估价对象房地状况!C24</f>
        <v>0</v>
      </c>
      <c r="C63" s="2765" t="s">
        <v>3078</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36">
      <c r="A64" s="2865" t="s">
        <v>2943</v>
      </c>
      <c r="B64" s="2871" t="s">
        <v>2944</v>
      </c>
      <c r="C64" s="2765" t="s">
        <v>3078</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84.8">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3078</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6.4">
      <c r="A66" s="2865" t="s">
        <v>2946</v>
      </c>
      <c r="B66" s="1723" t="str">
        <f>估价对象房地状况!C22</f>
        <v>区域基础设施水平为七通</v>
      </c>
      <c r="C66" s="2765" t="s">
        <v>3078</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45.80000000000001"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3078</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4.4">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4">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84.8">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3.8">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84.8">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6.4">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36">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45.19999999999999">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36.6"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4.4">
      <c r="A79" s="2861" t="s">
        <v>2955</v>
      </c>
      <c r="B79" s="2862">
        <f>1+E81</f>
        <v>1</v>
      </c>
      <c r="C79" s="813"/>
      <c r="D79" s="813"/>
      <c r="E79" s="814"/>
      <c r="F79" s="2864"/>
      <c r="G79" s="6"/>
      <c r="H79" s="6"/>
      <c r="I79" s="6"/>
      <c r="J79" s="7"/>
      <c r="K79" s="7"/>
      <c r="L79" s="7"/>
      <c r="M79" s="7"/>
      <c r="N79" s="7"/>
      <c r="Z79" s="2715"/>
      <c r="AA79" s="2783"/>
      <c r="AG79" s="1370"/>
      <c r="AK79" s="2783"/>
    </row>
    <row r="80" spans="1:37" ht="25.2">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9.6">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66">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4">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3.8">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6.4">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6.4">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36">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53.4"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c r="A90" s="3305" t="s">
        <v>2959</v>
      </c>
      <c r="B90" s="3305"/>
      <c r="C90" s="3305"/>
      <c r="D90" s="3305"/>
      <c r="E90" s="3305"/>
      <c r="F90" s="3305"/>
      <c r="G90" s="3305"/>
      <c r="H90" s="3305"/>
      <c r="I90" s="3305"/>
      <c r="J90" s="3305"/>
      <c r="K90" s="2879"/>
      <c r="L90" s="2879"/>
      <c r="M90" s="2879"/>
      <c r="N90" s="2879"/>
    </row>
    <row r="91" spans="1:37">
      <c r="A91" s="3307" t="s">
        <v>2960</v>
      </c>
      <c r="B91" s="3307" t="s">
        <v>2961</v>
      </c>
      <c r="C91" s="2833" t="s">
        <v>2962</v>
      </c>
      <c r="D91" s="2834"/>
      <c r="E91" s="2834"/>
      <c r="F91" s="2834"/>
      <c r="G91" s="2834"/>
      <c r="H91" s="2834"/>
      <c r="I91" s="2834"/>
      <c r="J91" s="2880"/>
      <c r="K91" s="2881"/>
      <c r="L91" s="2881"/>
      <c r="M91" s="2881"/>
      <c r="N91" s="2881"/>
    </row>
    <row r="92" spans="1:37">
      <c r="A92" s="3307"/>
      <c r="B92" s="330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0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1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0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30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30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30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30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30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30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309"/>
      <c r="B108" s="3163"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10"/>
      <c r="B109" s="3164"/>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c r="A110" s="3306" t="s">
        <v>2967</v>
      </c>
      <c r="B110" s="3306"/>
      <c r="C110" s="3306"/>
      <c r="D110" s="3306"/>
      <c r="E110" s="3306"/>
      <c r="F110" s="3306"/>
      <c r="G110" s="3306"/>
      <c r="H110" s="3306"/>
      <c r="I110" s="3306"/>
      <c r="J110" s="3306"/>
      <c r="K110" s="2888"/>
      <c r="L110" s="2888"/>
      <c r="M110" s="2888"/>
      <c r="N110" s="2888"/>
    </row>
    <row r="112" spans="1:14" ht="13.8" thickBot="1"/>
    <row r="113" spans="1:13" ht="25.8"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8"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16" t="s">
        <v>614</v>
      </c>
      <c r="C61" s="817" t="s">
        <v>615</v>
      </c>
      <c r="D61" s="817" t="s">
        <v>616</v>
      </c>
      <c r="E61" s="894">
        <v>0.5</v>
      </c>
      <c r="F61" s="881">
        <v>80</v>
      </c>
    </row>
    <row r="62" spans="1:8" s="877" customFormat="1" ht="36">
      <c r="A62" s="881">
        <v>2</v>
      </c>
      <c r="B62" s="3316"/>
      <c r="C62" s="817" t="s">
        <v>617</v>
      </c>
      <c r="D62" s="817" t="s">
        <v>618</v>
      </c>
      <c r="E62" s="894">
        <v>0.5</v>
      </c>
      <c r="F62" s="881">
        <v>80</v>
      </c>
    </row>
    <row r="63" spans="1:8" s="877" customFormat="1" ht="48">
      <c r="A63" s="881">
        <v>3</v>
      </c>
      <c r="B63" s="3316"/>
      <c r="C63" s="817" t="s">
        <v>619</v>
      </c>
      <c r="D63" s="817" t="s">
        <v>620</v>
      </c>
      <c r="E63" s="894">
        <v>0.5</v>
      </c>
      <c r="F63" s="881">
        <v>80</v>
      </c>
    </row>
    <row r="64" spans="1:8" s="877" customFormat="1" ht="48">
      <c r="A64" s="881">
        <v>4</v>
      </c>
      <c r="B64" s="3316"/>
      <c r="C64" s="817" t="s">
        <v>621</v>
      </c>
      <c r="D64" s="817" t="s">
        <v>622</v>
      </c>
      <c r="E64" s="894">
        <v>0.4</v>
      </c>
      <c r="F64" s="881">
        <v>60</v>
      </c>
    </row>
    <row r="65" spans="1:6" s="877" customFormat="1" ht="48">
      <c r="A65" s="881">
        <v>5</v>
      </c>
      <c r="B65" s="3316"/>
      <c r="C65" s="817" t="s">
        <v>623</v>
      </c>
      <c r="D65" s="817" t="s">
        <v>624</v>
      </c>
      <c r="E65" s="894">
        <v>0.2</v>
      </c>
      <c r="F65" s="881">
        <v>30</v>
      </c>
    </row>
    <row r="66" spans="1:6" s="877" customFormat="1" ht="48">
      <c r="A66" s="881">
        <v>6</v>
      </c>
      <c r="B66" s="3316"/>
      <c r="C66" s="817" t="s">
        <v>625</v>
      </c>
      <c r="D66" s="817" t="s">
        <v>626</v>
      </c>
      <c r="E66" s="894">
        <v>0.3</v>
      </c>
      <c r="F66" s="881">
        <v>50</v>
      </c>
    </row>
    <row r="67" spans="1:6" s="877" customFormat="1" ht="48">
      <c r="A67" s="881">
        <v>7</v>
      </c>
      <c r="B67" s="3316"/>
      <c r="C67" s="817" t="s">
        <v>627</v>
      </c>
      <c r="D67" s="817" t="s">
        <v>628</v>
      </c>
      <c r="E67" s="894">
        <v>0.2</v>
      </c>
      <c r="F67" s="881">
        <v>30</v>
      </c>
    </row>
    <row r="68" spans="1:6" s="877" customFormat="1" ht="48">
      <c r="A68" s="881">
        <v>8</v>
      </c>
      <c r="B68" s="3316"/>
      <c r="C68" s="817" t="s">
        <v>629</v>
      </c>
      <c r="D68" s="817" t="s">
        <v>630</v>
      </c>
      <c r="E68" s="894">
        <v>0.2</v>
      </c>
      <c r="F68" s="881">
        <v>30</v>
      </c>
    </row>
    <row r="69" spans="1:6" s="877" customFormat="1" ht="48">
      <c r="A69" s="881">
        <v>9</v>
      </c>
      <c r="B69" s="3316"/>
      <c r="C69" s="817" t="s">
        <v>631</v>
      </c>
      <c r="D69" s="817" t="s">
        <v>632</v>
      </c>
      <c r="E69" s="894">
        <v>0.2</v>
      </c>
      <c r="F69" s="881">
        <v>30</v>
      </c>
    </row>
    <row r="70" spans="1:6" s="877" customFormat="1" ht="60">
      <c r="A70" s="881">
        <v>10</v>
      </c>
      <c r="B70" s="3316"/>
      <c r="C70" s="817" t="s">
        <v>633</v>
      </c>
      <c r="D70" s="817" t="s">
        <v>634</v>
      </c>
      <c r="E70" s="894">
        <v>0.2</v>
      </c>
      <c r="F70" s="881">
        <v>30</v>
      </c>
    </row>
    <row r="71" spans="1:6" s="877" customFormat="1" ht="60">
      <c r="A71" s="881">
        <v>11</v>
      </c>
      <c r="B71" s="3316"/>
      <c r="C71" s="817" t="s">
        <v>635</v>
      </c>
      <c r="D71" s="817" t="s">
        <v>636</v>
      </c>
      <c r="E71" s="894">
        <v>0.2</v>
      </c>
      <c r="F71" s="881">
        <v>30</v>
      </c>
    </row>
    <row r="72" spans="1:6" s="877" customFormat="1" ht="36">
      <c r="A72" s="881">
        <v>12</v>
      </c>
      <c r="B72" s="3316"/>
      <c r="C72" s="817" t="s">
        <v>637</v>
      </c>
      <c r="D72" s="817" t="s">
        <v>638</v>
      </c>
      <c r="E72" s="894">
        <v>0.5</v>
      </c>
      <c r="F72" s="881">
        <v>80</v>
      </c>
    </row>
    <row r="73" spans="1:6" s="877" customFormat="1" ht="36">
      <c r="A73" s="881">
        <v>13</v>
      </c>
      <c r="B73" s="3316"/>
      <c r="C73" s="817" t="s">
        <v>639</v>
      </c>
      <c r="D73" s="817" t="s">
        <v>640</v>
      </c>
      <c r="E73" s="894">
        <v>0.4</v>
      </c>
      <c r="F73" s="881">
        <v>60</v>
      </c>
    </row>
    <row r="74" spans="1:6" s="877" customFormat="1" ht="36">
      <c r="A74" s="881">
        <v>14</v>
      </c>
      <c r="B74" s="3316"/>
      <c r="C74" s="817" t="s">
        <v>641</v>
      </c>
      <c r="D74" s="817" t="s">
        <v>642</v>
      </c>
      <c r="E74" s="894">
        <v>0.2</v>
      </c>
      <c r="F74" s="881">
        <v>30</v>
      </c>
    </row>
    <row r="75" spans="1:6" s="877" customFormat="1" ht="36">
      <c r="A75" s="881">
        <v>15</v>
      </c>
      <c r="B75" s="3316"/>
      <c r="C75" s="817" t="s">
        <v>643</v>
      </c>
      <c r="D75" s="817" t="s">
        <v>644</v>
      </c>
      <c r="E75" s="894">
        <v>0.2</v>
      </c>
      <c r="F75" s="881">
        <v>30</v>
      </c>
    </row>
    <row r="76" spans="1:6" s="877" customFormat="1" ht="36">
      <c r="A76" s="881">
        <v>16</v>
      </c>
      <c r="B76" s="3316" t="s">
        <v>645</v>
      </c>
      <c r="C76" s="817" t="s">
        <v>646</v>
      </c>
      <c r="D76" s="817" t="s">
        <v>647</v>
      </c>
      <c r="E76" s="894">
        <v>0.5</v>
      </c>
      <c r="F76" s="881">
        <v>80</v>
      </c>
    </row>
    <row r="77" spans="1:6" s="877" customFormat="1" ht="36">
      <c r="A77" s="881">
        <v>17</v>
      </c>
      <c r="B77" s="3316"/>
      <c r="C77" s="817" t="s">
        <v>648</v>
      </c>
      <c r="D77" s="817" t="s">
        <v>649</v>
      </c>
      <c r="E77" s="894">
        <v>0.5</v>
      </c>
      <c r="F77" s="881">
        <v>80</v>
      </c>
    </row>
    <row r="78" spans="1:6" s="877" customFormat="1" ht="36">
      <c r="A78" s="881">
        <v>18</v>
      </c>
      <c r="B78" s="3316"/>
      <c r="C78" s="817" t="s">
        <v>650</v>
      </c>
      <c r="D78" s="817" t="s">
        <v>651</v>
      </c>
      <c r="E78" s="894">
        <v>0.2</v>
      </c>
      <c r="F78" s="881">
        <v>30</v>
      </c>
    </row>
    <row r="79" spans="1:6" s="877" customFormat="1" ht="36">
      <c r="A79" s="881">
        <v>19</v>
      </c>
      <c r="B79" s="3316"/>
      <c r="C79" s="817" t="s">
        <v>652</v>
      </c>
      <c r="D79" s="817" t="s">
        <v>653</v>
      </c>
      <c r="E79" s="894">
        <v>0.5</v>
      </c>
      <c r="F79" s="881">
        <v>80</v>
      </c>
    </row>
    <row r="80" spans="1:6" s="877" customFormat="1" ht="36">
      <c r="A80" s="881">
        <v>20</v>
      </c>
      <c r="B80" s="3316"/>
      <c r="C80" s="817" t="s">
        <v>654</v>
      </c>
      <c r="D80" s="817" t="s">
        <v>655</v>
      </c>
      <c r="E80" s="894">
        <v>0.2</v>
      </c>
      <c r="F80" s="881">
        <v>30</v>
      </c>
    </row>
    <row r="81" spans="1:6" s="877" customFormat="1" ht="36">
      <c r="A81" s="881">
        <v>21</v>
      </c>
      <c r="B81" s="3316"/>
      <c r="C81" s="817" t="s">
        <v>656</v>
      </c>
      <c r="D81" s="817" t="s">
        <v>657</v>
      </c>
      <c r="E81" s="894">
        <v>0.2</v>
      </c>
      <c r="F81" s="881">
        <v>30</v>
      </c>
    </row>
    <row r="82" spans="1:6" s="877" customFormat="1" ht="60">
      <c r="A82" s="881">
        <v>22</v>
      </c>
      <c r="B82" s="3316"/>
      <c r="C82" s="817" t="s">
        <v>658</v>
      </c>
      <c r="D82" s="817" t="s">
        <v>659</v>
      </c>
      <c r="E82" s="894">
        <v>0.2</v>
      </c>
      <c r="F82" s="881">
        <v>30</v>
      </c>
    </row>
    <row r="83" spans="1:6" s="877" customFormat="1" ht="60">
      <c r="A83" s="881">
        <v>23</v>
      </c>
      <c r="B83" s="3316"/>
      <c r="C83" s="817" t="s">
        <v>660</v>
      </c>
      <c r="D83" s="817" t="s">
        <v>661</v>
      </c>
      <c r="E83" s="894">
        <v>0.2</v>
      </c>
      <c r="F83" s="881">
        <v>30</v>
      </c>
    </row>
    <row r="84" spans="1:6" s="877" customFormat="1" ht="48">
      <c r="A84" s="881">
        <v>24</v>
      </c>
      <c r="B84" s="3316"/>
      <c r="C84" s="817" t="s">
        <v>662</v>
      </c>
      <c r="D84" s="817" t="s">
        <v>663</v>
      </c>
      <c r="E84" s="894">
        <v>0.2</v>
      </c>
      <c r="F84" s="881">
        <v>30</v>
      </c>
    </row>
    <row r="85" spans="1:6" s="877" customFormat="1" ht="36">
      <c r="A85" s="881">
        <v>25</v>
      </c>
      <c r="B85" s="3316"/>
      <c r="C85" s="817" t="s">
        <v>664</v>
      </c>
      <c r="D85" s="817" t="s">
        <v>665</v>
      </c>
      <c r="E85" s="894">
        <v>0.5</v>
      </c>
      <c r="F85" s="881">
        <v>80</v>
      </c>
    </row>
    <row r="86" spans="1:6" s="877" customFormat="1" ht="36">
      <c r="A86" s="881">
        <v>26</v>
      </c>
      <c r="B86" s="3316"/>
      <c r="C86" s="817" t="s">
        <v>666</v>
      </c>
      <c r="D86" s="817" t="s">
        <v>667</v>
      </c>
      <c r="E86" s="894">
        <v>0.2</v>
      </c>
      <c r="F86" s="881">
        <v>30</v>
      </c>
    </row>
    <row r="87" spans="1:6" s="877" customFormat="1" ht="36">
      <c r="A87" s="881">
        <v>27</v>
      </c>
      <c r="B87" s="3316"/>
      <c r="C87" s="817" t="s">
        <v>668</v>
      </c>
      <c r="D87" s="817" t="s">
        <v>669</v>
      </c>
      <c r="E87" s="894">
        <v>0.2</v>
      </c>
      <c r="F87" s="881">
        <v>30</v>
      </c>
    </row>
    <row r="88" spans="1:6" s="877" customFormat="1" ht="36">
      <c r="A88" s="881">
        <v>28</v>
      </c>
      <c r="B88" s="3316"/>
      <c r="C88" s="817" t="s">
        <v>670</v>
      </c>
      <c r="D88" s="817" t="s">
        <v>671</v>
      </c>
      <c r="E88" s="894">
        <v>0.2</v>
      </c>
      <c r="F88" s="881">
        <v>30</v>
      </c>
    </row>
    <row r="89" spans="1:6" s="877" customFormat="1" ht="36">
      <c r="A89" s="881">
        <v>29</v>
      </c>
      <c r="B89" s="3316"/>
      <c r="C89" s="817" t="s">
        <v>672</v>
      </c>
      <c r="D89" s="817" t="s">
        <v>673</v>
      </c>
      <c r="E89" s="894">
        <v>0.2</v>
      </c>
      <c r="F89" s="881">
        <v>30</v>
      </c>
    </row>
    <row r="90" spans="1:6" s="877" customFormat="1" ht="36">
      <c r="A90" s="881">
        <v>30</v>
      </c>
      <c r="B90" s="3316"/>
      <c r="C90" s="817" t="s">
        <v>674</v>
      </c>
      <c r="D90" s="817" t="s">
        <v>675</v>
      </c>
      <c r="E90" s="894">
        <v>0.2</v>
      </c>
      <c r="F90" s="881">
        <v>30</v>
      </c>
    </row>
    <row r="91" spans="1:6" s="877" customFormat="1" ht="48">
      <c r="A91" s="881">
        <v>31</v>
      </c>
      <c r="B91" s="3316"/>
      <c r="C91" s="817" t="s">
        <v>676</v>
      </c>
      <c r="D91" s="817" t="s">
        <v>677</v>
      </c>
      <c r="E91" s="894">
        <v>0.2</v>
      </c>
      <c r="F91" s="881">
        <v>30</v>
      </c>
    </row>
    <row r="92" spans="1:6" s="877" customFormat="1" ht="36">
      <c r="A92" s="881">
        <v>32</v>
      </c>
      <c r="B92" s="3316" t="s">
        <v>678</v>
      </c>
      <c r="C92" s="881" t="s">
        <v>679</v>
      </c>
      <c r="D92" s="817" t="s">
        <v>680</v>
      </c>
      <c r="E92" s="894">
        <v>0.2</v>
      </c>
      <c r="F92" s="881">
        <v>30</v>
      </c>
    </row>
    <row r="93" spans="1:6" s="877" customFormat="1" ht="36">
      <c r="A93" s="881">
        <v>33</v>
      </c>
      <c r="B93" s="3316"/>
      <c r="C93" s="881" t="s">
        <v>681</v>
      </c>
      <c r="D93" s="817" t="s">
        <v>682</v>
      </c>
      <c r="E93" s="894">
        <v>0.2</v>
      </c>
      <c r="F93" s="881">
        <v>30</v>
      </c>
    </row>
    <row r="94" spans="1:6" s="877" customFormat="1" ht="60">
      <c r="A94" s="881">
        <v>34</v>
      </c>
      <c r="B94" s="3316"/>
      <c r="C94" s="881" t="s">
        <v>683</v>
      </c>
      <c r="D94" s="817" t="s">
        <v>684</v>
      </c>
      <c r="E94" s="894">
        <v>0.2</v>
      </c>
      <c r="F94" s="881">
        <v>30</v>
      </c>
    </row>
    <row r="95" spans="1:6" s="877" customFormat="1" ht="48">
      <c r="A95" s="881">
        <v>35</v>
      </c>
      <c r="B95" s="3316"/>
      <c r="C95" s="881" t="s">
        <v>685</v>
      </c>
      <c r="D95" s="817" t="s">
        <v>686</v>
      </c>
      <c r="E95" s="894">
        <v>0.2</v>
      </c>
      <c r="F95" s="881">
        <v>30</v>
      </c>
    </row>
    <row r="96" spans="1:6" s="877" customFormat="1" ht="72">
      <c r="A96" s="881">
        <v>36</v>
      </c>
      <c r="B96" s="3316"/>
      <c r="C96" s="817" t="s">
        <v>687</v>
      </c>
      <c r="D96" s="817" t="s">
        <v>688</v>
      </c>
      <c r="E96" s="894">
        <v>0.2</v>
      </c>
      <c r="F96" s="881">
        <v>30</v>
      </c>
    </row>
    <row r="97" spans="1:6" s="877" customFormat="1" ht="36">
      <c r="A97" s="881">
        <v>37</v>
      </c>
      <c r="B97" s="3316"/>
      <c r="C97" s="881" t="s">
        <v>689</v>
      </c>
      <c r="D97" s="817" t="s">
        <v>690</v>
      </c>
      <c r="E97" s="894">
        <v>0.2</v>
      </c>
      <c r="F97" s="881">
        <v>30</v>
      </c>
    </row>
    <row r="98" spans="1:6" s="877" customFormat="1" ht="36">
      <c r="A98" s="881">
        <v>38</v>
      </c>
      <c r="B98" s="3316"/>
      <c r="C98" s="881" t="s">
        <v>691</v>
      </c>
      <c r="D98" s="817" t="s">
        <v>692</v>
      </c>
      <c r="E98" s="894">
        <v>0.2</v>
      </c>
      <c r="F98" s="881">
        <v>30</v>
      </c>
    </row>
    <row r="99" spans="1:6" s="877" customFormat="1" ht="36">
      <c r="A99" s="881">
        <v>39</v>
      </c>
      <c r="B99" s="3316" t="s">
        <v>693</v>
      </c>
      <c r="C99" s="881" t="s">
        <v>694</v>
      </c>
      <c r="D99" s="817" t="s">
        <v>695</v>
      </c>
      <c r="E99" s="894">
        <v>0.3</v>
      </c>
      <c r="F99" s="881">
        <v>50</v>
      </c>
    </row>
    <row r="100" spans="1:6" s="877" customFormat="1" ht="36">
      <c r="A100" s="881">
        <v>40</v>
      </c>
      <c r="B100" s="3316"/>
      <c r="C100" s="881" t="s">
        <v>696</v>
      </c>
      <c r="D100" s="817" t="s">
        <v>697</v>
      </c>
      <c r="E100" s="894">
        <v>0.2</v>
      </c>
      <c r="F100" s="881">
        <v>30</v>
      </c>
    </row>
    <row r="101" spans="1:6" s="877" customFormat="1" ht="36">
      <c r="A101" s="881">
        <v>41</v>
      </c>
      <c r="B101" s="3316"/>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16" t="s">
        <v>708</v>
      </c>
      <c r="C105" s="881" t="s">
        <v>709</v>
      </c>
      <c r="D105" s="817" t="s">
        <v>710</v>
      </c>
      <c r="E105" s="894">
        <v>0.2</v>
      </c>
      <c r="F105" s="881">
        <v>30</v>
      </c>
    </row>
    <row r="106" spans="1:6" s="877" customFormat="1" ht="48">
      <c r="A106" s="881">
        <v>46</v>
      </c>
      <c r="B106" s="3316"/>
      <c r="C106" s="881" t="s">
        <v>711</v>
      </c>
      <c r="D106" s="817" t="s">
        <v>712</v>
      </c>
      <c r="E106" s="894">
        <v>0.2</v>
      </c>
      <c r="F106" s="881">
        <v>30</v>
      </c>
    </row>
    <row r="107" spans="1:6" s="877" customFormat="1" ht="36">
      <c r="A107" s="881">
        <v>47</v>
      </c>
      <c r="B107" s="3316" t="s">
        <v>713</v>
      </c>
      <c r="C107" s="881" t="s">
        <v>714</v>
      </c>
      <c r="D107" s="817" t="s">
        <v>715</v>
      </c>
      <c r="E107" s="894">
        <v>0.3</v>
      </c>
      <c r="F107" s="881">
        <v>50</v>
      </c>
    </row>
    <row r="108" spans="1:6" s="877" customFormat="1" ht="48">
      <c r="A108" s="881">
        <v>48</v>
      </c>
      <c r="B108" s="33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16" t="s">
        <v>724</v>
      </c>
      <c r="C111" s="881" t="s">
        <v>725</v>
      </c>
      <c r="D111" s="817" t="s">
        <v>726</v>
      </c>
      <c r="E111" s="894">
        <v>0.2</v>
      </c>
      <c r="F111" s="881">
        <v>30</v>
      </c>
    </row>
    <row r="112" spans="1:6" s="877" customFormat="1" ht="36">
      <c r="A112" s="881">
        <v>52</v>
      </c>
      <c r="B112" s="3316"/>
      <c r="C112" s="881" t="s">
        <v>727</v>
      </c>
      <c r="D112" s="817" t="s">
        <v>728</v>
      </c>
      <c r="E112" s="894">
        <v>0.2</v>
      </c>
      <c r="F112" s="881">
        <v>30</v>
      </c>
    </row>
    <row r="113" spans="1:6" s="877" customFormat="1" ht="36">
      <c r="A113" s="881">
        <v>53</v>
      </c>
      <c r="B113" s="3316"/>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16" t="s">
        <v>737</v>
      </c>
      <c r="C116" s="881" t="s">
        <v>738</v>
      </c>
      <c r="D116" s="817" t="s">
        <v>739</v>
      </c>
      <c r="E116" s="894">
        <v>0.2</v>
      </c>
      <c r="F116" s="881">
        <v>30</v>
      </c>
    </row>
    <row r="117" spans="1:6" ht="36">
      <c r="A117" s="881">
        <v>57</v>
      </c>
      <c r="B117" s="3316"/>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56" t="s">
        <v>2990</v>
      </c>
    </row>
    <row r="2" spans="1:5" ht="15.6">
      <c r="A2" s="2897" t="s">
        <v>2982</v>
      </c>
      <c r="B2" s="2898">
        <f ca="1">SUMIF(B6:B13,"&lt;&gt;#ref!",B6:B13)</f>
        <v>0</v>
      </c>
      <c r="C2" s="2897" t="s">
        <v>2983</v>
      </c>
      <c r="D2" s="2897" t="s">
        <v>2984</v>
      </c>
      <c r="E2" s="2898">
        <f ca="1">SUMIF(E6:E13,"&lt;&gt;#ref!",E6:E13)</f>
        <v>264.85000000000002</v>
      </c>
    </row>
    <row r="3" spans="1:5" ht="15.6">
      <c r="A3" s="2897" t="s">
        <v>2985</v>
      </c>
      <c r="B3" s="2898">
        <f ca="1">ROUND(B2*10000/E2,0)</f>
        <v>0</v>
      </c>
      <c r="C3" s="2897" t="s">
        <v>2991</v>
      </c>
      <c r="D3" s="2899"/>
      <c r="E3" s="2899"/>
    </row>
    <row r="4" spans="1:5" ht="15.6">
      <c r="A4" s="2900"/>
      <c r="B4" s="2899"/>
      <c r="C4" s="2899"/>
      <c r="D4" s="2899"/>
      <c r="E4" s="2899"/>
    </row>
    <row r="5" spans="1:5" ht="31.2">
      <c r="A5" s="2901" t="s">
        <v>2986</v>
      </c>
      <c r="B5" s="2897" t="s">
        <v>2987</v>
      </c>
      <c r="C5" s="2898"/>
      <c r="D5" s="2899"/>
      <c r="E5" s="2897" t="s">
        <v>2988</v>
      </c>
    </row>
    <row r="6" spans="1:5" ht="15.6">
      <c r="A6" s="2902" t="s">
        <v>2989</v>
      </c>
      <c r="B6" s="2898">
        <f ca="1">SUMIF(INDIRECT("'"&amp;A6&amp;"'"&amp;"!A:A"),"总价",INDIRECT("'"&amp;A6&amp;"'"&amp;"!B:B"))</f>
        <v>0</v>
      </c>
      <c r="C6" s="2897" t="s">
        <v>2983</v>
      </c>
      <c r="D6" s="2899"/>
      <c r="E6" s="2570">
        <f ca="1">SUMIF(INDIRECT("'"&amp;A6&amp;"'"&amp;"!C:C"),"建筑面积",INDIRECT("'"&amp;A6&amp;"'"&amp;"!D:D"))</f>
        <v>264.85000000000002</v>
      </c>
    </row>
    <row r="7" spans="1:5" ht="15.6">
      <c r="A7" s="2902"/>
      <c r="B7" s="2898" t="e">
        <f ca="1">SUMIF(INDIRECT("'"&amp;A7&amp;"'"&amp;"!A:A"),"总价",INDIRECT("'"&amp;A7&amp;"'"&amp;"!B:B"))</f>
        <v>#REF!</v>
      </c>
      <c r="C7" s="2897" t="s">
        <v>2983</v>
      </c>
      <c r="D7" s="2899"/>
      <c r="E7" s="2570" t="e">
        <f t="shared" ref="E7:E13" ca="1" si="0">SUMIF(INDIRECT("'"&amp;A7&amp;"'"&amp;"!C:C"),"建筑面积",INDIRECT("'"&amp;A7&amp;"'"&amp;"!D:D"))</f>
        <v>#REF!</v>
      </c>
    </row>
    <row r="8" spans="1:5" ht="15.6">
      <c r="A8" s="2902"/>
      <c r="B8" s="2898" t="e">
        <f t="shared" ref="B8:B13" ca="1" si="1">SUMIF(INDIRECT("'"&amp;A8&amp;"'"&amp;"!A:A"),"总价",INDIRECT("'"&amp;A8&amp;"'"&amp;"!B:B"))</f>
        <v>#REF!</v>
      </c>
      <c r="C8" s="2897" t="s">
        <v>2983</v>
      </c>
      <c r="D8" s="2899"/>
      <c r="E8" s="2570" t="e">
        <f t="shared" ca="1" si="0"/>
        <v>#REF!</v>
      </c>
    </row>
    <row r="9" spans="1:5" ht="15.6">
      <c r="A9" s="2902"/>
      <c r="B9" s="2898" t="e">
        <f t="shared" ca="1" si="1"/>
        <v>#REF!</v>
      </c>
      <c r="C9" s="2897" t="s">
        <v>2983</v>
      </c>
      <c r="D9" s="2899"/>
      <c r="E9" s="2570" t="e">
        <f t="shared" ca="1" si="0"/>
        <v>#REF!</v>
      </c>
    </row>
    <row r="10" spans="1:5" ht="15.6">
      <c r="A10" s="2902"/>
      <c r="B10" s="2898" t="e">
        <f t="shared" ca="1" si="1"/>
        <v>#REF!</v>
      </c>
      <c r="C10" s="2897" t="s">
        <v>2983</v>
      </c>
      <c r="D10" s="2899"/>
      <c r="E10" s="2570" t="e">
        <f t="shared" ca="1" si="0"/>
        <v>#REF!</v>
      </c>
    </row>
    <row r="11" spans="1:5" ht="15.6">
      <c r="A11" s="2902"/>
      <c r="B11" s="2898" t="e">
        <f t="shared" ca="1" si="1"/>
        <v>#REF!</v>
      </c>
      <c r="C11" s="2897" t="s">
        <v>2983</v>
      </c>
      <c r="D11" s="2899"/>
      <c r="E11" s="2570" t="e">
        <f t="shared" ca="1" si="0"/>
        <v>#REF!</v>
      </c>
    </row>
    <row r="12" spans="1:5" ht="15.6">
      <c r="A12" s="2902"/>
      <c r="B12" s="2898" t="e">
        <f t="shared" ca="1" si="1"/>
        <v>#REF!</v>
      </c>
      <c r="C12" s="2897" t="s">
        <v>2983</v>
      </c>
      <c r="D12" s="2899"/>
      <c r="E12" s="2570" t="e">
        <f t="shared" ca="1" si="0"/>
        <v>#REF!</v>
      </c>
    </row>
    <row r="13" spans="1:5" ht="15.6">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322" t="s">
        <v>1146</v>
      </c>
      <c r="C1" s="3322"/>
      <c r="D1" s="3322"/>
      <c r="E1" s="3322"/>
      <c r="F1" s="3322"/>
      <c r="G1" s="3321" t="s">
        <v>1147</v>
      </c>
      <c r="H1" s="3321"/>
      <c r="I1" s="3321"/>
      <c r="J1" s="3321"/>
      <c r="K1" s="3321"/>
      <c r="L1" s="3321"/>
      <c r="N1" s="3321" t="s">
        <v>1148</v>
      </c>
      <c r="O1" s="3321"/>
      <c r="P1" s="3321"/>
      <c r="Q1" s="3321"/>
      <c r="R1" s="1444"/>
      <c r="S1" s="3321" t="s">
        <v>1149</v>
      </c>
      <c r="T1" s="3321"/>
      <c r="U1" s="3321"/>
      <c r="V1" s="3321"/>
      <c r="X1" s="3320" t="s">
        <v>1150</v>
      </c>
      <c r="Y1" s="3321"/>
      <c r="Z1" s="3321"/>
      <c r="AA1" s="3321"/>
      <c r="AB1" s="3321"/>
      <c r="AD1" s="3320" t="s">
        <v>1151</v>
      </c>
      <c r="AE1" s="3321"/>
      <c r="AF1" s="3321"/>
      <c r="AG1" s="3321"/>
      <c r="AH1" s="3321"/>
    </row>
    <row r="2" spans="1:34" s="1445" customFormat="1" ht="1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4">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4">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8"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8"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18">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8"/>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8"/>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8"/>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8"/>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8"/>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8"/>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8"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9"/>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8" thickBot="1">
      <c r="A20" s="1459" t="s">
        <v>151</v>
      </c>
      <c r="B20" s="1467">
        <v>333</v>
      </c>
      <c r="C20" s="1467">
        <v>277</v>
      </c>
      <c r="D20" s="1467">
        <f t="shared" si="97"/>
        <v>277</v>
      </c>
      <c r="E20" s="1467">
        <v>459</v>
      </c>
      <c r="F20" s="1468">
        <v>249</v>
      </c>
      <c r="G20" s="3317">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8"/>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8"/>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9"/>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8" thickBot="1">
      <c r="A24" s="1459" t="s">
        <v>147</v>
      </c>
      <c r="B24" s="1488">
        <v>318</v>
      </c>
      <c r="C24" s="1488">
        <v>268</v>
      </c>
      <c r="D24" s="1488">
        <f t="shared" si="97"/>
        <v>268</v>
      </c>
      <c r="E24" s="1488">
        <v>437</v>
      </c>
      <c r="F24" s="1489">
        <v>237</v>
      </c>
      <c r="G24" s="3317">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8"/>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8"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8"/>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8"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9"/>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8" thickBot="1">
      <c r="A32" s="1459" t="s">
        <v>1163</v>
      </c>
      <c r="B32" s="1509">
        <v>278</v>
      </c>
      <c r="C32" s="1509">
        <v>234</v>
      </c>
      <c r="D32" s="1509">
        <f t="shared" si="97"/>
        <v>234</v>
      </c>
      <c r="E32" s="1509">
        <v>379</v>
      </c>
      <c r="F32" s="1510">
        <v>220</v>
      </c>
      <c r="G32" s="3317">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8"/>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8"/>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8" thickBot="1">
      <c r="A35" s="1459" t="s">
        <v>1166</v>
      </c>
      <c r="B35" s="1475">
        <f>B34/(1+N34)</f>
        <v>275.19025476197027</v>
      </c>
      <c r="C35" s="1511">
        <v>232</v>
      </c>
      <c r="D35" s="1511">
        <f t="shared" si="97"/>
        <v>232</v>
      </c>
      <c r="E35" s="1475">
        <f t="shared" si="108"/>
        <v>375.65990977608692</v>
      </c>
      <c r="F35" s="1475">
        <f t="shared" si="108"/>
        <v>214.12518283971252</v>
      </c>
      <c r="G35" s="3319"/>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8" thickBot="1">
      <c r="A36" s="1459" t="s">
        <v>1167</v>
      </c>
      <c r="B36" s="1467">
        <v>275</v>
      </c>
      <c r="C36" s="1467">
        <v>232</v>
      </c>
      <c r="D36" s="1467">
        <f t="shared" si="97"/>
        <v>232</v>
      </c>
      <c r="E36" s="1467">
        <v>376</v>
      </c>
      <c r="F36" s="1468">
        <v>213</v>
      </c>
      <c r="G36" s="3317">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8">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8">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8"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9">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8" thickBot="1">
      <c r="A40" s="1459" t="s">
        <v>1171</v>
      </c>
      <c r="B40" s="1467">
        <v>269</v>
      </c>
      <c r="C40" s="1467">
        <v>221</v>
      </c>
      <c r="D40" s="1467">
        <f t="shared" si="97"/>
        <v>221</v>
      </c>
      <c r="E40" s="1467">
        <v>373</v>
      </c>
      <c r="F40" s="1468">
        <v>196</v>
      </c>
      <c r="G40" s="3317">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8">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8">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8"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9">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8" thickBot="1">
      <c r="A44" s="1459" t="s">
        <v>1175</v>
      </c>
      <c r="B44" s="1467">
        <v>220</v>
      </c>
      <c r="C44" s="1467">
        <v>187</v>
      </c>
      <c r="D44" s="1467">
        <f t="shared" si="97"/>
        <v>187</v>
      </c>
      <c r="E44" s="1467">
        <v>301</v>
      </c>
      <c r="F44" s="1468">
        <v>168</v>
      </c>
      <c r="G44" s="3317">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8">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8">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9">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8" thickBot="1">
      <c r="A48" s="1459" t="s">
        <v>1179</v>
      </c>
      <c r="B48" s="1509">
        <v>214</v>
      </c>
      <c r="C48" s="1509">
        <v>188</v>
      </c>
      <c r="D48" s="1509">
        <f t="shared" si="97"/>
        <v>188</v>
      </c>
      <c r="E48" s="1509">
        <v>289</v>
      </c>
      <c r="F48" s="1510">
        <v>166</v>
      </c>
      <c r="G48" s="3317">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8">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8">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8"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9">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8" thickBot="1">
      <c r="A52" s="1459" t="s">
        <v>1183</v>
      </c>
      <c r="B52" s="1467">
        <v>188</v>
      </c>
      <c r="C52" s="1467">
        <v>165</v>
      </c>
      <c r="D52" s="1467">
        <f t="shared" si="97"/>
        <v>165</v>
      </c>
      <c r="E52" s="1467">
        <v>254</v>
      </c>
      <c r="F52" s="1468">
        <v>148</v>
      </c>
      <c r="G52" s="3317">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8">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8">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9">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8" thickBot="1">
      <c r="A56" s="1459" t="s">
        <v>1187</v>
      </c>
      <c r="B56" s="1488">
        <v>159</v>
      </c>
      <c r="C56" s="1488">
        <v>141</v>
      </c>
      <c r="D56" s="1488">
        <f t="shared" si="97"/>
        <v>141</v>
      </c>
      <c r="E56" s="1488">
        <v>195</v>
      </c>
      <c r="F56" s="1489">
        <v>122</v>
      </c>
      <c r="G56" s="3317">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8">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8">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9">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8" thickBot="1">
      <c r="A60" s="1459" t="s">
        <v>1191</v>
      </c>
      <c r="B60" s="1488">
        <v>138</v>
      </c>
      <c r="C60" s="1488">
        <v>131</v>
      </c>
      <c r="D60" s="1488">
        <f t="shared" si="97"/>
        <v>131</v>
      </c>
      <c r="E60" s="1488">
        <v>155</v>
      </c>
      <c r="F60" s="1489">
        <v>114</v>
      </c>
      <c r="G60" s="3317">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8">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8">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9">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8" thickBot="1">
      <c r="A64" s="1459" t="s">
        <v>1195</v>
      </c>
      <c r="B64" s="1509">
        <v>121</v>
      </c>
      <c r="C64" s="1509">
        <v>122</v>
      </c>
      <c r="D64" s="1509">
        <f t="shared" si="97"/>
        <v>122</v>
      </c>
      <c r="E64" s="1509">
        <v>124</v>
      </c>
      <c r="F64" s="1510">
        <v>107</v>
      </c>
      <c r="G64" s="3317">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8">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8">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8"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9">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8" thickBot="1">
      <c r="A68" s="1459" t="s">
        <v>1199</v>
      </c>
      <c r="B68" s="1530">
        <v>111</v>
      </c>
      <c r="C68" s="1530">
        <v>114</v>
      </c>
      <c r="D68" s="1530">
        <f t="shared" si="97"/>
        <v>114</v>
      </c>
      <c r="E68" s="1530">
        <v>108</v>
      </c>
      <c r="F68" s="1531">
        <v>104</v>
      </c>
      <c r="G68" s="3317">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8">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8">
        <v>2003</v>
      </c>
      <c r="H70" s="1463">
        <v>2</v>
      </c>
      <c r="I70" s="1532"/>
      <c r="J70" s="1532"/>
      <c r="K70" s="1532"/>
      <c r="L70" s="1532"/>
      <c r="X70" s="1524"/>
      <c r="Y70" s="1524"/>
      <c r="Z70" s="1524"/>
    </row>
    <row r="71" spans="1:26" ht="13.8" thickBot="1">
      <c r="A71" s="1459" t="s">
        <v>1202</v>
      </c>
      <c r="B71" s="1534">
        <f t="shared" si="133"/>
        <v>107.25</v>
      </c>
      <c r="C71" s="1534">
        <f t="shared" si="133"/>
        <v>108.75</v>
      </c>
      <c r="D71" s="1534">
        <f t="shared" si="97"/>
        <v>108.75</v>
      </c>
      <c r="E71" s="1534">
        <f t="shared" si="134"/>
        <v>105.75</v>
      </c>
      <c r="F71" s="1534">
        <f t="shared" si="134"/>
        <v>102.5</v>
      </c>
      <c r="G71" s="3319">
        <v>2003</v>
      </c>
      <c r="H71" s="1535">
        <v>1</v>
      </c>
      <c r="I71" s="1532"/>
      <c r="J71" s="1532"/>
      <c r="K71" s="1532"/>
      <c r="L71" s="1532"/>
      <c r="S71" s="1470"/>
      <c r="T71" s="1471"/>
      <c r="U71" s="1471"/>
      <c r="X71" s="1524"/>
      <c r="Y71" s="1524"/>
      <c r="Z71" s="1524"/>
    </row>
    <row r="72" spans="1:26" ht="13.8" thickBot="1">
      <c r="A72" s="1459" t="s">
        <v>1203</v>
      </c>
      <c r="B72" s="1536">
        <v>106</v>
      </c>
      <c r="C72" s="1536">
        <v>107</v>
      </c>
      <c r="D72" s="1536">
        <f t="shared" si="97"/>
        <v>107</v>
      </c>
      <c r="E72" s="1536">
        <v>105</v>
      </c>
      <c r="F72" s="1537">
        <v>102</v>
      </c>
      <c r="G72" s="3317">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8">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8">
        <v>2002</v>
      </c>
      <c r="H74" s="1463">
        <v>2</v>
      </c>
      <c r="I74" s="1532"/>
      <c r="J74" s="1532"/>
      <c r="K74" s="1532"/>
      <c r="L74" s="1532"/>
      <c r="X74" s="1524"/>
      <c r="Y74" s="1524"/>
      <c r="Z74" s="1524"/>
    </row>
    <row r="75" spans="1:26" s="1496" customFormat="1" ht="13.8" thickBot="1">
      <c r="A75" s="1492" t="s">
        <v>1206</v>
      </c>
      <c r="B75" s="1538">
        <f t="shared" si="135"/>
        <v>103</v>
      </c>
      <c r="C75" s="1538">
        <f t="shared" si="135"/>
        <v>104</v>
      </c>
      <c r="D75" s="1538">
        <f t="shared" si="97"/>
        <v>104</v>
      </c>
      <c r="E75" s="1538">
        <f t="shared" si="136"/>
        <v>103.5</v>
      </c>
      <c r="F75" s="1538">
        <f t="shared" si="136"/>
        <v>100.5</v>
      </c>
      <c r="G75" s="3319">
        <v>2002</v>
      </c>
      <c r="H75" s="1539">
        <v>1</v>
      </c>
      <c r="I75" s="1540"/>
      <c r="J75" s="1540"/>
      <c r="K75" s="1540"/>
      <c r="L75" s="1540"/>
      <c r="N75" s="1541"/>
      <c r="S75" s="1541"/>
      <c r="X75" s="1542"/>
      <c r="Y75" s="1542"/>
      <c r="Z75" s="1542"/>
    </row>
    <row r="76" spans="1:26" ht="13.8"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8"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8"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7.399999999999999">
      <c r="A3" s="3010" t="str">
        <f>IF(项目基本情况!B9="房地产市场价值","估价结果一览表（市场价值不需“结果表-1”）","估价结果一览表")</f>
        <v>估价结果一览表</v>
      </c>
      <c r="B3" s="3010"/>
      <c r="C3" s="3010"/>
      <c r="D3" s="3010"/>
      <c r="E3" s="3010"/>
    </row>
    <row r="4" spans="1:5" ht="18" thickBot="1">
      <c r="A4" s="1958"/>
      <c r="B4" s="3008" t="s">
        <v>1625</v>
      </c>
      <c r="C4" s="3008"/>
      <c r="D4" s="3008"/>
      <c r="E4" s="1958"/>
    </row>
    <row r="5" spans="1:5" ht="16.2" thickTop="1">
      <c r="A5" s="1956"/>
      <c r="B5" s="3006" t="s">
        <v>1617</v>
      </c>
      <c r="C5" s="1959" t="s">
        <v>1618</v>
      </c>
      <c r="D5" s="1039">
        <f ca="1">结果表!H101</f>
        <v>3152</v>
      </c>
      <c r="E5" s="1956"/>
    </row>
    <row r="6" spans="1:5" ht="15.6">
      <c r="A6" s="1956"/>
      <c r="B6" s="3006"/>
      <c r="C6" s="1959" t="s">
        <v>1619</v>
      </c>
      <c r="D6" s="1039" t="str">
        <f ca="1">NUMBERSTRING(INT(D5*10000),2)&amp;"元整"</f>
        <v>叁仟壹佰伍拾贰万元整</v>
      </c>
      <c r="E6" s="1956"/>
    </row>
    <row r="7" spans="1:5" ht="15.6">
      <c r="A7" s="1956"/>
      <c r="B7" s="3011"/>
      <c r="C7" s="1960" t="s">
        <v>1620</v>
      </c>
      <c r="D7" s="1040">
        <f ca="1">结果表!H102</f>
        <v>40995</v>
      </c>
      <c r="E7" s="1956"/>
    </row>
    <row r="8" spans="1:5" ht="15.6">
      <c r="A8" s="1956"/>
      <c r="B8" s="3012" t="str">
        <f>结果表!E103</f>
        <v>2.估价师知悉的法定优先受偿款</v>
      </c>
      <c r="C8" s="1961" t="s">
        <v>1621</v>
      </c>
      <c r="D8" s="1040">
        <f>结果表!H103</f>
        <v>0</v>
      </c>
      <c r="E8" s="1956"/>
    </row>
    <row r="9" spans="1:5" ht="15.6">
      <c r="A9" s="1956"/>
      <c r="B9" s="3014"/>
      <c r="C9" s="1959" t="s">
        <v>1619</v>
      </c>
      <c r="D9" s="1039" t="str">
        <f>NUMBERSTRING(INT(D8*10000),2)&amp;"元整"</f>
        <v>零元整</v>
      </c>
      <c r="E9" s="1956"/>
    </row>
    <row r="10" spans="1:5" ht="15.6">
      <c r="A10" s="1956"/>
      <c r="B10" s="1962" t="s">
        <v>1624</v>
      </c>
      <c r="C10" s="1963" t="s">
        <v>1622</v>
      </c>
      <c r="D10" s="1041">
        <f>结果表!H104</f>
        <v>0</v>
      </c>
      <c r="E10" s="1956"/>
    </row>
    <row r="11" spans="1:5" ht="15.6">
      <c r="A11" s="1956"/>
      <c r="B11" s="1962" t="s">
        <v>1626</v>
      </c>
      <c r="C11" s="1963" t="s">
        <v>1627</v>
      </c>
      <c r="D11" s="1041">
        <f>结果表!H105</f>
        <v>0</v>
      </c>
      <c r="E11" s="1956"/>
    </row>
    <row r="12" spans="1:5" ht="15.6">
      <c r="A12" s="1956"/>
      <c r="B12" s="1962" t="s">
        <v>1628</v>
      </c>
      <c r="C12" s="1963" t="s">
        <v>1627</v>
      </c>
      <c r="D12" s="1041">
        <f>结果表!H106</f>
        <v>0</v>
      </c>
      <c r="E12" s="1956"/>
    </row>
    <row r="13" spans="1:5" ht="15.6">
      <c r="A13" s="1956"/>
      <c r="B13" s="3005" t="str">
        <f>结果表!E107</f>
        <v>3.房地产抵押价值</v>
      </c>
      <c r="C13" s="1964" t="s">
        <v>1618</v>
      </c>
      <c r="D13" s="1042">
        <f ca="1">结果表!H107</f>
        <v>3152</v>
      </c>
      <c r="E13" s="1956"/>
    </row>
    <row r="14" spans="1:5" ht="15.6">
      <c r="A14" s="1956"/>
      <c r="B14" s="3006"/>
      <c r="C14" s="1959" t="s">
        <v>1619</v>
      </c>
      <c r="D14" s="1039" t="str">
        <f ca="1">NUMBERSTRING(INT(D13*10000),2)&amp;"元整"</f>
        <v>叁仟壹佰伍拾贰万元整</v>
      </c>
      <c r="E14" s="1956"/>
    </row>
    <row r="15" spans="1:5" ht="15.6">
      <c r="A15" s="1956"/>
      <c r="B15" s="3011"/>
      <c r="C15" s="1960" t="s">
        <v>1629</v>
      </c>
      <c r="D15" s="1051">
        <f ca="1">结果表!H108</f>
        <v>40995</v>
      </c>
      <c r="E15" s="1956"/>
    </row>
    <row r="16" spans="1:5" ht="15.6">
      <c r="A16" s="1956"/>
      <c r="B16" s="3012" t="str">
        <f>结果表!E109</f>
        <v>——</v>
      </c>
      <c r="C16" s="1964" t="s">
        <v>1630</v>
      </c>
      <c r="D16" s="1965" t="str">
        <f>结果表!H109</f>
        <v>——</v>
      </c>
      <c r="E16" s="1956"/>
    </row>
    <row r="17" spans="1:5" ht="15.6">
      <c r="A17" s="1956"/>
      <c r="B17" s="3013"/>
      <c r="C17" s="1959" t="s">
        <v>1631</v>
      </c>
      <c r="D17" s="1039" t="e">
        <f>NUMBERSTRING(INT(D16*10000),2)&amp;"元整"</f>
        <v>#VALUE!</v>
      </c>
      <c r="E17" s="1956"/>
    </row>
    <row r="18" spans="1:5" ht="15.6">
      <c r="A18" s="1956"/>
      <c r="B18" s="3014"/>
      <c r="C18" s="1960" t="s">
        <v>1620</v>
      </c>
      <c r="D18" s="1051" t="str">
        <f>结果表!H110</f>
        <v>——</v>
      </c>
      <c r="E18" s="1956"/>
    </row>
    <row r="19" spans="1:5" ht="15.6">
      <c r="A19" s="1956"/>
      <c r="B19" s="3005" t="str">
        <f>结果表!E111</f>
        <v>——</v>
      </c>
      <c r="C19" s="1964" t="s">
        <v>1618</v>
      </c>
      <c r="D19" s="1040" t="str">
        <f>结果表!H111</f>
        <v>——</v>
      </c>
      <c r="E19" s="1956"/>
    </row>
    <row r="20" spans="1:5" ht="15.6">
      <c r="A20" s="1956"/>
      <c r="B20" s="3006"/>
      <c r="C20" s="1959" t="s">
        <v>1631</v>
      </c>
      <c r="D20" s="1039" t="e">
        <f>NUMBERSTRING(INT(D19*10000),2)&amp;"元整"</f>
        <v>#VALUE!</v>
      </c>
      <c r="E20" s="1956"/>
    </row>
    <row r="21" spans="1:5" ht="16.2" thickBot="1">
      <c r="A21" s="1956"/>
      <c r="B21" s="3007"/>
      <c r="C21" s="1966" t="s">
        <v>1629</v>
      </c>
      <c r="D21" s="1052" t="str">
        <f>结果表!H112</f>
        <v>——</v>
      </c>
      <c r="E21" s="1956"/>
    </row>
    <row r="22" spans="1:5" ht="14.4" thickTop="1">
      <c r="A22" s="1956"/>
      <c r="B22" s="1967" t="s">
        <v>1632</v>
      </c>
      <c r="C22" s="1956"/>
      <c r="D22" s="1956"/>
      <c r="E22" s="1956"/>
    </row>
    <row r="23" spans="1:5">
      <c r="A23" s="1956"/>
      <c r="B23" s="1956"/>
      <c r="C23" s="1956"/>
      <c r="D23" s="1956"/>
      <c r="E23" s="1956"/>
    </row>
    <row r="24" spans="1:5" ht="17.399999999999999">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M43" sqref="M43"/>
    </sheetView>
  </sheetViews>
  <sheetFormatPr defaultColWidth="9" defaultRowHeight="13.8"/>
  <cols>
    <col min="1" max="1" width="10.44140625" style="403" customWidth="1"/>
    <col min="2" max="2" width="15.77734375" style="403" customWidth="1"/>
    <col min="3" max="3" width="22.77734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7" customFormat="1" ht="28.5" customHeight="1" thickBot="1">
      <c r="A1" s="1616" t="s">
        <v>2517</v>
      </c>
      <c r="B1" s="2664" t="s">
        <v>2675</v>
      </c>
      <c r="C1" s="1618" t="s">
        <v>2519</v>
      </c>
      <c r="D1" s="1619" t="s">
        <v>27</v>
      </c>
      <c r="E1" s="1628"/>
      <c r="F1" s="2579" t="s">
        <v>3123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5.7</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1" t="s">
        <v>2524</v>
      </c>
      <c r="B4" s="402"/>
      <c r="C4" s="3216" t="s">
        <v>2525</v>
      </c>
      <c r="D4" s="3217"/>
      <c r="E4" s="3218" t="s">
        <v>2526</v>
      </c>
      <c r="F4" s="3219"/>
      <c r="G4" s="3216" t="s">
        <v>2527</v>
      </c>
      <c r="H4" s="3217"/>
      <c r="I4" s="3216" t="s">
        <v>2528</v>
      </c>
      <c r="J4" s="3217"/>
      <c r="K4" s="610" t="s">
        <v>2529</v>
      </c>
      <c r="L4" s="1129"/>
      <c r="M4" s="1130"/>
      <c r="N4" s="1130"/>
      <c r="O4" s="1130"/>
      <c r="P4" s="3220" t="s">
        <v>2530</v>
      </c>
      <c r="Q4" s="3221"/>
      <c r="R4" s="3226" t="s">
        <v>2526</v>
      </c>
      <c r="S4" s="3227"/>
      <c r="T4" s="3226" t="s">
        <v>2527</v>
      </c>
      <c r="U4" s="3227"/>
      <c r="V4" s="3232" t="s">
        <v>2528</v>
      </c>
      <c r="W4" s="3232"/>
      <c r="X4" s="2953"/>
      <c r="Y4" s="3226" t="s">
        <v>2530</v>
      </c>
      <c r="Z4" s="3227"/>
      <c r="AA4" s="3244" t="s">
        <v>2526</v>
      </c>
      <c r="AB4" s="3244" t="s">
        <v>2527</v>
      </c>
      <c r="AC4" s="3213" t="s">
        <v>2528</v>
      </c>
    </row>
    <row r="5" spans="1:29">
      <c r="A5" s="404"/>
      <c r="B5" s="405"/>
      <c r="C5" s="3242" t="s">
        <v>3168</v>
      </c>
      <c r="D5" s="3243"/>
      <c r="E5" s="3236" t="s">
        <v>3169</v>
      </c>
      <c r="F5" s="3237"/>
      <c r="G5" s="3236" t="s">
        <v>3124</v>
      </c>
      <c r="H5" s="3237"/>
      <c r="I5" s="3236" t="s">
        <v>3131</v>
      </c>
      <c r="J5" s="3237"/>
      <c r="K5" s="610"/>
      <c r="L5" s="1129"/>
      <c r="M5" s="1130"/>
      <c r="N5" s="1130"/>
      <c r="O5" s="1130"/>
      <c r="P5" s="3222"/>
      <c r="Q5" s="3223"/>
      <c r="R5" s="3228"/>
      <c r="S5" s="3229"/>
      <c r="T5" s="3228"/>
      <c r="U5" s="3229"/>
      <c r="V5" s="3233"/>
      <c r="W5" s="3233"/>
      <c r="X5" s="2951"/>
      <c r="Y5" s="3228"/>
      <c r="Z5" s="3229"/>
      <c r="AA5" s="3245"/>
      <c r="AB5" s="3245"/>
      <c r="AC5" s="3214"/>
    </row>
    <row r="6" spans="1:29" ht="15.75" customHeight="1" thickBot="1">
      <c r="A6" s="406"/>
      <c r="B6" s="407"/>
      <c r="C6" s="3234" t="s">
        <v>3133</v>
      </c>
      <c r="D6" s="3235"/>
      <c r="E6" s="3234" t="s">
        <v>3127</v>
      </c>
      <c r="F6" s="3235"/>
      <c r="G6" s="3328" t="s">
        <v>3128</v>
      </c>
      <c r="H6" s="3329"/>
      <c r="I6" s="3234" t="s">
        <v>3126</v>
      </c>
      <c r="J6" s="3235"/>
      <c r="K6" s="610" t="s">
        <v>2536</v>
      </c>
      <c r="L6" s="1129"/>
      <c r="M6" s="1130"/>
      <c r="N6" s="1130"/>
      <c r="O6" s="1130"/>
      <c r="P6" s="3224"/>
      <c r="Q6" s="3225"/>
      <c r="R6" s="3228"/>
      <c r="S6" s="3229"/>
      <c r="T6" s="3230"/>
      <c r="U6" s="3231"/>
      <c r="V6" s="3233"/>
      <c r="W6" s="3233"/>
      <c r="X6" s="2951"/>
      <c r="Y6" s="3230"/>
      <c r="Z6" s="3231"/>
      <c r="AA6" s="3246"/>
      <c r="AB6" s="3246"/>
      <c r="AC6" s="3215"/>
    </row>
    <row r="7" spans="1:29" s="117" customFormat="1" ht="1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8" t="s">
        <v>2538</v>
      </c>
      <c r="Q7" s="3241"/>
      <c r="R7" s="769" t="s">
        <v>17</v>
      </c>
      <c r="S7" s="770">
        <f t="shared" ref="S7:S15" si="0">F7</f>
        <v>100</v>
      </c>
      <c r="T7" s="769" t="s">
        <v>17</v>
      </c>
      <c r="U7" s="770">
        <f t="shared" ref="U7:U15" si="1">H7</f>
        <v>100</v>
      </c>
      <c r="V7" s="769" t="s">
        <v>17</v>
      </c>
      <c r="W7" s="770">
        <f t="shared" ref="W7:W15" si="2">J7</f>
        <v>100</v>
      </c>
      <c r="X7" s="771"/>
      <c r="Y7" s="3240" t="s">
        <v>2538</v>
      </c>
      <c r="Z7" s="3239"/>
      <c r="AA7" s="772">
        <f>D7/F7</f>
        <v>1</v>
      </c>
      <c r="AB7" s="772">
        <f>D7/H7</f>
        <v>1</v>
      </c>
      <c r="AC7" s="2666">
        <f>D7/J7</f>
        <v>1</v>
      </c>
    </row>
    <row r="8" spans="1:29" s="117" customFormat="1" ht="15" thickBot="1">
      <c r="A8" s="408" t="s">
        <v>2539</v>
      </c>
      <c r="B8" s="409"/>
      <c r="C8" s="414" t="s">
        <v>2576</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8" t="s">
        <v>2541</v>
      </c>
      <c r="Q8" s="3239"/>
      <c r="R8" s="769" t="s">
        <v>17</v>
      </c>
      <c r="S8" s="770">
        <f t="shared" si="0"/>
        <v>100</v>
      </c>
      <c r="T8" s="769" t="s">
        <v>17</v>
      </c>
      <c r="U8" s="770">
        <f t="shared" si="1"/>
        <v>100</v>
      </c>
      <c r="V8" s="769" t="s">
        <v>17</v>
      </c>
      <c r="W8" s="770">
        <f t="shared" si="2"/>
        <v>100</v>
      </c>
      <c r="X8" s="771"/>
      <c r="Y8" s="3240" t="s">
        <v>2541</v>
      </c>
      <c r="Z8" s="3239"/>
      <c r="AA8" s="772">
        <f t="shared" ref="AA8:AA47" si="3">D8/F8</f>
        <v>1</v>
      </c>
      <c r="AB8" s="772">
        <f t="shared" ref="AB8:AB47" si="4">D8/H8</f>
        <v>1</v>
      </c>
      <c r="AC8" s="2666">
        <f t="shared" ref="AC8:AC47" si="5">D8/J8</f>
        <v>1</v>
      </c>
    </row>
    <row r="9" spans="1:29" s="117" customFormat="1" ht="14.4">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98" t="s">
        <v>2544</v>
      </c>
      <c r="Q9" s="2945" t="str">
        <f t="shared" ref="Q9:Q15" si="6">B9</f>
        <v>用途</v>
      </c>
      <c r="R9" s="769" t="s">
        <v>17</v>
      </c>
      <c r="S9" s="770">
        <f t="shared" si="0"/>
        <v>100</v>
      </c>
      <c r="T9" s="769" t="s">
        <v>17</v>
      </c>
      <c r="U9" s="770">
        <f t="shared" si="1"/>
        <v>100</v>
      </c>
      <c r="V9" s="769" t="s">
        <v>17</v>
      </c>
      <c r="W9" s="770">
        <f t="shared" si="2"/>
        <v>100</v>
      </c>
      <c r="X9" s="771"/>
      <c r="Y9" s="3048" t="s">
        <v>2545</v>
      </c>
      <c r="Z9" s="2946" t="str">
        <f t="shared" ref="Z9:Z15" si="7">Q9</f>
        <v>用途</v>
      </c>
      <c r="AA9" s="772">
        <f t="shared" si="3"/>
        <v>1</v>
      </c>
      <c r="AB9" s="772">
        <f t="shared" si="4"/>
        <v>1</v>
      </c>
      <c r="AC9" s="2666">
        <f t="shared" si="5"/>
        <v>1</v>
      </c>
    </row>
    <row r="10" spans="1:29" s="427" customFormat="1" ht="28.8">
      <c r="A10" s="421"/>
      <c r="B10" s="2947"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198"/>
      <c r="Q10" s="2945" t="str">
        <f t="shared" si="6"/>
        <v>土地使用年限（年）</v>
      </c>
      <c r="R10" s="769" t="s">
        <v>17</v>
      </c>
      <c r="S10" s="770">
        <f t="shared" si="0"/>
        <v>100</v>
      </c>
      <c r="T10" s="769" t="s">
        <v>17</v>
      </c>
      <c r="U10" s="770">
        <f t="shared" si="1"/>
        <v>100</v>
      </c>
      <c r="V10" s="769" t="s">
        <v>17</v>
      </c>
      <c r="W10" s="770">
        <f t="shared" si="2"/>
        <v>100</v>
      </c>
      <c r="X10" s="771"/>
      <c r="Y10" s="3048"/>
      <c r="Z10" s="2946" t="str">
        <f t="shared" si="7"/>
        <v>土地使用年限（年）</v>
      </c>
      <c r="AA10" s="772">
        <f t="shared" si="3"/>
        <v>1</v>
      </c>
      <c r="AB10" s="772">
        <f t="shared" si="4"/>
        <v>1</v>
      </c>
      <c r="AC10" s="2666">
        <f t="shared" si="5"/>
        <v>1</v>
      </c>
    </row>
    <row r="11" spans="1:29" ht="1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198"/>
      <c r="Q11" s="2945" t="str">
        <f t="shared" si="6"/>
        <v>容积率</v>
      </c>
      <c r="R11" s="769" t="s">
        <v>17</v>
      </c>
      <c r="S11" s="770">
        <f t="shared" si="0"/>
        <v>100</v>
      </c>
      <c r="T11" s="769" t="s">
        <v>17</v>
      </c>
      <c r="U11" s="770">
        <f t="shared" si="1"/>
        <v>100</v>
      </c>
      <c r="V11" s="769" t="s">
        <v>17</v>
      </c>
      <c r="W11" s="770">
        <f t="shared" si="2"/>
        <v>100</v>
      </c>
      <c r="X11" s="771"/>
      <c r="Y11" s="3048"/>
      <c r="Z11" s="2946"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198"/>
      <c r="Q12" s="2945">
        <f t="shared" si="6"/>
        <v>0</v>
      </c>
      <c r="R12" s="769" t="s">
        <v>17</v>
      </c>
      <c r="S12" s="770">
        <f t="shared" si="0"/>
        <v>100</v>
      </c>
      <c r="T12" s="769" t="s">
        <v>17</v>
      </c>
      <c r="U12" s="770">
        <f t="shared" si="1"/>
        <v>100</v>
      </c>
      <c r="V12" s="769" t="s">
        <v>17</v>
      </c>
      <c r="W12" s="770">
        <f t="shared" si="2"/>
        <v>100</v>
      </c>
      <c r="X12" s="771"/>
      <c r="Y12" s="3048"/>
      <c r="Z12" s="2946">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198"/>
      <c r="Q13" s="2945">
        <f t="shared" si="6"/>
        <v>0</v>
      </c>
      <c r="R13" s="769" t="s">
        <v>17</v>
      </c>
      <c r="S13" s="770">
        <f t="shared" si="0"/>
        <v>100</v>
      </c>
      <c r="T13" s="769" t="s">
        <v>17</v>
      </c>
      <c r="U13" s="770">
        <f t="shared" si="1"/>
        <v>100</v>
      </c>
      <c r="V13" s="769" t="s">
        <v>17</v>
      </c>
      <c r="W13" s="770">
        <f t="shared" si="2"/>
        <v>100</v>
      </c>
      <c r="X13" s="771"/>
      <c r="Y13" s="3048"/>
      <c r="Z13" s="2946">
        <f t="shared" si="7"/>
        <v>0</v>
      </c>
      <c r="AA13" s="772">
        <f t="shared" si="3"/>
        <v>1</v>
      </c>
      <c r="AB13" s="772">
        <f t="shared" si="4"/>
        <v>1</v>
      </c>
      <c r="AC13" s="2666">
        <f t="shared" si="5"/>
        <v>1</v>
      </c>
    </row>
    <row r="14" spans="1:29" ht="15.6"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198"/>
      <c r="Q14" s="2945">
        <f t="shared" si="6"/>
        <v>0</v>
      </c>
      <c r="R14" s="769" t="s">
        <v>17</v>
      </c>
      <c r="S14" s="770">
        <f t="shared" si="0"/>
        <v>100</v>
      </c>
      <c r="T14" s="769" t="s">
        <v>17</v>
      </c>
      <c r="U14" s="770">
        <f t="shared" si="1"/>
        <v>100</v>
      </c>
      <c r="V14" s="769" t="s">
        <v>17</v>
      </c>
      <c r="W14" s="770">
        <f t="shared" si="2"/>
        <v>100</v>
      </c>
      <c r="X14" s="771"/>
      <c r="Y14" s="3048"/>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04" t="s">
        <v>2549</v>
      </c>
      <c r="Q15" s="2949" t="str">
        <f t="shared" si="6"/>
        <v>办公集聚程度</v>
      </c>
      <c r="R15" s="773" t="s">
        <v>17</v>
      </c>
      <c r="S15" s="774">
        <f t="shared" si="0"/>
        <v>100</v>
      </c>
      <c r="T15" s="773" t="s">
        <v>17</v>
      </c>
      <c r="U15" s="774">
        <f t="shared" si="1"/>
        <v>100</v>
      </c>
      <c r="V15" s="773" t="s">
        <v>17</v>
      </c>
      <c r="W15" s="774">
        <f t="shared" si="2"/>
        <v>100</v>
      </c>
      <c r="X15" s="2951"/>
      <c r="Y15" s="3206" t="s">
        <v>2549</v>
      </c>
      <c r="Z15" s="2952" t="str">
        <f t="shared" si="7"/>
        <v>办公集聚程度</v>
      </c>
      <c r="AA15" s="2950">
        <f t="shared" si="3"/>
        <v>1</v>
      </c>
      <c r="AB15" s="2950">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05"/>
      <c r="Q16" s="2949"/>
      <c r="R16" s="773"/>
      <c r="S16" s="774"/>
      <c r="T16" s="773"/>
      <c r="U16" s="774"/>
      <c r="V16" s="773"/>
      <c r="W16" s="774"/>
      <c r="X16" s="2951"/>
      <c r="Y16" s="3207"/>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05"/>
      <c r="Q17" s="2949" t="str">
        <f>B17</f>
        <v>交通便捷度</v>
      </c>
      <c r="R17" s="773" t="s">
        <v>17</v>
      </c>
      <c r="S17" s="774">
        <f>F17</f>
        <v>100</v>
      </c>
      <c r="T17" s="773" t="s">
        <v>17</v>
      </c>
      <c r="U17" s="774">
        <f>H17</f>
        <v>100</v>
      </c>
      <c r="V17" s="773" t="s">
        <v>17</v>
      </c>
      <c r="W17" s="774">
        <f>J17</f>
        <v>100</v>
      </c>
      <c r="X17" s="2951"/>
      <c r="Y17" s="3207"/>
      <c r="Z17" s="2952" t="str">
        <f>Q17</f>
        <v>交通便捷度</v>
      </c>
      <c r="AA17" s="2950">
        <f t="shared" si="3"/>
        <v>1</v>
      </c>
      <c r="AB17" s="2950">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05"/>
      <c r="Q18" s="2949"/>
      <c r="R18" s="773"/>
      <c r="S18" s="774"/>
      <c r="T18" s="773"/>
      <c r="U18" s="774"/>
      <c r="V18" s="773"/>
      <c r="W18" s="774"/>
      <c r="X18" s="2951"/>
      <c r="Y18" s="3207"/>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05"/>
      <c r="Q19" s="2949" t="str">
        <f>B19</f>
        <v>公共配套设施</v>
      </c>
      <c r="R19" s="773" t="s">
        <v>17</v>
      </c>
      <c r="S19" s="774">
        <f>F19</f>
        <v>100</v>
      </c>
      <c r="T19" s="773" t="s">
        <v>17</v>
      </c>
      <c r="U19" s="774">
        <f>H19</f>
        <v>100</v>
      </c>
      <c r="V19" s="773" t="s">
        <v>17</v>
      </c>
      <c r="W19" s="774">
        <f>J19</f>
        <v>100</v>
      </c>
      <c r="X19" s="2951"/>
      <c r="Y19" s="3207"/>
      <c r="Z19" s="2952" t="str">
        <f>Q19</f>
        <v>公共配套设施</v>
      </c>
      <c r="AA19" s="2950">
        <f t="shared" si="3"/>
        <v>1</v>
      </c>
      <c r="AB19" s="2950">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05"/>
      <c r="Q20" s="2949"/>
      <c r="R20" s="773"/>
      <c r="S20" s="774"/>
      <c r="T20" s="773"/>
      <c r="U20" s="774"/>
      <c r="V20" s="773"/>
      <c r="W20" s="774"/>
      <c r="X20" s="2951"/>
      <c r="Y20" s="3207"/>
      <c r="Z20" s="2952"/>
      <c r="AA20" s="2950">
        <v>1</v>
      </c>
      <c r="AB20" s="2950">
        <v>1</v>
      </c>
      <c r="AC20" s="2669">
        <v>1</v>
      </c>
    </row>
    <row r="21" spans="1:29" ht="1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05"/>
      <c r="Q21" s="2949" t="str">
        <f>B21</f>
        <v>基础设施水平</v>
      </c>
      <c r="R21" s="773" t="s">
        <v>17</v>
      </c>
      <c r="S21" s="774">
        <f>F21</f>
        <v>100</v>
      </c>
      <c r="T21" s="773" t="s">
        <v>17</v>
      </c>
      <c r="U21" s="774">
        <f>H21</f>
        <v>100</v>
      </c>
      <c r="V21" s="773" t="s">
        <v>17</v>
      </c>
      <c r="W21" s="774">
        <f>J21</f>
        <v>100</v>
      </c>
      <c r="X21" s="2951"/>
      <c r="Y21" s="3207"/>
      <c r="Z21" s="2952" t="str">
        <f>Q21</f>
        <v>基础设施水平</v>
      </c>
      <c r="AA21" s="2950">
        <f t="shared" ref="AA21" si="8">D21/F21</f>
        <v>1</v>
      </c>
      <c r="AB21" s="2950">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05"/>
      <c r="Q22" s="2949"/>
      <c r="R22" s="773"/>
      <c r="S22" s="774"/>
      <c r="T22" s="773"/>
      <c r="U22" s="774"/>
      <c r="V22" s="773"/>
      <c r="W22" s="774"/>
      <c r="X22" s="2951"/>
      <c r="Y22" s="3207"/>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05"/>
      <c r="Q23" s="2949" t="str">
        <f>B23</f>
        <v>环境质量</v>
      </c>
      <c r="R23" s="773" t="s">
        <v>17</v>
      </c>
      <c r="S23" s="774">
        <f>F23</f>
        <v>100</v>
      </c>
      <c r="T23" s="773" t="s">
        <v>17</v>
      </c>
      <c r="U23" s="774">
        <f>H23</f>
        <v>100</v>
      </c>
      <c r="V23" s="773" t="s">
        <v>17</v>
      </c>
      <c r="W23" s="774">
        <f>J23</f>
        <v>100</v>
      </c>
      <c r="X23" s="2951"/>
      <c r="Y23" s="3207"/>
      <c r="Z23" s="2952" t="str">
        <f>Q23</f>
        <v>环境质量</v>
      </c>
      <c r="AA23" s="2950">
        <f t="shared" si="3"/>
        <v>1</v>
      </c>
      <c r="AB23" s="2950">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05"/>
      <c r="Q24" s="2949"/>
      <c r="R24" s="773"/>
      <c r="S24" s="774"/>
      <c r="T24" s="773"/>
      <c r="U24" s="774"/>
      <c r="V24" s="773"/>
      <c r="W24" s="774"/>
      <c r="X24" s="2951"/>
      <c r="Y24" s="3207"/>
      <c r="Z24" s="2952"/>
      <c r="AA24" s="2950">
        <v>1</v>
      </c>
      <c r="AB24" s="2950">
        <v>1</v>
      </c>
      <c r="AC24" s="2669">
        <v>1</v>
      </c>
    </row>
    <row r="25" spans="1:29" ht="28.8">
      <c r="A25" s="404"/>
      <c r="B25" s="631" t="s">
        <v>2680</v>
      </c>
      <c r="C25" s="2963" t="s">
        <v>3119</v>
      </c>
      <c r="D25" s="435">
        <v>100</v>
      </c>
      <c r="E25" s="2963" t="s">
        <v>3136</v>
      </c>
      <c r="F25" s="435">
        <f>SUMIF(87:87,E26,88:88)-SUMIF(87:87,C26,88:88)+100</f>
        <v>98</v>
      </c>
      <c r="G25" s="2993" t="s">
        <v>3119</v>
      </c>
      <c r="H25" s="435">
        <f>SUMIF(87:87,G26,88:88)-SUMIF(87:87,C26,88:88)+100</f>
        <v>100</v>
      </c>
      <c r="I25" s="2963" t="s">
        <v>3125</v>
      </c>
      <c r="J25" s="435">
        <f>SUMIF(87:87,I26,88:88)-SUMIF(87:87,C26,88:88)+100</f>
        <v>98</v>
      </c>
      <c r="K25" s="614">
        <v>1</v>
      </c>
      <c r="L25" s="1139"/>
      <c r="M25" s="1130"/>
      <c r="N25" s="1130"/>
      <c r="O25" s="1130"/>
      <c r="P25" s="3205"/>
      <c r="Q25" s="2949" t="str">
        <f>B25</f>
        <v>毗邻道路的类型与等级</v>
      </c>
      <c r="R25" s="773" t="s">
        <v>17</v>
      </c>
      <c r="S25" s="774">
        <f>F25</f>
        <v>98</v>
      </c>
      <c r="T25" s="773" t="s">
        <v>17</v>
      </c>
      <c r="U25" s="774">
        <f>H25</f>
        <v>100</v>
      </c>
      <c r="V25" s="773" t="s">
        <v>17</v>
      </c>
      <c r="W25" s="774">
        <f>J25</f>
        <v>98</v>
      </c>
      <c r="X25" s="2951"/>
      <c r="Y25" s="3207"/>
      <c r="Z25" s="2952" t="str">
        <f>Q25</f>
        <v>毗邻道路的类型与等级</v>
      </c>
      <c r="AA25" s="2950">
        <f t="shared" si="3"/>
        <v>1.0204081632653061</v>
      </c>
      <c r="AB25" s="2950">
        <f t="shared" si="4"/>
        <v>1</v>
      </c>
      <c r="AC25" s="2669">
        <f t="shared" si="5"/>
        <v>1.0204081632653061</v>
      </c>
    </row>
    <row r="26" spans="1:29" ht="15">
      <c r="A26" s="404"/>
      <c r="B26" s="632"/>
      <c r="C26" s="634" t="s">
        <v>3085</v>
      </c>
      <c r="D26" s="435"/>
      <c r="E26" s="616" t="s">
        <v>3088</v>
      </c>
      <c r="F26" s="435"/>
      <c r="G26" s="634" t="s">
        <v>3085</v>
      </c>
      <c r="H26" s="435"/>
      <c r="I26" s="616" t="s">
        <v>3088</v>
      </c>
      <c r="J26" s="435"/>
      <c r="K26" s="615"/>
      <c r="L26" s="1139"/>
      <c r="M26" s="1130"/>
      <c r="N26" s="1130"/>
      <c r="O26" s="1130"/>
      <c r="P26" s="3205"/>
      <c r="Q26" s="2949"/>
      <c r="R26" s="773"/>
      <c r="S26" s="774"/>
      <c r="T26" s="773"/>
      <c r="U26" s="774"/>
      <c r="V26" s="773"/>
      <c r="W26" s="774"/>
      <c r="X26" s="2951"/>
      <c r="Y26" s="3207"/>
      <c r="Z26" s="2952"/>
      <c r="AA26" s="2950">
        <v>1</v>
      </c>
      <c r="AB26" s="2950">
        <v>1</v>
      </c>
      <c r="AC26" s="2669">
        <v>1</v>
      </c>
    </row>
    <row r="27" spans="1:29" ht="15">
      <c r="A27" s="428"/>
      <c r="B27" s="632" t="s">
        <v>2648</v>
      </c>
      <c r="C27" s="634" t="s">
        <v>3091</v>
      </c>
      <c r="D27" s="435">
        <v>100</v>
      </c>
      <c r="E27" s="616" t="s">
        <v>3093</v>
      </c>
      <c r="F27" s="435">
        <f>SUMIF(89:89,E27,90:90)-SUMIF(89:89,C27,90:90)+100</f>
        <v>99</v>
      </c>
      <c r="G27" s="634" t="s">
        <v>3063</v>
      </c>
      <c r="H27" s="435">
        <f>SUMIF(89:89,G27,90:90)-SUMIF(89:89,C27,90:90)+100</f>
        <v>98</v>
      </c>
      <c r="I27" s="616" t="s">
        <v>3091</v>
      </c>
      <c r="J27" s="435">
        <f>SUMIF(89:89,I27,90:90)-SUMIF(89:89,C27,90:90)+100</f>
        <v>100</v>
      </c>
      <c r="K27" s="612">
        <v>1</v>
      </c>
      <c r="L27" s="1139"/>
      <c r="M27" s="1130"/>
      <c r="N27" s="1130"/>
      <c r="O27" s="1130"/>
      <c r="P27" s="3205"/>
      <c r="Q27" s="2949" t="str">
        <f t="shared" ref="Q27:Q47" si="11">B27</f>
        <v>楼层</v>
      </c>
      <c r="R27" s="773" t="s">
        <v>17</v>
      </c>
      <c r="S27" s="774">
        <f>F27</f>
        <v>99</v>
      </c>
      <c r="T27" s="773" t="s">
        <v>17</v>
      </c>
      <c r="U27" s="774">
        <f>H27</f>
        <v>98</v>
      </c>
      <c r="V27" s="773" t="s">
        <v>17</v>
      </c>
      <c r="W27" s="774">
        <f>J27</f>
        <v>100</v>
      </c>
      <c r="X27" s="2951"/>
      <c r="Y27" s="3207"/>
      <c r="Z27" s="2952" t="str">
        <f>Q27</f>
        <v>楼层</v>
      </c>
      <c r="AA27" s="2950">
        <f t="shared" si="3"/>
        <v>1.0101010101010102</v>
      </c>
      <c r="AB27" s="2950">
        <f t="shared" si="4"/>
        <v>1.0204081632653061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05"/>
      <c r="Q28" s="2945" t="str">
        <f t="shared" si="11"/>
        <v>朝向</v>
      </c>
      <c r="R28" s="769" t="s">
        <v>17</v>
      </c>
      <c r="S28" s="770">
        <f>F28</f>
        <v>100</v>
      </c>
      <c r="T28" s="769" t="s">
        <v>17</v>
      </c>
      <c r="U28" s="770">
        <f>H28</f>
        <v>100</v>
      </c>
      <c r="V28" s="769" t="s">
        <v>17</v>
      </c>
      <c r="W28" s="770">
        <f>J28</f>
        <v>100</v>
      </c>
      <c r="X28" s="771"/>
      <c r="Y28" s="3207"/>
      <c r="Z28" s="2946" t="str">
        <f>Q28</f>
        <v>朝向</v>
      </c>
      <c r="AA28" s="2950">
        <f>D28/F28</f>
        <v>1</v>
      </c>
      <c r="AB28" s="2950">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05"/>
      <c r="Q29" s="2949">
        <f t="shared" si="11"/>
        <v>0</v>
      </c>
      <c r="R29" s="773" t="s">
        <v>17</v>
      </c>
      <c r="S29" s="774">
        <f t="shared" ref="S29:S47" si="12">F29</f>
        <v>100</v>
      </c>
      <c r="T29" s="773" t="s">
        <v>17</v>
      </c>
      <c r="U29" s="774">
        <f t="shared" ref="U29:U47" si="13">H29</f>
        <v>100</v>
      </c>
      <c r="V29" s="773" t="s">
        <v>17</v>
      </c>
      <c r="W29" s="774">
        <f t="shared" ref="W29:W47" si="14">J29</f>
        <v>100</v>
      </c>
      <c r="X29" s="2951"/>
      <c r="Y29" s="3207"/>
      <c r="Z29" s="2952">
        <f t="shared" ref="Z29:Z47" si="15">Q29</f>
        <v>0</v>
      </c>
      <c r="AA29" s="2950">
        <f t="shared" si="3"/>
        <v>1</v>
      </c>
      <c r="AB29" s="2950">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05"/>
      <c r="Q30" s="2949">
        <f t="shared" si="11"/>
        <v>0</v>
      </c>
      <c r="R30" s="773" t="s">
        <v>17</v>
      </c>
      <c r="S30" s="774">
        <f t="shared" si="12"/>
        <v>100</v>
      </c>
      <c r="T30" s="773" t="s">
        <v>17</v>
      </c>
      <c r="U30" s="774">
        <f t="shared" si="13"/>
        <v>100</v>
      </c>
      <c r="V30" s="773" t="s">
        <v>17</v>
      </c>
      <c r="W30" s="774">
        <f t="shared" si="14"/>
        <v>100</v>
      </c>
      <c r="X30" s="2951"/>
      <c r="Y30" s="3207"/>
      <c r="Z30" s="2952">
        <f t="shared" si="15"/>
        <v>0</v>
      </c>
      <c r="AA30" s="2950">
        <f t="shared" si="3"/>
        <v>1</v>
      </c>
      <c r="AB30" s="2950">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05"/>
      <c r="Q31" s="2949">
        <f t="shared" si="11"/>
        <v>0</v>
      </c>
      <c r="R31" s="773" t="s">
        <v>17</v>
      </c>
      <c r="S31" s="774">
        <f t="shared" si="12"/>
        <v>100</v>
      </c>
      <c r="T31" s="773" t="s">
        <v>17</v>
      </c>
      <c r="U31" s="774">
        <f t="shared" si="13"/>
        <v>100</v>
      </c>
      <c r="V31" s="773" t="s">
        <v>17</v>
      </c>
      <c r="W31" s="774">
        <f t="shared" si="14"/>
        <v>100</v>
      </c>
      <c r="X31" s="2951"/>
      <c r="Y31" s="3207"/>
      <c r="Z31" s="2952">
        <f t="shared" si="15"/>
        <v>0</v>
      </c>
      <c r="AA31" s="2950">
        <f t="shared" si="3"/>
        <v>1</v>
      </c>
      <c r="AB31" s="2950">
        <f t="shared" si="4"/>
        <v>1</v>
      </c>
      <c r="AC31" s="2669">
        <f t="shared" si="5"/>
        <v>1</v>
      </c>
    </row>
    <row r="32" spans="1:29" ht="15.6"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05"/>
      <c r="Q32" s="2949">
        <f t="shared" si="11"/>
        <v>0</v>
      </c>
      <c r="R32" s="773" t="s">
        <v>17</v>
      </c>
      <c r="S32" s="774">
        <f t="shared" si="12"/>
        <v>100</v>
      </c>
      <c r="T32" s="773" t="s">
        <v>17</v>
      </c>
      <c r="U32" s="774">
        <f t="shared" si="13"/>
        <v>100</v>
      </c>
      <c r="V32" s="773" t="s">
        <v>17</v>
      </c>
      <c r="W32" s="774">
        <f t="shared" si="14"/>
        <v>100</v>
      </c>
      <c r="X32" s="2951"/>
      <c r="Y32" s="3207"/>
      <c r="Z32" s="2952">
        <f t="shared" si="15"/>
        <v>0</v>
      </c>
      <c r="AA32" s="2950">
        <f t="shared" si="3"/>
        <v>1</v>
      </c>
      <c r="AB32" s="2950">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08" t="s">
        <v>2554</v>
      </c>
      <c r="Q33" s="2949" t="str">
        <f t="shared" si="11"/>
        <v>建筑类型</v>
      </c>
      <c r="R33" s="773" t="s">
        <v>17</v>
      </c>
      <c r="S33" s="774">
        <f t="shared" si="12"/>
        <v>100</v>
      </c>
      <c r="T33" s="773" t="s">
        <v>17</v>
      </c>
      <c r="U33" s="774">
        <f t="shared" si="13"/>
        <v>100</v>
      </c>
      <c r="V33" s="773" t="s">
        <v>17</v>
      </c>
      <c r="W33" s="774">
        <f t="shared" si="14"/>
        <v>100</v>
      </c>
      <c r="X33" s="2951"/>
      <c r="Y33" s="3211" t="s">
        <v>2554</v>
      </c>
      <c r="Z33" s="2952" t="str">
        <f t="shared" si="15"/>
        <v>建筑类型</v>
      </c>
      <c r="AA33" s="2950">
        <f t="shared" si="3"/>
        <v>1</v>
      </c>
      <c r="AB33" s="2950">
        <f t="shared" si="4"/>
        <v>1</v>
      </c>
      <c r="AC33" s="2669">
        <f t="shared" si="5"/>
        <v>1</v>
      </c>
    </row>
    <row r="34" spans="1:29" s="471" customFormat="1" ht="1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09"/>
      <c r="Q34" s="775" t="str">
        <f t="shared" si="11"/>
        <v>项目建筑规模</v>
      </c>
      <c r="R34" s="776" t="s">
        <v>17</v>
      </c>
      <c r="S34" s="777">
        <f t="shared" si="12"/>
        <v>100</v>
      </c>
      <c r="T34" s="776" t="s">
        <v>17</v>
      </c>
      <c r="U34" s="777">
        <f t="shared" si="13"/>
        <v>102</v>
      </c>
      <c r="V34" s="776" t="s">
        <v>17</v>
      </c>
      <c r="W34" s="777">
        <f t="shared" si="14"/>
        <v>100</v>
      </c>
      <c r="X34" s="778"/>
      <c r="Y34" s="3211"/>
      <c r="Z34" s="779" t="str">
        <f t="shared" si="15"/>
        <v>项目建筑规模</v>
      </c>
      <c r="AA34" s="2950">
        <f t="shared" si="3"/>
        <v>1</v>
      </c>
      <c r="AB34" s="2950">
        <f t="shared" si="4"/>
        <v>0.98039215686274506</v>
      </c>
      <c r="AC34" s="2669">
        <f t="shared" si="5"/>
        <v>1</v>
      </c>
    </row>
    <row r="35" spans="1:29" ht="15">
      <c r="A35" s="472"/>
      <c r="B35" s="2947"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09"/>
      <c r="Q35" s="2949" t="str">
        <f t="shared" si="11"/>
        <v>建筑结构</v>
      </c>
      <c r="R35" s="773" t="s">
        <v>17</v>
      </c>
      <c r="S35" s="774">
        <f t="shared" si="12"/>
        <v>100</v>
      </c>
      <c r="T35" s="773" t="s">
        <v>17</v>
      </c>
      <c r="U35" s="774">
        <f t="shared" si="13"/>
        <v>100</v>
      </c>
      <c r="V35" s="773" t="s">
        <v>17</v>
      </c>
      <c r="W35" s="774">
        <f t="shared" si="14"/>
        <v>100</v>
      </c>
      <c r="X35" s="2951"/>
      <c r="Y35" s="3211"/>
      <c r="Z35" s="2952" t="str">
        <f t="shared" si="15"/>
        <v>建筑结构</v>
      </c>
      <c r="AA35" s="2950">
        <f t="shared" si="3"/>
        <v>1</v>
      </c>
      <c r="AB35" s="2950">
        <f t="shared" si="4"/>
        <v>1</v>
      </c>
      <c r="AC35" s="2669">
        <f t="shared" si="5"/>
        <v>1</v>
      </c>
    </row>
    <row r="36" spans="1:29" ht="15">
      <c r="A36" s="472"/>
      <c r="B36" s="2947" t="s">
        <v>2650</v>
      </c>
      <c r="C36" s="460" t="s">
        <v>3100</v>
      </c>
      <c r="D36" s="435">
        <v>100</v>
      </c>
      <c r="E36" s="460" t="s">
        <v>3100</v>
      </c>
      <c r="F36" s="461">
        <f>SUMIF(108:108,E36,109:109)-SUMIF(108:108,C36,109:109)+100</f>
        <v>100</v>
      </c>
      <c r="G36" s="460" t="s">
        <v>3100</v>
      </c>
      <c r="H36" s="435">
        <f>SUMIF(108:108,G36,109:109)-SUMIF(108:108,C36,109:109)+100</f>
        <v>100</v>
      </c>
      <c r="I36" s="460" t="s">
        <v>3100</v>
      </c>
      <c r="J36" s="435">
        <f>SUMIF(108:108,I36,109:109)-SUMIF(108:108,C36,109:109)+100</f>
        <v>100</v>
      </c>
      <c r="K36" s="612">
        <v>1</v>
      </c>
      <c r="L36" s="1139"/>
      <c r="M36" s="1130"/>
      <c r="N36" s="1130"/>
      <c r="O36" s="1130"/>
      <c r="P36" s="3209"/>
      <c r="Q36" s="2949" t="str">
        <f t="shared" si="11"/>
        <v>公共部分装修</v>
      </c>
      <c r="R36" s="773" t="s">
        <v>17</v>
      </c>
      <c r="S36" s="774">
        <f t="shared" si="12"/>
        <v>100</v>
      </c>
      <c r="T36" s="773" t="s">
        <v>17</v>
      </c>
      <c r="U36" s="774">
        <f t="shared" si="13"/>
        <v>100</v>
      </c>
      <c r="V36" s="773" t="s">
        <v>17</v>
      </c>
      <c r="W36" s="774">
        <f t="shared" si="14"/>
        <v>100</v>
      </c>
      <c r="X36" s="2951"/>
      <c r="Y36" s="3211"/>
      <c r="Z36" s="2952" t="str">
        <f t="shared" si="15"/>
        <v>公共部分装修</v>
      </c>
      <c r="AA36" s="2950">
        <f t="shared" si="3"/>
        <v>1</v>
      </c>
      <c r="AB36" s="2950">
        <f t="shared" si="4"/>
        <v>1</v>
      </c>
      <c r="AC36" s="2669">
        <f t="shared" si="5"/>
        <v>1</v>
      </c>
    </row>
    <row r="37" spans="1:29" ht="15">
      <c r="A37" s="472"/>
      <c r="B37" s="2947" t="s">
        <v>2651</v>
      </c>
      <c r="C37" s="474">
        <f>'数据-取费表'!N6</f>
        <v>0.92</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09"/>
      <c r="Q37" s="2949" t="str">
        <f t="shared" si="11"/>
        <v>成新度</v>
      </c>
      <c r="R37" s="773" t="s">
        <v>17</v>
      </c>
      <c r="S37" s="774">
        <f t="shared" si="12"/>
        <v>100</v>
      </c>
      <c r="T37" s="773" t="s">
        <v>17</v>
      </c>
      <c r="U37" s="774">
        <f t="shared" si="13"/>
        <v>100</v>
      </c>
      <c r="V37" s="773" t="s">
        <v>17</v>
      </c>
      <c r="W37" s="774">
        <f t="shared" si="14"/>
        <v>100</v>
      </c>
      <c r="X37" s="2951"/>
      <c r="Y37" s="3211"/>
      <c r="Z37" s="2952" t="str">
        <f t="shared" si="15"/>
        <v>成新度</v>
      </c>
      <c r="AA37" s="2950">
        <f t="shared" si="3"/>
        <v>1</v>
      </c>
      <c r="AB37" s="2950">
        <f t="shared" si="4"/>
        <v>1</v>
      </c>
      <c r="AC37" s="2669">
        <f t="shared" si="5"/>
        <v>1</v>
      </c>
    </row>
    <row r="38" spans="1:29" s="117" customFormat="1" ht="15">
      <c r="A38" s="473"/>
      <c r="B38" s="2947"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09"/>
      <c r="Q38" s="2945" t="str">
        <f t="shared" si="11"/>
        <v>写字楼等级</v>
      </c>
      <c r="R38" s="769" t="s">
        <v>17</v>
      </c>
      <c r="S38" s="770">
        <f t="shared" si="12"/>
        <v>100</v>
      </c>
      <c r="T38" s="769" t="s">
        <v>17</v>
      </c>
      <c r="U38" s="770">
        <f t="shared" si="13"/>
        <v>100</v>
      </c>
      <c r="V38" s="769" t="s">
        <v>17</v>
      </c>
      <c r="W38" s="770">
        <f t="shared" si="14"/>
        <v>100</v>
      </c>
      <c r="X38" s="771"/>
      <c r="Y38" s="3211"/>
      <c r="Z38" s="2946" t="str">
        <f t="shared" si="15"/>
        <v>写字楼等级</v>
      </c>
      <c r="AA38" s="772">
        <f t="shared" si="3"/>
        <v>1</v>
      </c>
      <c r="AB38" s="772">
        <f t="shared" si="4"/>
        <v>1</v>
      </c>
      <c r="AC38" s="2666">
        <f t="shared" si="5"/>
        <v>1</v>
      </c>
    </row>
    <row r="39" spans="1:29" ht="15">
      <c r="A39" s="472"/>
      <c r="B39" s="2947"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09" t="s">
        <v>2554</v>
      </c>
      <c r="Q39" s="2949" t="str">
        <f t="shared" si="11"/>
        <v>物业管理</v>
      </c>
      <c r="R39" s="773" t="s">
        <v>17</v>
      </c>
      <c r="S39" s="774">
        <f t="shared" si="12"/>
        <v>100</v>
      </c>
      <c r="T39" s="773" t="s">
        <v>17</v>
      </c>
      <c r="U39" s="774">
        <f t="shared" si="13"/>
        <v>100</v>
      </c>
      <c r="V39" s="773" t="s">
        <v>17</v>
      </c>
      <c r="W39" s="774">
        <f t="shared" si="14"/>
        <v>100</v>
      </c>
      <c r="X39" s="2951"/>
      <c r="Y39" s="3211" t="s">
        <v>2554</v>
      </c>
      <c r="Z39" s="2952" t="str">
        <f t="shared" si="15"/>
        <v>物业管理</v>
      </c>
      <c r="AA39" s="2950">
        <f t="shared" si="3"/>
        <v>1</v>
      </c>
      <c r="AB39" s="2950">
        <f t="shared" si="4"/>
        <v>1</v>
      </c>
      <c r="AC39" s="2669">
        <f t="shared" si="5"/>
        <v>1</v>
      </c>
    </row>
    <row r="40" spans="1:29" ht="15">
      <c r="A40" s="472"/>
      <c r="B40" s="2947"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09"/>
      <c r="Q40" s="2949" t="str">
        <f t="shared" si="11"/>
        <v>市政基础设施</v>
      </c>
      <c r="R40" s="773" t="s">
        <v>17</v>
      </c>
      <c r="S40" s="774">
        <f t="shared" si="12"/>
        <v>100</v>
      </c>
      <c r="T40" s="773" t="s">
        <v>17</v>
      </c>
      <c r="U40" s="774">
        <f t="shared" si="13"/>
        <v>100</v>
      </c>
      <c r="V40" s="773" t="s">
        <v>17</v>
      </c>
      <c r="W40" s="774">
        <f t="shared" si="14"/>
        <v>100</v>
      </c>
      <c r="X40" s="2951"/>
      <c r="Y40" s="3211"/>
      <c r="Z40" s="2952" t="str">
        <f t="shared" si="15"/>
        <v>市政基础设施</v>
      </c>
      <c r="AA40" s="2950">
        <f t="shared" si="3"/>
        <v>1</v>
      </c>
      <c r="AB40" s="2950">
        <f t="shared" si="4"/>
        <v>1</v>
      </c>
      <c r="AC40" s="2669">
        <f t="shared" si="5"/>
        <v>1</v>
      </c>
    </row>
    <row r="41" spans="1:29" ht="15">
      <c r="A41" s="472"/>
      <c r="B41" s="2947"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09"/>
      <c r="Q41" s="2949" t="str">
        <f t="shared" si="11"/>
        <v>层高</v>
      </c>
      <c r="R41" s="773" t="s">
        <v>17</v>
      </c>
      <c r="S41" s="774">
        <f t="shared" si="12"/>
        <v>100</v>
      </c>
      <c r="T41" s="773" t="s">
        <v>17</v>
      </c>
      <c r="U41" s="774">
        <f t="shared" si="13"/>
        <v>100</v>
      </c>
      <c r="V41" s="773" t="s">
        <v>17</v>
      </c>
      <c r="W41" s="774">
        <f t="shared" si="14"/>
        <v>100</v>
      </c>
      <c r="X41" s="2951"/>
      <c r="Y41" s="3211"/>
      <c r="Z41" s="2952" t="str">
        <f t="shared" si="15"/>
        <v>层高</v>
      </c>
      <c r="AA41" s="2950">
        <f t="shared" si="3"/>
        <v>1</v>
      </c>
      <c r="AB41" s="2950">
        <f t="shared" si="4"/>
        <v>1</v>
      </c>
      <c r="AC41" s="2669">
        <f t="shared" si="5"/>
        <v>1</v>
      </c>
    </row>
    <row r="42" spans="1:29" s="471" customFormat="1" ht="1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2950">
        <f t="shared" si="3"/>
        <v>1</v>
      </c>
      <c r="AB42" s="2950">
        <f t="shared" si="4"/>
        <v>1</v>
      </c>
      <c r="AC42" s="2669">
        <f t="shared" si="5"/>
        <v>1</v>
      </c>
    </row>
    <row r="43" spans="1:29" ht="15">
      <c r="A43" s="472"/>
      <c r="B43" s="2947" t="s">
        <v>2657</v>
      </c>
      <c r="C43" s="460" t="s">
        <v>3100</v>
      </c>
      <c r="D43" s="435">
        <v>100</v>
      </c>
      <c r="E43" s="460" t="s">
        <v>3100</v>
      </c>
      <c r="F43" s="461">
        <f>SUMIF(123:123,E43,124:124)-SUMIF(123:123,C43,124:124)+100</f>
        <v>100</v>
      </c>
      <c r="G43" s="460" t="s">
        <v>3102</v>
      </c>
      <c r="H43" s="435">
        <f>SUMIF(123:123,G43,124:124)-SUMIF(123:123,C43,124:124)+100</f>
        <v>99</v>
      </c>
      <c r="I43" s="460" t="s">
        <v>3100</v>
      </c>
      <c r="J43" s="435">
        <f>SUMIF(123:123,I43,124:124)-SUMIF(123:123,C43,124:124)+100</f>
        <v>100</v>
      </c>
      <c r="K43" s="612">
        <v>1</v>
      </c>
      <c r="L43" s="1139"/>
      <c r="M43" s="1130"/>
      <c r="N43" s="1130"/>
      <c r="O43" s="1130"/>
      <c r="P43" s="3209"/>
      <c r="Q43" s="2949" t="str">
        <f t="shared" si="11"/>
        <v>内部装修</v>
      </c>
      <c r="R43" s="773" t="s">
        <v>17</v>
      </c>
      <c r="S43" s="774">
        <f t="shared" si="12"/>
        <v>100</v>
      </c>
      <c r="T43" s="773" t="s">
        <v>17</v>
      </c>
      <c r="U43" s="774">
        <f t="shared" si="13"/>
        <v>99</v>
      </c>
      <c r="V43" s="773" t="s">
        <v>17</v>
      </c>
      <c r="W43" s="774">
        <f t="shared" si="14"/>
        <v>100</v>
      </c>
      <c r="X43" s="2951"/>
      <c r="Y43" s="3211"/>
      <c r="Z43" s="2952" t="str">
        <f t="shared" si="15"/>
        <v>内部装修</v>
      </c>
      <c r="AA43" s="2950">
        <f t="shared" si="3"/>
        <v>1</v>
      </c>
      <c r="AB43" s="2950">
        <f t="shared" si="4"/>
        <v>1.0101010101010102</v>
      </c>
      <c r="AC43" s="2669">
        <f t="shared" si="5"/>
        <v>1</v>
      </c>
    </row>
    <row r="44" spans="1:29" ht="28.8">
      <c r="A44" s="472"/>
      <c r="B44" s="2947"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09"/>
      <c r="Q44" s="2949" t="str">
        <f t="shared" si="11"/>
        <v>内部装修维护情况</v>
      </c>
      <c r="R44" s="773" t="s">
        <v>17</v>
      </c>
      <c r="S44" s="774">
        <f t="shared" si="12"/>
        <v>100</v>
      </c>
      <c r="T44" s="773" t="s">
        <v>17</v>
      </c>
      <c r="U44" s="774">
        <f t="shared" si="13"/>
        <v>100</v>
      </c>
      <c r="V44" s="773" t="s">
        <v>17</v>
      </c>
      <c r="W44" s="774">
        <f t="shared" si="14"/>
        <v>100</v>
      </c>
      <c r="X44" s="2951"/>
      <c r="Y44" s="3211"/>
      <c r="Z44" s="2952" t="str">
        <f t="shared" si="15"/>
        <v>内部装修维护情况</v>
      </c>
      <c r="AA44" s="2950">
        <f t="shared" si="3"/>
        <v>1</v>
      </c>
      <c r="AB44" s="2950">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9"/>
      <c r="Q45" s="2945">
        <f t="shared" si="11"/>
        <v>0</v>
      </c>
      <c r="R45" s="769" t="s">
        <v>17</v>
      </c>
      <c r="S45" s="770">
        <f t="shared" si="12"/>
        <v>100</v>
      </c>
      <c r="T45" s="769" t="s">
        <v>17</v>
      </c>
      <c r="U45" s="770">
        <f t="shared" si="13"/>
        <v>100</v>
      </c>
      <c r="V45" s="769" t="s">
        <v>17</v>
      </c>
      <c r="W45" s="770">
        <f t="shared" si="14"/>
        <v>100</v>
      </c>
      <c r="X45" s="771"/>
      <c r="Y45" s="3211"/>
      <c r="Z45" s="2946">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9"/>
      <c r="Q46" s="2949">
        <f t="shared" si="11"/>
        <v>0</v>
      </c>
      <c r="R46" s="773" t="s">
        <v>17</v>
      </c>
      <c r="S46" s="774">
        <f t="shared" si="12"/>
        <v>100</v>
      </c>
      <c r="T46" s="773" t="s">
        <v>17</v>
      </c>
      <c r="U46" s="774">
        <f t="shared" si="13"/>
        <v>100</v>
      </c>
      <c r="V46" s="773" t="s">
        <v>17</v>
      </c>
      <c r="W46" s="774">
        <f t="shared" si="14"/>
        <v>100</v>
      </c>
      <c r="X46" s="2951"/>
      <c r="Y46" s="3211"/>
      <c r="Z46" s="2952">
        <f t="shared" si="15"/>
        <v>0</v>
      </c>
      <c r="AA46" s="2950">
        <f t="shared" si="3"/>
        <v>1</v>
      </c>
      <c r="AB46" s="2950">
        <f t="shared" si="4"/>
        <v>1</v>
      </c>
      <c r="AC46" s="2669">
        <f t="shared" si="5"/>
        <v>1</v>
      </c>
    </row>
    <row r="47" spans="1:29" ht="15.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0"/>
      <c r="Q47" s="2949">
        <f t="shared" si="11"/>
        <v>0</v>
      </c>
      <c r="R47" s="773" t="s">
        <v>17</v>
      </c>
      <c r="S47" s="774">
        <f t="shared" si="12"/>
        <v>100</v>
      </c>
      <c r="T47" s="773" t="s">
        <v>17</v>
      </c>
      <c r="U47" s="774">
        <f t="shared" si="13"/>
        <v>100</v>
      </c>
      <c r="V47" s="773" t="s">
        <v>17</v>
      </c>
      <c r="W47" s="774">
        <f t="shared" si="14"/>
        <v>100</v>
      </c>
      <c r="X47" s="2951"/>
      <c r="Y47" s="3212"/>
      <c r="Z47" s="2952">
        <f t="shared" si="15"/>
        <v>0</v>
      </c>
      <c r="AA47" s="2950">
        <f t="shared" si="3"/>
        <v>1</v>
      </c>
      <c r="AB47" s="2950">
        <f t="shared" si="4"/>
        <v>1</v>
      </c>
      <c r="AC47" s="2669">
        <f t="shared" si="5"/>
        <v>1</v>
      </c>
    </row>
    <row r="48" spans="1:29" ht="14.4">
      <c r="A48" s="479" t="s">
        <v>2566</v>
      </c>
      <c r="B48" s="480"/>
      <c r="C48" s="1405" t="s">
        <v>1</v>
      </c>
      <c r="D48" s="1406"/>
      <c r="E48" s="1407">
        <v>5.0999999999999996</v>
      </c>
      <c r="F48" s="1408"/>
      <c r="G48" s="1409">
        <v>5.5</v>
      </c>
      <c r="H48" s="1410"/>
      <c r="I48" s="1407">
        <v>6</v>
      </c>
      <c r="J48" s="485"/>
      <c r="K48" s="782"/>
      <c r="L48" s="1142"/>
      <c r="M48" s="1130"/>
      <c r="N48" s="1130"/>
      <c r="O48" s="1130"/>
      <c r="P48" s="3198" t="str">
        <f>A48</f>
        <v>成交单价（元/平方米）</v>
      </c>
      <c r="Q48" s="3199"/>
      <c r="R48" s="3200">
        <f>E48</f>
        <v>5.0999999999999996</v>
      </c>
      <c r="S48" s="3200"/>
      <c r="T48" s="3200">
        <f>G48</f>
        <v>5.5</v>
      </c>
      <c r="U48" s="3200"/>
      <c r="V48" s="3200">
        <f>I48</f>
        <v>6</v>
      </c>
      <c r="W48" s="3200"/>
      <c r="X48" s="446"/>
      <c r="Y48" s="780"/>
      <c r="Z48" s="446"/>
      <c r="AA48" s="446"/>
      <c r="AB48" s="446"/>
      <c r="AC48" s="630"/>
    </row>
    <row r="49" spans="1:29" ht="15" thickBot="1">
      <c r="A49" s="486" t="s">
        <v>2567</v>
      </c>
      <c r="B49" s="487"/>
      <c r="C49" s="1411">
        <f>R50</f>
        <v>5.7</v>
      </c>
      <c r="D49" s="1412"/>
      <c r="E49" s="1413">
        <f>R49</f>
        <v>5.3</v>
      </c>
      <c r="F49" s="1413"/>
      <c r="G49" s="1411">
        <f>T49</f>
        <v>5.6</v>
      </c>
      <c r="H49" s="1412"/>
      <c r="I49" s="1413">
        <f>V49</f>
        <v>6.1</v>
      </c>
      <c r="J49" s="489"/>
      <c r="K49" s="783"/>
      <c r="L49" s="1142"/>
      <c r="M49" s="1130"/>
      <c r="N49" s="1130"/>
      <c r="O49" s="1130"/>
      <c r="P49" s="3198" t="str">
        <f>A49</f>
        <v>比较价值（元/平方米）</v>
      </c>
      <c r="Q49" s="3199"/>
      <c r="R49" s="3200">
        <f>IF(F1="售价",ROUND(PRODUCT(R48,AA7:AA47),0),ROUND(PRODUCT(R48,AA7:AA47),1))</f>
        <v>5.3</v>
      </c>
      <c r="S49" s="3200"/>
      <c r="T49" s="3200">
        <f>IF(F1="售价",ROUND(PRODUCT(T48,AB7:AB47),0),ROUND(PRODUCT(T48,AB7:AB47),1))</f>
        <v>5.6</v>
      </c>
      <c r="U49" s="3200"/>
      <c r="V49" s="3200">
        <f>IF(F1="售价",ROUND(PRODUCT(V48,AC7:AC47),0),ROUND(PRODUCT(V48,AC7:AC47),1))</f>
        <v>6.1</v>
      </c>
      <c r="W49" s="3200"/>
      <c r="X49" s="446"/>
      <c r="Y49" s="446"/>
      <c r="Z49" s="446"/>
      <c r="AA49" s="446"/>
      <c r="AB49" s="446"/>
      <c r="AC49" s="630"/>
    </row>
    <row r="50" spans="1:29" ht="15" thickBot="1">
      <c r="A50" s="492" t="s">
        <v>3170</v>
      </c>
      <c r="B50" s="493"/>
      <c r="C50" s="1415">
        <f>R50</f>
        <v>5.7</v>
      </c>
      <c r="D50" s="1415"/>
      <c r="E50" s="1415"/>
      <c r="F50" s="1415"/>
      <c r="G50" s="1415"/>
      <c r="H50" s="1415"/>
      <c r="I50" s="1415"/>
      <c r="J50" s="494"/>
      <c r="K50" s="784"/>
      <c r="L50" s="1142"/>
      <c r="M50" s="1130"/>
      <c r="N50" s="1130"/>
      <c r="O50" s="1130"/>
      <c r="P50" s="3201" t="str">
        <f>A50</f>
        <v>估价对象办公用房的比较价值（楼面单价，元/平方米）</v>
      </c>
      <c r="Q50" s="3202"/>
      <c r="R50" s="3203">
        <f>IF(F1="售价",ROUND(AVERAGE(R49:V49),0),ROUND(AVERAGE(R49:V49),1))</f>
        <v>5.7</v>
      </c>
      <c r="S50" s="3203"/>
      <c r="T50" s="3203"/>
      <c r="U50" s="3203"/>
      <c r="V50" s="3203"/>
      <c r="W50" s="320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3.9215686274509887E-2</v>
      </c>
      <c r="F53" s="500" t="str">
        <f>IF(OR(E53&gt;=0.3,E53&lt;=-0.3),"超过30%","")</f>
        <v/>
      </c>
      <c r="G53" s="499">
        <f>IF(G48&lt;G49,G49/G48-1,G48/G49-1)</f>
        <v>1.8181818181818077E-2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2570</v>
      </c>
      <c r="D54" s="501"/>
      <c r="E54" s="499">
        <f>IF(E49&lt;G49,G49/E49-1,E49/G49-1)</f>
        <v>5.6603773584905648E-2</v>
      </c>
      <c r="F54" s="500" t="str">
        <f>IF(OR(E54&gt;=0.2,E54&lt;=-0.2),"超过20%","")</f>
        <v/>
      </c>
      <c r="G54" s="499">
        <f>IF(G49&lt;I49,I49/G49-1,G49/I49-1)</f>
        <v>8.9285714285714191E-2</v>
      </c>
      <c r="H54" s="500" t="str">
        <f>IF(OR(G54&gt;=0.2,G54&lt;=-0.2),"超过20%","")</f>
        <v/>
      </c>
      <c r="I54" s="499">
        <f>IF(I49&lt;E49,E49/I49-1,I49/E49-1)</f>
        <v>0.15094339622641506</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7.8431372549019773E-2</v>
      </c>
      <c r="F55" s="500" t="str">
        <f>IF(OR(E55&gt;=0.3,E55&lt;=-0.3),"超过30%","")</f>
        <v/>
      </c>
      <c r="G55" s="499">
        <f>IF(G48&lt;I48,I48/G48-1,G48/I48-1)</f>
        <v>9.0909090909090828E-2</v>
      </c>
      <c r="H55" s="500" t="str">
        <f>IF(OR(G55&gt;=0.3,G55&lt;=-0.3),"超过30%","")</f>
        <v/>
      </c>
      <c r="I55" s="499">
        <f>IF(I48&lt;E48,E48/I48-1,I48/E48-1)</f>
        <v>0.17647058823529416</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2.2" thickBot="1">
      <c r="A58" s="762" t="s">
        <v>2572</v>
      </c>
      <c r="B58" s="758"/>
      <c r="C58" s="763"/>
      <c r="D58" s="763"/>
      <c r="E58" s="763"/>
      <c r="F58" s="764"/>
      <c r="G58" s="764"/>
      <c r="H58" s="763"/>
      <c r="I58" s="763"/>
      <c r="J58" s="763"/>
      <c r="K58" s="765"/>
      <c r="L58" s="1160"/>
      <c r="M58" s="1158"/>
      <c r="N58" s="1158"/>
      <c r="O58" s="1158"/>
      <c r="P58" s="2676"/>
      <c r="Q58" s="504"/>
    </row>
    <row r="59" spans="1:29" s="508" customFormat="1" ht="14.4">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c r="A60" s="509"/>
      <c r="B60" s="510"/>
      <c r="C60" s="1571">
        <v>100</v>
      </c>
      <c r="D60" s="512"/>
      <c r="E60" s="512"/>
      <c r="F60" s="512"/>
      <c r="G60" s="512"/>
      <c r="H60" s="512"/>
      <c r="I60" s="512"/>
      <c r="J60" s="512"/>
      <c r="K60" s="512"/>
      <c r="L60" s="512"/>
      <c r="M60" s="513"/>
      <c r="N60" s="512"/>
      <c r="O60" s="513"/>
      <c r="P60" s="2677"/>
    </row>
    <row r="61" spans="1:29" s="117" customFormat="1" ht="15" thickBot="1">
      <c r="A61" s="515" t="s">
        <v>2574</v>
      </c>
      <c r="B61" s="516"/>
      <c r="C61" s="517"/>
      <c r="D61" s="518"/>
      <c r="E61" s="518"/>
      <c r="F61" s="518"/>
      <c r="G61" s="518"/>
      <c r="H61" s="518"/>
      <c r="I61" s="518"/>
      <c r="J61" s="518"/>
      <c r="K61" s="518"/>
      <c r="L61" s="518"/>
      <c r="M61" s="519"/>
      <c r="N61" s="518"/>
      <c r="O61" s="519"/>
      <c r="P61" s="2677"/>
      <c r="Q61" s="504"/>
    </row>
    <row r="62" spans="1:29" s="117" customFormat="1" ht="14.4">
      <c r="A62" s="521" t="s">
        <v>2539</v>
      </c>
      <c r="B62" s="510"/>
      <c r="C62" s="522" t="s">
        <v>2576</v>
      </c>
      <c r="D62" s="523"/>
      <c r="E62" s="523"/>
      <c r="F62" s="523"/>
      <c r="G62" s="523"/>
      <c r="H62" s="523"/>
      <c r="I62" s="523"/>
      <c r="J62" s="523"/>
      <c r="K62" s="523"/>
      <c r="L62" s="524"/>
      <c r="M62" s="525"/>
      <c r="N62" s="1150"/>
      <c r="O62" s="1150"/>
      <c r="P62" s="2678"/>
      <c r="Q62" s="504"/>
    </row>
    <row r="63" spans="1:29" s="117" customFormat="1" ht="14.4" thickBot="1">
      <c r="A63" s="521"/>
      <c r="B63" s="510"/>
      <c r="C63" s="511">
        <v>100</v>
      </c>
      <c r="D63" s="512"/>
      <c r="E63" s="512"/>
      <c r="F63" s="512"/>
      <c r="G63" s="512"/>
      <c r="H63" s="512"/>
      <c r="I63" s="512"/>
      <c r="J63" s="512"/>
      <c r="K63" s="512"/>
      <c r="L63" s="512"/>
      <c r="M63" s="514"/>
      <c r="N63" s="1150"/>
      <c r="O63" s="1150"/>
      <c r="P63" s="2677"/>
      <c r="Q63" s="504"/>
    </row>
    <row r="64" spans="1:29" ht="14.4">
      <c r="A64" s="527" t="s">
        <v>2577</v>
      </c>
      <c r="B64" s="528" t="s">
        <v>2543</v>
      </c>
      <c r="C64" s="529" t="str">
        <f>C9</f>
        <v>办公</v>
      </c>
      <c r="D64" s="530"/>
      <c r="E64" s="530"/>
      <c r="F64" s="530"/>
      <c r="G64" s="530"/>
      <c r="H64" s="530"/>
      <c r="I64" s="530"/>
      <c r="J64" s="530"/>
      <c r="K64" s="531"/>
      <c r="L64" s="532"/>
      <c r="M64" s="533"/>
      <c r="N64" s="1151"/>
      <c r="O64" s="1151"/>
      <c r="P64" s="2679"/>
      <c r="Q64" s="504"/>
    </row>
    <row r="65" spans="1:17" ht="14.4" thickBot="1">
      <c r="A65" s="534"/>
      <c r="B65" s="535"/>
      <c r="C65" s="536">
        <v>100</v>
      </c>
      <c r="D65" s="536"/>
      <c r="E65" s="536"/>
      <c r="F65" s="536"/>
      <c r="G65" s="536"/>
      <c r="H65" s="536"/>
      <c r="I65" s="536"/>
      <c r="J65" s="536"/>
      <c r="K65" s="536"/>
      <c r="L65" s="536"/>
      <c r="M65" s="537"/>
      <c r="N65" s="1152"/>
      <c r="O65" s="1152"/>
      <c r="P65" s="2679"/>
      <c r="Q65" s="504"/>
    </row>
    <row r="66" spans="1:17" ht="29.4"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c r="A69" s="534"/>
      <c r="B69" s="548"/>
      <c r="C69" s="549">
        <v>0</v>
      </c>
      <c r="D69" s="549">
        <v>2</v>
      </c>
      <c r="E69" s="549">
        <v>4</v>
      </c>
      <c r="F69" s="549">
        <v>6</v>
      </c>
      <c r="G69" s="549">
        <v>8</v>
      </c>
      <c r="H69" s="549"/>
      <c r="I69" s="549"/>
      <c r="J69" s="549"/>
      <c r="K69" s="550"/>
      <c r="L69" s="551"/>
      <c r="M69" s="552"/>
      <c r="N69" s="1151"/>
      <c r="O69" s="1151"/>
      <c r="P69" s="2679"/>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4.4" thickTop="1">
      <c r="A71" s="553"/>
      <c r="B71" s="538">
        <f>B12</f>
        <v>0</v>
      </c>
      <c r="C71" s="554"/>
      <c r="D71" s="554"/>
      <c r="E71" s="554"/>
      <c r="F71" s="554"/>
      <c r="G71" s="554"/>
      <c r="H71" s="555"/>
      <c r="I71" s="555"/>
      <c r="J71" s="555"/>
      <c r="K71" s="555"/>
      <c r="L71" s="556"/>
      <c r="M71" s="557"/>
      <c r="N71" s="1153"/>
      <c r="O71" s="1153"/>
      <c r="P71" s="2680"/>
      <c r="Q71" s="559"/>
    </row>
    <row r="72" spans="1:17" s="471" customFormat="1" ht="14.4" thickBot="1">
      <c r="A72" s="553"/>
      <c r="B72" s="543"/>
      <c r="C72" s="560"/>
      <c r="D72" s="536"/>
      <c r="E72" s="536"/>
      <c r="F72" s="536"/>
      <c r="G72" s="536"/>
      <c r="H72" s="536"/>
      <c r="I72" s="536"/>
      <c r="J72" s="536"/>
      <c r="K72" s="536"/>
      <c r="L72" s="536"/>
      <c r="M72" s="537"/>
      <c r="N72" s="1152"/>
      <c r="O72" s="1152"/>
      <c r="P72" s="2680"/>
      <c r="Q72" s="559"/>
    </row>
    <row r="73" spans="1:17" s="471" customFormat="1" ht="14.4" thickTop="1">
      <c r="A73" s="553"/>
      <c r="B73" s="538">
        <f>B13</f>
        <v>0</v>
      </c>
      <c r="C73" s="554"/>
      <c r="D73" s="554"/>
      <c r="E73" s="554"/>
      <c r="F73" s="554"/>
      <c r="G73" s="554"/>
      <c r="H73" s="555"/>
      <c r="I73" s="555"/>
      <c r="J73" s="555"/>
      <c r="K73" s="555"/>
      <c r="L73" s="556"/>
      <c r="M73" s="557"/>
      <c r="N73" s="1153"/>
      <c r="O73" s="1153"/>
      <c r="P73" s="2681"/>
      <c r="Q73" s="561"/>
    </row>
    <row r="74" spans="1:17" s="471" customFormat="1" ht="14.4" thickBot="1">
      <c r="A74" s="553"/>
      <c r="B74" s="543"/>
      <c r="C74" s="560"/>
      <c r="D74" s="560"/>
      <c r="E74" s="560"/>
      <c r="F74" s="560"/>
      <c r="G74" s="560"/>
      <c r="H74" s="562"/>
      <c r="I74" s="562"/>
      <c r="J74" s="562"/>
      <c r="K74" s="562"/>
      <c r="L74" s="562"/>
      <c r="M74" s="563"/>
      <c r="N74" s="1153"/>
      <c r="O74" s="1153"/>
      <c r="P74" s="2680"/>
      <c r="Q74" s="559"/>
    </row>
    <row r="75" spans="1:17" s="471" customFormat="1" ht="14.4" thickTop="1">
      <c r="A75" s="553"/>
      <c r="B75" s="546">
        <f>B14</f>
        <v>0</v>
      </c>
      <c r="C75" s="523"/>
      <c r="D75" s="523"/>
      <c r="E75" s="523"/>
      <c r="F75" s="523"/>
      <c r="G75" s="523"/>
      <c r="H75" s="564"/>
      <c r="I75" s="564"/>
      <c r="J75" s="564"/>
      <c r="K75" s="564"/>
      <c r="L75" s="565"/>
      <c r="M75" s="566"/>
      <c r="N75" s="1153"/>
      <c r="O75" s="1153"/>
      <c r="P75" s="2682"/>
      <c r="Q75" s="559"/>
    </row>
    <row r="76" spans="1:17" s="471" customFormat="1" ht="14.4" thickBot="1">
      <c r="A76" s="568"/>
      <c r="B76" s="569"/>
      <c r="C76" s="570"/>
      <c r="D76" s="570"/>
      <c r="E76" s="570"/>
      <c r="F76" s="570"/>
      <c r="G76" s="570"/>
      <c r="H76" s="571"/>
      <c r="I76" s="571"/>
      <c r="J76" s="571"/>
      <c r="K76" s="571"/>
      <c r="L76" s="571"/>
      <c r="M76" s="572"/>
      <c r="N76" s="1153"/>
      <c r="O76" s="1153"/>
      <c r="P76" s="2680"/>
      <c r="Q76" s="559"/>
    </row>
    <row r="77" spans="1:17" ht="14.4">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9.4"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4.4" thickTop="1">
      <c r="A93" s="534"/>
      <c r="B93" s="538">
        <f>B29</f>
        <v>0</v>
      </c>
      <c r="C93" s="554"/>
      <c r="D93" s="554"/>
      <c r="E93" s="554"/>
      <c r="F93" s="554"/>
      <c r="G93" s="554"/>
      <c r="H93" s="554"/>
      <c r="I93" s="554"/>
      <c r="J93" s="554"/>
      <c r="K93" s="554"/>
      <c r="L93" s="580"/>
      <c r="M93" s="581"/>
      <c r="N93" s="1151"/>
      <c r="O93" s="1151"/>
      <c r="P93" s="2679"/>
      <c r="Q93" s="504"/>
    </row>
    <row r="94" spans="1:17" ht="14.4" thickBot="1">
      <c r="A94" s="534"/>
      <c r="B94" s="543"/>
      <c r="C94" s="560"/>
      <c r="D94" s="536"/>
      <c r="E94" s="536"/>
      <c r="F94" s="536"/>
      <c r="G94" s="536"/>
      <c r="H94" s="536"/>
      <c r="I94" s="536"/>
      <c r="J94" s="536"/>
      <c r="K94" s="536"/>
      <c r="L94" s="536"/>
      <c r="M94" s="537"/>
      <c r="N94" s="1152"/>
      <c r="O94" s="1152"/>
      <c r="P94" s="2679"/>
      <c r="Q94" s="504"/>
    </row>
    <row r="95" spans="1:17" ht="14.4" thickTop="1">
      <c r="A95" s="534"/>
      <c r="B95" s="538">
        <f>B30</f>
        <v>0</v>
      </c>
      <c r="C95" s="554"/>
      <c r="D95" s="554"/>
      <c r="E95" s="554"/>
      <c r="F95" s="554"/>
      <c r="G95" s="583"/>
      <c r="H95" s="583"/>
      <c r="I95" s="583"/>
      <c r="J95" s="583"/>
      <c r="K95" s="584"/>
      <c r="L95" s="585"/>
      <c r="M95" s="586"/>
      <c r="N95" s="1151"/>
      <c r="O95" s="1151"/>
      <c r="P95" s="2679"/>
      <c r="Q95" s="504"/>
    </row>
    <row r="96" spans="1:17" ht="14.4" thickBot="1">
      <c r="A96" s="534"/>
      <c r="B96" s="543"/>
      <c r="C96" s="560"/>
      <c r="D96" s="560"/>
      <c r="E96" s="560"/>
      <c r="F96" s="560"/>
      <c r="G96" s="536"/>
      <c r="H96" s="536"/>
      <c r="I96" s="536"/>
      <c r="J96" s="536"/>
      <c r="K96" s="536"/>
      <c r="L96" s="536"/>
      <c r="M96" s="537"/>
      <c r="N96" s="1152"/>
      <c r="O96" s="1152"/>
      <c r="P96" s="2679"/>
      <c r="Q96" s="504"/>
    </row>
    <row r="97" spans="1:17" ht="14.4" thickTop="1">
      <c r="A97" s="534"/>
      <c r="B97" s="538">
        <f>B31</f>
        <v>0</v>
      </c>
      <c r="C97" s="554"/>
      <c r="D97" s="554"/>
      <c r="E97" s="554"/>
      <c r="F97" s="554"/>
      <c r="G97" s="583"/>
      <c r="H97" s="583"/>
      <c r="I97" s="583"/>
      <c r="J97" s="583"/>
      <c r="K97" s="584"/>
      <c r="L97" s="585"/>
      <c r="M97" s="586"/>
      <c r="N97" s="1151"/>
      <c r="O97" s="1151"/>
      <c r="P97" s="2679"/>
      <c r="Q97" s="504"/>
    </row>
    <row r="98" spans="1:17" ht="14.4" thickBot="1">
      <c r="A98" s="534"/>
      <c r="B98" s="543"/>
      <c r="C98" s="560"/>
      <c r="D98" s="536"/>
      <c r="E98" s="536"/>
      <c r="F98" s="536"/>
      <c r="G98" s="536"/>
      <c r="H98" s="536"/>
      <c r="I98" s="536"/>
      <c r="J98" s="536"/>
      <c r="K98" s="536"/>
      <c r="L98" s="536"/>
      <c r="M98" s="537"/>
      <c r="N98" s="1152"/>
      <c r="O98" s="1152"/>
      <c r="P98" s="2679"/>
      <c r="Q98" s="504"/>
    </row>
    <row r="99" spans="1:17" ht="14.4" thickTop="1">
      <c r="A99" s="534"/>
      <c r="B99" s="546">
        <f>B32</f>
        <v>0</v>
      </c>
      <c r="C99" s="523"/>
      <c r="D99" s="523"/>
      <c r="E99" s="523"/>
      <c r="F99" s="523"/>
      <c r="G99" s="587"/>
      <c r="H99" s="587"/>
      <c r="I99" s="587"/>
      <c r="J99" s="587"/>
      <c r="K99" s="588"/>
      <c r="L99" s="589"/>
      <c r="M99" s="590"/>
      <c r="N99" s="1151"/>
      <c r="O99" s="1151"/>
      <c r="P99" s="2679"/>
      <c r="Q99" s="504"/>
    </row>
    <row r="100" spans="1:17" ht="14.4" thickBot="1">
      <c r="A100" s="2631"/>
      <c r="B100" s="569"/>
      <c r="C100" s="570"/>
      <c r="D100" s="570"/>
      <c r="E100" s="570"/>
      <c r="F100" s="570"/>
      <c r="G100" s="591"/>
      <c r="H100" s="591"/>
      <c r="I100" s="591"/>
      <c r="J100" s="591"/>
      <c r="K100" s="591"/>
      <c r="L100" s="591"/>
      <c r="M100" s="592"/>
      <c r="N100" s="1152"/>
      <c r="O100" s="1152"/>
      <c r="P100" s="2679"/>
      <c r="Q100" s="504"/>
    </row>
    <row r="101" spans="1:17" ht="14.4">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8.2"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4.4"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29.4"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4.4"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0"/>
      <c r="Q128" s="559"/>
    </row>
    <row r="129" spans="1:17" ht="14.4" thickTop="1">
      <c r="A129" s="599"/>
      <c r="B129" s="538">
        <f>B46</f>
        <v>0</v>
      </c>
      <c r="C129" s="554"/>
      <c r="D129" s="554"/>
      <c r="E129" s="554"/>
      <c r="F129" s="554"/>
      <c r="G129" s="583"/>
      <c r="H129" s="583"/>
      <c r="I129" s="583"/>
      <c r="J129" s="583"/>
      <c r="K129" s="584"/>
      <c r="L129" s="585"/>
      <c r="M129" s="586"/>
      <c r="N129" s="1151"/>
      <c r="O129" s="1151"/>
      <c r="P129" s="2679"/>
      <c r="Q129" s="504"/>
    </row>
    <row r="130" spans="1:17" ht="14.4" thickBot="1">
      <c r="A130" s="534"/>
      <c r="B130" s="543"/>
      <c r="C130" s="560"/>
      <c r="D130" s="560"/>
      <c r="E130" s="560"/>
      <c r="F130" s="560"/>
      <c r="G130" s="536"/>
      <c r="H130" s="536"/>
      <c r="I130" s="536"/>
      <c r="J130" s="536"/>
      <c r="K130" s="536"/>
      <c r="L130" s="536"/>
      <c r="M130" s="537"/>
      <c r="N130" s="1152"/>
      <c r="O130" s="1152"/>
      <c r="P130" s="2679"/>
      <c r="Q130" s="504"/>
    </row>
    <row r="131" spans="1:17" ht="14.4" thickTop="1">
      <c r="A131" s="599"/>
      <c r="B131" s="546">
        <f>B47</f>
        <v>0</v>
      </c>
      <c r="C131" s="523"/>
      <c r="D131" s="523"/>
      <c r="E131" s="523"/>
      <c r="F131" s="523"/>
      <c r="G131" s="587"/>
      <c r="H131" s="587"/>
      <c r="I131" s="587"/>
      <c r="J131" s="587"/>
      <c r="K131" s="523"/>
      <c r="L131" s="524"/>
      <c r="M131" s="590"/>
      <c r="N131" s="1151"/>
      <c r="O131" s="1151"/>
      <c r="P131" s="2679"/>
      <c r="Q131" s="504"/>
    </row>
    <row r="132" spans="1:17" ht="14.4"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B6" sqref="B6:C6"/>
      <selection pane="bottomLeft" activeCell="U28" sqref="U28"/>
    </sheetView>
  </sheetViews>
  <sheetFormatPr defaultColWidth="9" defaultRowHeight="13.2"/>
  <cols>
    <col min="1" max="1" width="12.7773437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31" t="s">
        <v>2993</v>
      </c>
      <c r="D1" s="3332"/>
      <c r="E1" s="3332"/>
      <c r="F1" s="3332"/>
      <c r="G1" s="3332"/>
      <c r="H1" s="3332"/>
      <c r="I1" s="3332"/>
      <c r="J1" s="3332"/>
      <c r="K1" s="3332"/>
      <c r="L1" s="3332"/>
      <c r="M1" s="3332"/>
      <c r="N1" s="3332"/>
      <c r="O1" s="3332"/>
      <c r="P1" s="3332"/>
      <c r="Q1" s="3332"/>
      <c r="R1" s="3332"/>
      <c r="S1" s="3333"/>
      <c r="T1" s="1203" t="s">
        <v>2994</v>
      </c>
    </row>
    <row r="2" spans="1:45" s="707" customFormat="1" ht="39.6">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3" t="s">
        <v>3002</v>
      </c>
      <c r="B17" s="2904" t="s">
        <v>3003</v>
      </c>
      <c r="C17" s="2964" t="s">
        <v>3120</v>
      </c>
      <c r="D17" s="2965" t="s">
        <v>3121</v>
      </c>
      <c r="E17" s="2965"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8"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3004</v>
      </c>
      <c r="E19" s="1790"/>
      <c r="F19" s="1790"/>
      <c r="G19" s="1790"/>
      <c r="H19" s="1278"/>
      <c r="I19" s="168"/>
      <c r="J19" s="168"/>
      <c r="K19" s="168"/>
      <c r="L19" s="168"/>
      <c r="M19" s="168"/>
      <c r="N19" s="168"/>
      <c r="O19" s="168"/>
      <c r="P19" s="168"/>
      <c r="Q19" s="168"/>
      <c r="R19" s="787"/>
      <c r="S19" s="138"/>
    </row>
    <row r="20" spans="1:45" ht="16.2" thickBot="1">
      <c r="A20" s="714" t="s">
        <v>3005</v>
      </c>
      <c r="B20" s="338">
        <f ca="1">IF(D20="——",S22,S22-F20)</f>
        <v>3152</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6">
      <c r="A21" s="714" t="s">
        <v>3007</v>
      </c>
      <c r="B21" s="338">
        <f ca="1">R22</f>
        <v>40995</v>
      </c>
      <c r="C21" s="168"/>
      <c r="D21" s="168"/>
      <c r="E21" s="168"/>
      <c r="F21" s="168"/>
      <c r="G21" s="168"/>
      <c r="H21" s="168"/>
      <c r="I21" s="168"/>
      <c r="J21" s="168"/>
      <c r="K21" s="168"/>
      <c r="L21" s="168"/>
      <c r="M21" s="168"/>
      <c r="N21" s="168"/>
      <c r="O21" s="168"/>
      <c r="P21" s="168"/>
      <c r="Q21" s="168"/>
      <c r="R21" s="787"/>
      <c r="S21" s="138"/>
    </row>
    <row r="22" spans="1:45">
      <c r="A22" s="361" t="s">
        <v>3008</v>
      </c>
      <c r="B22" s="24">
        <f>SUM(B24:B10000)</f>
        <v>768.88</v>
      </c>
      <c r="C22" s="3185" t="s">
        <v>33</v>
      </c>
      <c r="D22" s="3186"/>
      <c r="E22" s="3186"/>
      <c r="F22" s="3186"/>
      <c r="G22" s="3186"/>
      <c r="H22" s="3186"/>
      <c r="I22" s="3186"/>
      <c r="J22" s="3186"/>
      <c r="K22" s="3186"/>
      <c r="L22" s="3186"/>
      <c r="M22" s="3186"/>
      <c r="N22" s="3186"/>
      <c r="O22" s="3186"/>
      <c r="P22" s="3186"/>
      <c r="Q22" s="3330"/>
      <c r="R22" s="715">
        <f ca="1">ROUND(S22*10000/B22,0)</f>
        <v>40995</v>
      </c>
      <c r="S22" s="24">
        <f ca="1">SUM(S24:S10000)</f>
        <v>3152</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3091</v>
      </c>
      <c r="Q24" s="718">
        <v>1</v>
      </c>
      <c r="R24" s="720">
        <f ca="1">'结果表 (2601)'!G20</f>
        <v>40992</v>
      </c>
      <c r="S24" s="718">
        <f t="shared" ref="S24:S54" ca="1" si="11">ROUND(R24*B24/10000,0)</f>
        <v>1086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3091</v>
      </c>
      <c r="Q25" s="24">
        <f>(SUMIF($17:$17,P25,$18:$18)-SUMIF($17:$17,$P$24,$18:$18)+100)/100</f>
        <v>1</v>
      </c>
      <c r="R25" s="715">
        <f ca="1">IF(B25="",0,ROUND($R$24*C25*E25*G25*I25*K25*M25*O25*Q25,0))</f>
        <v>40992</v>
      </c>
      <c r="S25" s="361">
        <f t="shared" ca="1" si="11"/>
        <v>461</v>
      </c>
    </row>
    <row r="26" spans="1:45">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3091</v>
      </c>
      <c r="Q26" s="24">
        <f t="shared" ref="Q26:Q89" si="19">(SUMIF($17:$17,P26,$18:$18)-SUMIF($17:$17,$P$24,$18:$18)+100)/100</f>
        <v>1</v>
      </c>
      <c r="R26" s="715">
        <f t="shared" ref="R26:R89" ca="1" si="20">IF(B26="",0,ROUND($R$24*C26*E26*G26*I26*K26*M26*O26*Q26,0))</f>
        <v>40992</v>
      </c>
      <c r="S26" s="361">
        <f t="shared" ca="1" si="11"/>
        <v>560</v>
      </c>
    </row>
    <row r="27" spans="1:45">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3091</v>
      </c>
      <c r="Q27" s="24">
        <f t="shared" si="19"/>
        <v>1</v>
      </c>
      <c r="R27" s="715">
        <f t="shared" ca="1" si="20"/>
        <v>40992</v>
      </c>
      <c r="S27" s="361">
        <f t="shared" ca="1" si="11"/>
        <v>1045</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29750</v>
      </c>
      <c r="C2" s="2" t="s">
        <v>133</v>
      </c>
      <c r="D2" s="243"/>
      <c r="E2" s="243"/>
      <c r="F2" s="243"/>
      <c r="G2" s="243"/>
    </row>
    <row r="3" spans="1:7" s="244" customFormat="1" ht="18" customHeight="1" thickBot="1">
      <c r="A3" s="247" t="s">
        <v>85</v>
      </c>
      <c r="B3" s="248">
        <f ca="1">ROUND(B2*10000/'数据-汇总表'!E3,0)</f>
        <v>386926</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6.4">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161</v>
      </c>
      <c r="D51" s="276"/>
      <c r="E51" s="276"/>
      <c r="F51" s="308"/>
      <c r="G51" s="278" t="s">
        <v>64</v>
      </c>
    </row>
    <row r="52" spans="1:7" s="252" customFormat="1" ht="16.8" thickBot="1">
      <c r="A52" s="309" t="s">
        <v>65</v>
      </c>
      <c r="B52" s="310"/>
      <c r="C52" s="311">
        <f ca="1">C31+C51</f>
        <v>29750</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4.4"/>
  <cols>
    <col min="1" max="1" width="12.6640625" style="854" customWidth="1"/>
    <col min="2" max="2" width="10.21875" style="812" customWidth="1"/>
  </cols>
  <sheetData>
    <row r="1" spans="1:6">
      <c r="A1" s="3334" t="s">
        <v>868</v>
      </c>
      <c r="B1" s="3334"/>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43849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4.4"/>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4.4"/>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6">
      <c r="A3" s="3019"/>
      <c r="B3" s="3019"/>
      <c r="C3" s="3019"/>
      <c r="D3" s="1043" t="s">
        <v>1633</v>
      </c>
      <c r="E3" s="1043" t="s">
        <v>1639</v>
      </c>
      <c r="F3" s="1043" t="s">
        <v>1633</v>
      </c>
      <c r="G3" s="1043" t="s">
        <v>1634</v>
      </c>
      <c r="H3" s="1043" t="s">
        <v>1633</v>
      </c>
      <c r="I3" s="1043" t="s">
        <v>1634</v>
      </c>
    </row>
    <row r="4" spans="1:9" ht="30">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3152</v>
      </c>
      <c r="I4" s="1043">
        <f ca="1">结果表!I118</f>
        <v>40995</v>
      </c>
    </row>
    <row r="5" spans="1:9" ht="30" customHeight="1">
      <c r="A5" s="3019" t="s">
        <v>1635</v>
      </c>
      <c r="B5" s="3019"/>
      <c r="C5" s="3019"/>
      <c r="D5" s="3020" t="e">
        <f ca="1">结果表!D119</f>
        <v>#REF!</v>
      </c>
      <c r="E5" s="3020"/>
      <c r="F5" s="3020" t="e">
        <f ca="1">结果表!F119</f>
        <v>#REF!</v>
      </c>
      <c r="G5" s="3020"/>
      <c r="H5" s="3020" t="str">
        <f ca="1">结果表!H119</f>
        <v>叁仟壹佰伍拾贰万元整</v>
      </c>
      <c r="I5" s="3020"/>
    </row>
    <row r="6" spans="1:9" ht="15.6">
      <c r="A6" s="3018" t="str">
        <f>结果表!A120</f>
        <v>估价师知悉的法定优先受偿款</v>
      </c>
      <c r="B6" s="3018"/>
      <c r="C6" s="3018"/>
      <c r="D6" s="3018">
        <f>结果表!D120</f>
        <v>0</v>
      </c>
      <c r="E6" s="3018"/>
      <c r="F6" s="3018"/>
      <c r="G6" s="3018"/>
      <c r="H6" s="3018"/>
      <c r="I6" s="3018"/>
    </row>
    <row r="7" spans="1:9" ht="15">
      <c r="A7" s="3019" t="s">
        <v>1635</v>
      </c>
      <c r="B7" s="3019"/>
      <c r="C7" s="3019"/>
      <c r="D7" s="3021" t="str">
        <f>结果表!D121</f>
        <v>零元整</v>
      </c>
      <c r="E7" s="3022"/>
      <c r="F7" s="3022"/>
      <c r="G7" s="3022"/>
      <c r="H7" s="3022"/>
      <c r="I7" s="3023"/>
    </row>
    <row r="8" spans="1:9" ht="15.6">
      <c r="A8" s="3018" t="str">
        <f>结果表!A122</f>
        <v>房地产抵押价值</v>
      </c>
      <c r="B8" s="3018"/>
      <c r="C8" s="3018"/>
      <c r="D8" s="3018">
        <f ca="1">结果表!D122</f>
        <v>3152</v>
      </c>
      <c r="E8" s="3018"/>
      <c r="F8" s="3018"/>
      <c r="G8" s="3018"/>
      <c r="H8" s="3018"/>
      <c r="I8" s="3018"/>
    </row>
    <row r="9" spans="1:9" ht="15">
      <c r="A9" s="3019" t="s">
        <v>1635</v>
      </c>
      <c r="B9" s="3019"/>
      <c r="C9" s="3019"/>
      <c r="D9" s="3020" t="str">
        <f ca="1">结果表!D123</f>
        <v>叁仟壹佰伍拾贰万元整</v>
      </c>
      <c r="E9" s="3020"/>
      <c r="F9" s="3020"/>
      <c r="G9" s="3020"/>
      <c r="H9" s="3020"/>
      <c r="I9" s="3020"/>
    </row>
    <row r="10" spans="1:9" ht="15.6">
      <c r="A10" s="3018" t="str">
        <f>结果表!A124</f>
        <v/>
      </c>
      <c r="B10" s="3018"/>
      <c r="C10" s="3018"/>
      <c r="D10" s="3018" t="str">
        <f>结果表!D124</f>
        <v>——</v>
      </c>
      <c r="E10" s="3018"/>
      <c r="F10" s="3018"/>
      <c r="G10" s="3018"/>
      <c r="H10" s="3018"/>
      <c r="I10" s="3018"/>
    </row>
    <row r="11" spans="1:9" ht="15">
      <c r="A11" s="3019" t="s">
        <v>1635</v>
      </c>
      <c r="B11" s="3019"/>
      <c r="C11" s="3019"/>
      <c r="D11" s="3020" t="e">
        <f>结果表!D125</f>
        <v>#VALUE!</v>
      </c>
      <c r="E11" s="3020"/>
      <c r="F11" s="3020"/>
      <c r="G11" s="3020"/>
      <c r="H11" s="3020"/>
      <c r="I11" s="3020"/>
    </row>
    <row r="12" spans="1:9" ht="15.6">
      <c r="A12" s="3018" t="str">
        <f>结果表!A126</f>
        <v/>
      </c>
      <c r="B12" s="3018"/>
      <c r="C12" s="3018"/>
      <c r="D12" s="3018" t="str">
        <f>结果表!D126</f>
        <v>——</v>
      </c>
      <c r="E12" s="3018"/>
      <c r="F12" s="3018"/>
      <c r="G12" s="3018"/>
      <c r="H12" s="3018"/>
      <c r="I12" s="3018"/>
    </row>
    <row r="13" spans="1:9" ht="15.6" thickBot="1">
      <c r="A13" s="3015" t="s">
        <v>1635</v>
      </c>
      <c r="B13" s="3015"/>
      <c r="C13" s="3015"/>
      <c r="D13" s="3016" t="e">
        <f>结果表!D127</f>
        <v>#VALUE!</v>
      </c>
      <c r="E13" s="3016"/>
      <c r="F13" s="3016"/>
      <c r="G13" s="3016"/>
      <c r="H13" s="3016"/>
      <c r="I13" s="3016"/>
    </row>
    <row r="14" spans="1:9" ht="14.4" thickTop="1">
      <c r="A14" s="3017" t="s">
        <v>1640</v>
      </c>
      <c r="B14" s="3017"/>
      <c r="C14" s="3017"/>
      <c r="D14" s="3017"/>
      <c r="E14" s="3017"/>
      <c r="F14" s="3017"/>
      <c r="G14" s="3017"/>
      <c r="H14" s="3017"/>
      <c r="I14" s="3017"/>
    </row>
    <row r="16" spans="1:9" ht="17.399999999999999">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32" t="s">
        <v>1657</v>
      </c>
      <c r="B1" s="3032"/>
      <c r="C1" s="3032"/>
      <c r="D1" s="3032"/>
    </row>
    <row r="2" spans="1:4" ht="17.399999999999999">
      <c r="A2" s="3033" t="s">
        <v>1641</v>
      </c>
      <c r="B2" s="3033"/>
      <c r="C2" s="3033"/>
      <c r="D2" s="3033"/>
    </row>
    <row r="3" spans="1:4" ht="17.399999999999999">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7.399999999999999">
      <c r="A6" s="3033" t="s">
        <v>1647</v>
      </c>
      <c r="B6" s="3033"/>
      <c r="C6" s="3033"/>
      <c r="D6" s="3033"/>
    </row>
    <row r="7" spans="1:4" ht="17.399999999999999">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7.399999999999999">
      <c r="A10" s="1981" t="s">
        <v>1649</v>
      </c>
      <c r="B10" s="727"/>
      <c r="C10" s="727"/>
      <c r="D10" s="727"/>
    </row>
    <row r="11" spans="1:4" ht="30" customHeight="1">
      <c r="A11" s="3034" t="s">
        <v>1650</v>
      </c>
      <c r="B11" s="3026"/>
      <c r="C11" s="3026"/>
      <c r="D11" s="3026"/>
    </row>
    <row r="12" spans="1:4" ht="15.6">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（1）根据估价对象《不动产权证书》复印件、，截至价值时点，估价对象抵押权未见登记。</v>
      </c>
      <c r="B15" s="3026"/>
      <c r="C15" s="3026"/>
      <c r="D15" s="3026"/>
    </row>
    <row r="16" spans="1:4" ht="30" customHeight="1">
      <c r="A16" s="3028" t="s">
        <v>1651</v>
      </c>
      <c r="B16" s="3028"/>
      <c r="C16" s="3028"/>
      <c r="D16" s="3028"/>
    </row>
    <row r="17" spans="1:4" ht="144" customHeight="1">
      <c r="A17" s="3028" t="s">
        <v>1652</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1653</v>
      </c>
      <c r="B22" s="3030"/>
      <c r="C22" s="3030"/>
      <c r="D22" s="3030"/>
    </row>
    <row r="23" spans="1:4">
      <c r="A23" s="1982"/>
      <c r="B23" s="1954"/>
      <c r="C23" s="1954"/>
      <c r="D23" s="1954"/>
    </row>
    <row r="24" spans="1:4">
      <c r="A24" s="1982"/>
      <c r="B24" s="1954"/>
      <c r="C24" s="1954"/>
      <c r="D24" s="1954"/>
    </row>
    <row r="25" spans="1:4" ht="17.399999999999999">
      <c r="A25" s="1983" t="s">
        <v>1654</v>
      </c>
    </row>
    <row r="26" spans="1:4" ht="17.399999999999999">
      <c r="A26" s="1952"/>
    </row>
    <row r="27" spans="1:4" ht="17.399999999999999">
      <c r="A27" s="1952" t="s">
        <v>1655</v>
      </c>
    </row>
    <row r="30" spans="1:4" ht="17.399999999999999">
      <c r="D30" s="1983" t="s">
        <v>1656</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867</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44140625" defaultRowHeight="15.6"/>
  <cols>
    <col min="1" max="1" width="14.44140625" style="1990" customWidth="1"/>
    <col min="2" max="16384" width="14.44140625" style="1972"/>
  </cols>
  <sheetData>
    <row r="1" spans="1:7" s="1987" customFormat="1" ht="17.399999999999999">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4.4">
      <c r="A15" s="3040" t="s">
        <v>1664</v>
      </c>
      <c r="B15" s="3035" t="s">
        <v>136</v>
      </c>
      <c r="C15" s="3036"/>
    </row>
    <row r="16" spans="1:7" ht="14.4">
      <c r="A16" s="3041"/>
      <c r="B16" s="3035" t="s">
        <v>69</v>
      </c>
      <c r="C16" s="3036"/>
    </row>
    <row r="17" spans="1:3" ht="14.4">
      <c r="A17" s="3041"/>
      <c r="B17" s="3038" t="s">
        <v>1665</v>
      </c>
      <c r="C17" s="1997" t="s">
        <v>1664</v>
      </c>
    </row>
    <row r="18" spans="1:3" ht="14.4">
      <c r="A18" s="3041"/>
      <c r="B18" s="3038"/>
      <c r="C18" s="1997" t="s">
        <v>1666</v>
      </c>
    </row>
    <row r="19" spans="1:3" ht="14.4">
      <c r="A19" s="3041"/>
      <c r="B19" s="3038"/>
      <c r="C19" s="1997" t="s">
        <v>1667</v>
      </c>
    </row>
    <row r="20" spans="1:3" ht="14.4">
      <c r="A20" s="3042"/>
      <c r="B20" s="3037" t="s">
        <v>1668</v>
      </c>
      <c r="C20" s="3036"/>
    </row>
    <row r="21" spans="1:3" ht="14.4">
      <c r="A21" s="1998" t="s">
        <v>1669</v>
      </c>
      <c r="B21" s="1999"/>
      <c r="C21" s="2000"/>
    </row>
    <row r="22" spans="1:3" ht="14.4">
      <c r="A22" s="3039" t="s">
        <v>1670</v>
      </c>
      <c r="B22" s="3037" t="s">
        <v>1671</v>
      </c>
      <c r="C22" s="3036"/>
    </row>
    <row r="23" spans="1:3" ht="14.4">
      <c r="A23" s="3039"/>
      <c r="B23" s="3037" t="s">
        <v>1672</v>
      </c>
      <c r="C23" s="3036"/>
    </row>
    <row r="24" spans="1:3" ht="14.4">
      <c r="A24" s="3039"/>
      <c r="B24" s="3037" t="s">
        <v>1673</v>
      </c>
      <c r="C24" s="3036"/>
    </row>
    <row r="25" spans="1:3" ht="14.4">
      <c r="A25" s="3039"/>
      <c r="B25" s="3038" t="s">
        <v>1674</v>
      </c>
      <c r="C25" s="1997" t="s">
        <v>1675</v>
      </c>
    </row>
    <row r="26" spans="1:3" ht="14.4">
      <c r="A26" s="3039"/>
      <c r="B26" s="3038"/>
      <c r="C26" s="1997" t="s">
        <v>1676</v>
      </c>
    </row>
    <row r="27" spans="1:3" ht="14.4">
      <c r="A27" s="3039"/>
      <c r="B27" s="3038"/>
      <c r="C27" s="1997" t="s">
        <v>1677</v>
      </c>
    </row>
    <row r="28" spans="1:3" ht="14.4">
      <c r="A28" s="3039"/>
      <c r="B28" s="3038"/>
      <c r="C28" s="1997" t="s">
        <v>1678</v>
      </c>
    </row>
    <row r="29" spans="1:3" ht="14.4">
      <c r="A29" s="3039"/>
      <c r="B29" s="3038"/>
      <c r="C29" s="1997" t="s">
        <v>1679</v>
      </c>
    </row>
    <row r="30" spans="1:3" ht="14.4">
      <c r="A30" s="3039"/>
      <c r="B30" s="3038"/>
      <c r="C30" s="1997" t="s">
        <v>1680</v>
      </c>
    </row>
    <row r="31" spans="1:3" ht="14.4">
      <c r="A31" s="3039"/>
      <c r="B31" s="3038"/>
      <c r="C31" s="1997" t="s">
        <v>1681</v>
      </c>
    </row>
    <row r="32" spans="1:3" ht="14.4">
      <c r="A32" s="3039"/>
      <c r="B32" s="3038"/>
      <c r="C32" s="1997" t="s">
        <v>1682</v>
      </c>
    </row>
    <row r="33" spans="1:3" ht="14.4">
      <c r="A33" s="3039"/>
      <c r="B33" s="3038"/>
      <c r="C33" s="1997" t="s">
        <v>1683</v>
      </c>
    </row>
    <row r="34" spans="1:3">
      <c r="A34" s="2001" t="s">
        <v>76</v>
      </c>
    </row>
    <row r="37" spans="1:3">
      <c r="A37" s="2001" t="s">
        <v>1684</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43849</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案例</vt:lpstr>
      <vt:lpstr>案例（1）</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2020-01-19T07:51:55Z</dcterms:modified>
</cp:coreProperties>
</file>