
<file path=[Content_Types].xml><?xml version="1.0" encoding="utf-8"?>
<Types xmlns="http://schemas.openxmlformats.org/package/2006/content-types">
  <Default Extension="vml" ContentType="application/vnd.openxmlformats-officedocument.vmlDrawing"/>
  <Default Extension="png" ContentType="image/png"/>
  <Default Extension="jpeg" ContentType="image/jpeg"/>
  <Default Extension="JPG" ContentType="image/.jp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18525" windowHeight="11700" tabRatio="885" firstSheet="12" activeTab="19"/>
  </bookViews>
  <sheets>
    <sheet name="致函链接" sheetId="60" state="hidden" r:id="rId1"/>
    <sheet name="预评函-封皮" sheetId="49" state="hidden" r:id="rId2"/>
    <sheet name="预评函-1" sheetId="54" state="hidden" r:id="rId3"/>
    <sheet name="预评函-2（1）" sheetId="50" state="hidden" r:id="rId4"/>
    <sheet name="预评函-2（2）" sheetId="52" state="hidden" r:id="rId5"/>
    <sheet name="预评函-3" sheetId="55" state="hidden" r:id="rId6"/>
    <sheet name="使用说明" sheetId="41" state="hidden" r:id="rId7"/>
    <sheet name="估价师及机构信息" sheetId="48" state="hidden" r:id="rId8"/>
    <sheet name="定义" sheetId="10" state="hidden" r:id="rId9"/>
    <sheet name="项目基本情况" sheetId="4" r:id="rId10"/>
    <sheet name="抵押物清单（分楼）" sheetId="42" state="hidden" r:id="rId11"/>
    <sheet name="数据-取费表" sheetId="1" r:id="rId12"/>
    <sheet name="估价对象房地状况" sheetId="20" r:id="rId13"/>
    <sheet name="系统读取表" sheetId="62" r:id="rId14"/>
    <sheet name="结果表" sheetId="9" state="hidden" r:id="rId15"/>
    <sheet name="结果表 (1修多)" sheetId="57" r:id="rId16"/>
    <sheet name="成本法" sheetId="11" state="hidden" r:id="rId17"/>
    <sheet name="假设开发法" sheetId="12" state="hidden" r:id="rId18"/>
    <sheet name="比较法-住宅" sheetId="21" r:id="rId19"/>
    <sheet name="比较法案例" sheetId="64" r:id="rId20"/>
    <sheet name="收益法" sheetId="15" r:id="rId21"/>
    <sheet name="收益法-酒店模型" sheetId="63" state="hidden" r:id="rId22"/>
    <sheet name="典型户型修正" sheetId="31" state="hidden" r:id="rId23"/>
    <sheet name="比较法-商业" sheetId="33" state="hidden" r:id="rId24"/>
    <sheet name="比较法-办公" sheetId="34" state="hidden" r:id="rId25"/>
    <sheet name="比较法-工业" sheetId="37" state="hidden" r:id="rId26"/>
    <sheet name="比较法-车位" sheetId="35" state="hidden" r:id="rId27"/>
    <sheet name="比较法-仓储" sheetId="36" state="hidden" r:id="rId28"/>
    <sheet name="土地比较法-住宅、综合" sheetId="39" state="hidden" r:id="rId29"/>
    <sheet name="土地比较法-工业" sheetId="40" state="hidden" r:id="rId30"/>
    <sheet name="基准地价修正" sheetId="43" state="hidden" r:id="rId31"/>
    <sheet name="因素修正幅度" sheetId="56" state="hidden" r:id="rId32"/>
    <sheet name="基准地价修正-因素" sheetId="47" state="hidden" r:id="rId33"/>
    <sheet name="区片价" sheetId="44" state="hidden" r:id="rId34"/>
    <sheet name="修正" sheetId="45" state="hidden" r:id="rId35"/>
    <sheet name="容积率修正" sheetId="46" state="hidden" r:id="rId36"/>
    <sheet name="地价" sheetId="59" state="hidden" r:id="rId37"/>
    <sheet name="存贷款利率" sheetId="61" state="hidden" r:id="rId38"/>
  </sheets>
  <externalReferences>
    <externalReference r:id="rId39"/>
  </externalReferences>
  <definedNames>
    <definedName name="_xlnm._FilterDatabase" localSheetId="24" hidden="1">'比较法-办公'!$A$1:$L$50</definedName>
    <definedName name="_xlnm._FilterDatabase" localSheetId="27" hidden="1">'比较法-仓储'!$A$1:$L$37</definedName>
    <definedName name="_xlnm._FilterDatabase" localSheetId="26" hidden="1">'比较法-车位'!$A$1:$L$39</definedName>
    <definedName name="_xlnm._FilterDatabase" localSheetId="25" hidden="1">'比较法-工业'!$A$1:$L$43</definedName>
    <definedName name="_xlnm._FilterDatabase" localSheetId="23" hidden="1">'比较法-商业'!$A$1:$L$49</definedName>
    <definedName name="_xlnm._FilterDatabase" localSheetId="18" hidden="1">'比较法-住宅'!$A$1:$L$49</definedName>
    <definedName name="_xlnm._FilterDatabase" localSheetId="29" hidden="1">'土地比较法-工业'!$A$1:$L$43</definedName>
    <definedName name="_xlnm._FilterDatabase" localSheetId="28" hidden="1">'土地比较法-住宅、综合'!$A$1:$L$48</definedName>
    <definedName name="_xlnm._FilterDatabase" localSheetId="9" hidden="1">项目基本情况!#REF!</definedName>
    <definedName name="_xlnm.Print_Area" localSheetId="24">'比较法-办公'!$A$1:$K$55,'比较法-办公'!$A$58:$M$132</definedName>
    <definedName name="_xlnm.Print_Area" localSheetId="27">'比较法-仓储'!$A$1:$K$42,'比较法-仓储'!$A$45:$M$96</definedName>
    <definedName name="_xlnm.Print_Area" localSheetId="26">'比较法-车位'!$A$1:$K$44,'比较法-车位'!$A$47:$M$102</definedName>
    <definedName name="_xlnm.Print_Area" localSheetId="25">'比较法-工业'!$A$1:$K$48,'比较法-工业'!$A$51:$M$113</definedName>
    <definedName name="_xlnm.Print_Area" localSheetId="23">'比较法-商业'!$A$1:$K$54,'比较法-商业'!$A$57:$M$131</definedName>
    <definedName name="_xlnm.Print_Area" localSheetId="18">'比较法-住宅'!$A$1:$K$54,'比较法-住宅'!$A$57:$M$131</definedName>
    <definedName name="_xlnm.Print_Area" localSheetId="22">典型户型修正!$A$1:$T$21,典型户型修正!$A$22:$Z$527</definedName>
    <definedName name="_xlnm.Print_Area" localSheetId="12">估价对象房地状况!$A$1:$G$24</definedName>
    <definedName name="_xlnm.Print_Area" localSheetId="7">估价师及机构信息!$A$1:$H$22</definedName>
    <definedName name="_xlnm.Print_Area" localSheetId="30">基准地价修正!$A$1:$P$41,基准地价修正!$R$1:$V$17,基准地价修正!$A$45:$N$88</definedName>
    <definedName name="_xlnm.Print_Area" localSheetId="14">结果表!$A$1:$I$132,结果表!$K$44:$P$61</definedName>
    <definedName name="_xlnm.Print_Area" localSheetId="15">'结果表 (1修多)'!$A$1:$I$136,'结果表 (1修多)'!$K$46:$P$63</definedName>
    <definedName name="_xlnm.Print_Area" localSheetId="20">收益法!$A$1:$F$43,收益法!$H$3:$M$43,收益法!$A$47:$F$72,收益法!$I$47:$N$66,收益法!$O$42,收益法!$O$43:$R$73</definedName>
    <definedName name="_xlnm.Print_Area" localSheetId="11">'数据-取费表'!$A$1:$F$51</definedName>
    <definedName name="_xlnm.Print_Area" localSheetId="29">'土地比较法-工业'!$A$1:$K$61,'土地比较法-工业'!$A$64:$M$121</definedName>
    <definedName name="_xlnm.Print_Area" localSheetId="28">'土地比较法-住宅、综合'!$A$1:$K$66,'土地比较法-住宅、综合'!$A$69:$M$132</definedName>
    <definedName name="_xlnm.Print_Area" localSheetId="13">系统读取表!$A$1:$I$23</definedName>
    <definedName name="_xlnm.Print_Area" localSheetId="9">项目基本情况!$A$1:$G$23</definedName>
    <definedName name="_xlnm.Print_Area" localSheetId="5">'预评函-3'!$A$1:$D$29</definedName>
    <definedName name="八级">区片价!$P$1:$P$40</definedName>
    <definedName name="办公层高">'比较法-办公'!$B$119:$M$119</definedName>
    <definedName name="办公朝向">'比较法-办公'!$B$91:$M$91</definedName>
    <definedName name="办公道路级别">'比较法-办公'!$B$87:$M$87</definedName>
    <definedName name="办公公共部分装修">'比较法-办公'!$B$108:$M$108</definedName>
    <definedName name="办公基础设施水平">'比较法-办公'!$B$117:$M$117</definedName>
    <definedName name="办公集聚程度">定义!$M$1:$M$6</definedName>
    <definedName name="办公建筑结构">'比较法-办公'!$B$106:$M$106</definedName>
    <definedName name="办公建筑类型">'比较法-办公'!$B$101:$M$101</definedName>
    <definedName name="办公交易情况">'比较法-办公'!$A$62:$M$62</definedName>
    <definedName name="办公楼层">'比较法-办公'!$B$89:$M$89</definedName>
    <definedName name="办公内部装修">'比较法-办公'!$B$123:$M$123</definedName>
    <definedName name="办公物业管理">'比较法-办公'!$B$115:$M$115</definedName>
    <definedName name="办公用途">'比较法-办公'!$B$64:$M$64</definedName>
    <definedName name="仓储公共部分装修">'比较法-仓储'!$B$77:$M$77</definedName>
    <definedName name="仓储交易情况">'比较法-仓储'!$A$49:$M$49</definedName>
    <definedName name="仓储楼层">'比较法-仓储'!$B$69:$M$69</definedName>
    <definedName name="仓储物业等级">'比较法-仓储'!$B$82:$M$82</definedName>
    <definedName name="仓储用途">'比较法-仓储'!$B$51:$M$51</definedName>
    <definedName name="产业集聚程度">定义!$N$1:$N$6</definedName>
    <definedName name="车位公共部分装修">'比较法-车位'!$B$83:$M$83</definedName>
    <definedName name="车位交易情况">'比较法-车位'!$A$51:$M$51</definedName>
    <definedName name="车位类型">'比较法-车位'!$B$93:$M$93</definedName>
    <definedName name="车位楼层">'比较法-车位'!$B$71:$M$71</definedName>
    <definedName name="车位配套类型">'比较法-车位'!$B$79:$M$79</definedName>
    <definedName name="车位物业等级">'比较法-车位'!$B$88:$M$88</definedName>
    <definedName name="车位用途">'比较法-车位'!$B$53:$M$53</definedName>
    <definedName name="城镇土地纳税等级分级范围">'数据-取费表'!$D$41:$D$51</definedName>
    <definedName name="单价内涵">定义!$V$1:$V$3</definedName>
    <definedName name="抵押">定义!$B$52:$D$52</definedName>
    <definedName name="抵押净值">定义!$B$57:$C$57</definedName>
    <definedName name="抵押净值定义">定义!$B$57:$C$57</definedName>
    <definedName name="地类判定">定义!$H$1:$H$9</definedName>
    <definedName name="二级">区片价!$J$1:$J$20</definedName>
    <definedName name="二级分类">修正!$C$17:$C$39</definedName>
    <definedName name="法定最高年限">定义!$G$1:$G$4</definedName>
    <definedName name="房地产估价师及注册号">估价师及机构信息!$D$3:$D$16</definedName>
    <definedName name="工业公共部分装修">'比较法-工业'!$B$95:$M$95</definedName>
    <definedName name="工业基础设施水平">'比较法-工业'!$B$102:$M$102</definedName>
    <definedName name="工业建筑结构">'比较法-工业'!$B$93:$M$93</definedName>
    <definedName name="工业建筑类型">'比较法-工业'!$B$88:$M$88</definedName>
    <definedName name="工业交易情况">'比较法-工业'!$A$55:$M$55</definedName>
    <definedName name="工业内部装修">'比较法-工业'!$B$104:$M$104</definedName>
    <definedName name="工业物业管理">'比较法-工业'!$B$100:$M$100</definedName>
    <definedName name="工业用途">'比较法-工业'!$B$57:$M$57</definedName>
    <definedName name="公共配套设施">定义!$Q$1:$Q$6</definedName>
    <definedName name="估价方法">定义!$B$1:$B$50</definedName>
    <definedName name="估价目的">定义!$A$51:$C$51</definedName>
    <definedName name="环境">定义!$S$1:$S$6</definedName>
    <definedName name="基础设施水平">定义!$R$1:$R$7</definedName>
    <definedName name="季度">基准地价修正!$N$19:$AD$19</definedName>
    <definedName name="价值类型">定义!$B$53:$B$58</definedName>
    <definedName name="价值类型2">定义!$B$54:$B$56</definedName>
    <definedName name="建筑使用方向">定义!$Y:$Y</definedName>
    <definedName name="交通便捷度">定义!$O$1:$O$6</definedName>
    <definedName name="结构">定义!$X:$X</definedName>
    <definedName name="仅抵押价值">定义!$B$54:$C$54</definedName>
    <definedName name="九级">区片价!$Q$1:$Q$46</definedName>
    <definedName name="居住社区成熟度">定义!$K$1:$K$6</definedName>
    <definedName name="类别">定义!$J$1:$J$3</definedName>
    <definedName name="临街状况">定义!$T$1:$T$5</definedName>
    <definedName name="六级">区片价!$N$1:$N$49</definedName>
    <definedName name="内部装修维护情况">定义!$U$1:$U$6</definedName>
    <definedName name="判定" localSheetId="21">[1]定义!$D$1:$D$4</definedName>
    <definedName name="判定">定义!$D$1:$D$4</definedName>
    <definedName name="七级">区片价!$O$1:$O$49</definedName>
    <definedName name="七通一平">修正!$A$6:$A$14</definedName>
    <definedName name="区域土地利用方向">定义!$P$1:$P$6</definedName>
    <definedName name="三级">区片价!$K$1:$K$21</definedName>
    <definedName name="商业层高">'比较法-商业'!$B$116:$M$116</definedName>
    <definedName name="商业成新度">'比较法-商业'!$B$109:$M$109</definedName>
    <definedName name="商业繁华度">定义!$L$1:$L$6</definedName>
    <definedName name="商业公共部分装修">'比较法-商业'!$B$107:$M$107</definedName>
    <definedName name="商业基础设施水平">'比较法-商业'!$B$112:$M$112</definedName>
    <definedName name="商业建筑结构">'比较法-商业'!$B$105:$M$105</definedName>
    <definedName name="商业交易情况">'比较法-商业'!$A$61:$M$61</definedName>
    <definedName name="商业街名称">修正!$C$59:$C$119</definedName>
    <definedName name="商业进深比">'比较法-商业'!$B$120:$M$120</definedName>
    <definedName name="商业类型">'比较法-商业'!$B$100:$M$100</definedName>
    <definedName name="商业临街状况">'比较法-商业'!$B$86:$M$86</definedName>
    <definedName name="商业楼层">'比较法-商业'!$B$92:$M$92</definedName>
    <definedName name="商业内部装修">'比较法-商业'!$B$122:$M$122</definedName>
    <definedName name="商业人流量">'比较法-商业'!$B$90:$M$90</definedName>
    <definedName name="商业业态">'比较法-商业'!$B$114:$M$114</definedName>
    <definedName name="商业用途">'比较法-商业'!$B$63:$M$63</definedName>
    <definedName name="十二级">区片价!$T$1:$T$8</definedName>
    <definedName name="十级">区片价!$R$1:$R$27</definedName>
    <definedName name="十一级">区片价!$S$1:$S$22</definedName>
    <definedName name="是否封闭">'比较法-仓储'!$B$89:$M$89</definedName>
    <definedName name="是否直接入户">'比较法-车位'!$B$95:$M$95</definedName>
    <definedName name="四级">区片价!$L$1:$L$28</definedName>
    <definedName name="套工道路等级">'土地比较法-工业'!$B$97:$M$97</definedName>
    <definedName name="套工地质条件">'土地比较法-工业'!$B$114:$M$114</definedName>
    <definedName name="套工交易情况">'土地比较法-住宅、综合'!$A$73:$M$73</definedName>
    <definedName name="套工土地级别">'土地比较法-工业'!$B$99:$M$99</definedName>
    <definedName name="套工用途">'土地比较法-工业'!$B$70:$M$70</definedName>
    <definedName name="套工宗地内开发程度">'土地比较法-工业'!$B$112:$M$112</definedName>
    <definedName name="套工宗地形状">'土地比较法-工业'!$B$110:$M$110</definedName>
    <definedName name="套综道路等级">'土地比较法-住宅、综合'!$B$106:$M$106</definedName>
    <definedName name="套综工程地质条件">'土地比较法-住宅、综合'!$B$125:$M$125</definedName>
    <definedName name="套综交易情况">'土地比较法-住宅、综合'!$A$73:$M$73</definedName>
    <definedName name="套综临街宽度及深度">'土地比较法-住宅、综合'!$B$121:$M$121</definedName>
    <definedName name="套综土地级别">'土地比较法-住宅、综合'!$B$108:$M$108</definedName>
    <definedName name="套综用途">'土地比较法-住宅、综合'!$B$75:$M$75</definedName>
    <definedName name="套综宗地内开发程度">'土地比较法-住宅、综合'!$B$123:$M$123</definedName>
    <definedName name="套综宗地形状">'土地比较法-住宅、综合'!$B$119:$M$119</definedName>
    <definedName name="土地估价师">估价师及机构信息!$E$3:$E$16</definedName>
    <definedName name="土地估价师及注册号">估价师及机构信息!$H$3:$H$16</definedName>
    <definedName name="土地级别">定义!$C$1:$C$13</definedName>
    <definedName name="土地利用方向">定义!$P$1:$P$6</definedName>
    <definedName name="土地年限区间">定义!$I$1:$I$8</definedName>
    <definedName name="位置">定义!$E$2:$E$4</definedName>
    <definedName name="五等判定">定义!$W$1:$W$6</definedName>
    <definedName name="五级">区片价!$M$1:$M$35</definedName>
    <definedName name="项目类型">'[1]数据-汇总表'!$C$17:$C$26</definedName>
    <definedName name="项目类型取费">'数据-取费表'!$A$19:$A$19</definedName>
    <definedName name="写字楼等级">'比较法-办公'!$B$113:$M$113</definedName>
    <definedName name="一级">区片价!$I$1:$I$6</definedName>
    <definedName name="一修多修正项2">典型户型修正!$8:$8</definedName>
    <definedName name="一修多修正项3">典型户型修正!$10:$10</definedName>
    <definedName name="一修多修正项4">典型户型修正!$12:$12</definedName>
    <definedName name="一修多修正项5">典型户型修正!$14:$14</definedName>
    <definedName name="一修多修正项6">典型户型修正!$16:$16</definedName>
    <definedName name="一修多修正项7">典型户型修正!$18:$18</definedName>
    <definedName name="一修多修正项8">典型户型修正!$20:$20</definedName>
    <definedName name="已注销">定义!$B$55:$C$55</definedName>
    <definedName name="已注销及未注销">定义!$B$56:$C$56</definedName>
    <definedName name="用途明细">定义!$A$1:$A$50</definedName>
    <definedName name="有无电梯">'比较法-仓储'!$B$84:$M$84</definedName>
    <definedName name="主用途">定义!$F$1:$F$10</definedName>
    <definedName name="住宅朝向">'比较法-住宅'!$B$88:$M$88</definedName>
    <definedName name="住宅房型">'比较法-住宅'!$B$118:$M$118</definedName>
    <definedName name="住宅公共部分装修">'比较法-住宅'!$B$109:$M$109</definedName>
    <definedName name="住宅基础设施水平">'比较法-住宅'!$B$116:$M$116</definedName>
    <definedName name="住宅建筑结构">'比较法-住宅'!$B$105:$M$105</definedName>
    <definedName name="住宅建筑类型">'比较法-住宅'!$B$100:$M$100</definedName>
    <definedName name="住宅建筑品质">'比较法-住宅'!$B$107:$M$107</definedName>
    <definedName name="住宅交易情况">'比较法-住宅'!$A$61:$M$61</definedName>
    <definedName name="住宅楼层">'比较法-住宅'!$B$86:$M$86</definedName>
    <definedName name="住宅内部装修">'比较法-住宅'!$B$122:$M$122</definedName>
    <definedName name="住宅物业管理">'比较法-住宅'!$B$114:$M$114</definedName>
    <definedName name="住宅用途">'比较法-住宅'!$B$63:$M$63</definedName>
    <definedName name="住宅主力户型面积">'比较法-住宅'!$B$120:$M$120</definedName>
    <definedName name="注册房地产估价师">估价师及机构信息!$A$3:$A$16</definedName>
  </definedNames>
  <calcPr calcId="144525"/>
</workbook>
</file>

<file path=xl/comments1.xml><?xml version="1.0" encoding="utf-8"?>
<comments xmlns="http://schemas.openxmlformats.org/spreadsheetml/2006/main">
  <authors>
    <author>USER</author>
  </authors>
  <commentList>
    <comment ref="A13" authorId="0">
      <text>
        <r>
          <rPr>
            <sz val="16"/>
            <rFont val="宋体"/>
            <charset val="134"/>
          </rPr>
          <t>带批注的一定要看</t>
        </r>
        <r>
          <rPr>
            <sz val="9"/>
            <rFont val="宋体"/>
            <charset val="134"/>
          </rPr>
          <t xml:space="preserve">
</t>
        </r>
      </text>
    </comment>
  </commentList>
</comments>
</file>

<file path=xl/comments10.xml><?xml version="1.0" encoding="utf-8"?>
<comments xmlns="http://schemas.openxmlformats.org/spreadsheetml/2006/main">
  <authors>
    <author>崔锴</author>
    <author>USER</author>
  </authors>
  <commentList>
    <comment ref="K48" authorId="0">
      <text>
        <r>
          <rPr>
            <b/>
            <sz val="9"/>
            <rFont val="宋体"/>
            <charset val="134"/>
          </rPr>
          <t>权重验证</t>
        </r>
        <r>
          <rPr>
            <sz val="9"/>
            <rFont val="宋体"/>
            <charset val="134"/>
          </rPr>
          <t xml:space="preserve">
</t>
        </r>
      </text>
    </comment>
    <comment ref="C58" authorId="1">
      <text>
        <r>
          <rPr>
            <b/>
            <sz val="12"/>
            <rFont val="宋体"/>
            <charset val="134"/>
          </rPr>
          <t>价值时点所在月度</t>
        </r>
        <r>
          <rPr>
            <sz val="12"/>
            <rFont val="宋体"/>
            <charset val="134"/>
          </rPr>
          <t xml:space="preserve">
</t>
        </r>
      </text>
    </comment>
    <comment ref="B102" authorId="1">
      <text>
        <r>
          <rPr>
            <b/>
            <sz val="12"/>
            <rFont val="宋体"/>
            <charset val="134"/>
          </rPr>
          <t>或同用途建筑规模。
面积值自低至高排序</t>
        </r>
        <r>
          <rPr>
            <sz val="9"/>
            <rFont val="宋体"/>
            <charset val="134"/>
          </rPr>
          <t xml:space="preserve">
</t>
        </r>
      </text>
    </comment>
  </commentList>
</comments>
</file>

<file path=xl/comments11.xml><?xml version="1.0" encoding="utf-8"?>
<comments xmlns="http://schemas.openxmlformats.org/spreadsheetml/2006/main">
  <authors>
    <author>崔锴</author>
    <author>USER</author>
  </authors>
  <commentList>
    <comment ref="K49" authorId="0">
      <text>
        <r>
          <rPr>
            <b/>
            <sz val="9"/>
            <rFont val="宋体"/>
            <charset val="134"/>
          </rPr>
          <t>权重验证</t>
        </r>
        <r>
          <rPr>
            <sz val="9"/>
            <rFont val="宋体"/>
            <charset val="134"/>
          </rPr>
          <t xml:space="preserve">
</t>
        </r>
      </text>
    </comment>
    <comment ref="C59" authorId="1">
      <text>
        <r>
          <rPr>
            <b/>
            <sz val="12"/>
            <rFont val="宋体"/>
            <charset val="134"/>
          </rPr>
          <t>价值时点所在月度</t>
        </r>
        <r>
          <rPr>
            <sz val="12"/>
            <rFont val="宋体"/>
            <charset val="134"/>
          </rPr>
          <t xml:space="preserve">
</t>
        </r>
      </text>
    </comment>
    <comment ref="B103" authorId="1">
      <text>
        <r>
          <rPr>
            <b/>
            <sz val="12"/>
            <rFont val="宋体"/>
            <charset val="134"/>
          </rPr>
          <t>或同用途建筑规模。
面积值自低至高排序</t>
        </r>
        <r>
          <rPr>
            <sz val="9"/>
            <rFont val="宋体"/>
            <charset val="134"/>
          </rPr>
          <t xml:space="preserve">
</t>
        </r>
      </text>
    </comment>
  </commentList>
</comments>
</file>

<file path=xl/comments12.xml><?xml version="1.0" encoding="utf-8"?>
<comments xmlns="http://schemas.openxmlformats.org/spreadsheetml/2006/main">
  <authors>
    <author>崔锴</author>
    <author>USER</author>
  </authors>
  <commentList>
    <comment ref="K42" authorId="0">
      <text>
        <r>
          <rPr>
            <b/>
            <sz val="9"/>
            <rFont val="宋体"/>
            <charset val="134"/>
          </rPr>
          <t>权重验证</t>
        </r>
        <r>
          <rPr>
            <sz val="9"/>
            <rFont val="宋体"/>
            <charset val="134"/>
          </rPr>
          <t xml:space="preserve">
</t>
        </r>
      </text>
    </comment>
    <comment ref="C52" authorId="1">
      <text>
        <r>
          <rPr>
            <b/>
            <sz val="12"/>
            <rFont val="宋体"/>
            <charset val="134"/>
          </rPr>
          <t>价值时点所在月度</t>
        </r>
        <r>
          <rPr>
            <sz val="12"/>
            <rFont val="宋体"/>
            <charset val="134"/>
          </rPr>
          <t xml:space="preserve">
</t>
        </r>
      </text>
    </comment>
    <comment ref="B90" authorId="1">
      <text>
        <r>
          <rPr>
            <b/>
            <sz val="12"/>
            <rFont val="宋体"/>
            <charset val="134"/>
          </rPr>
          <t>或同用途建筑规模。
面积值自低至高排序</t>
        </r>
        <r>
          <rPr>
            <sz val="9"/>
            <rFont val="宋体"/>
            <charset val="134"/>
          </rPr>
          <t xml:space="preserve">
</t>
        </r>
      </text>
    </comment>
  </commentList>
</comments>
</file>

<file path=xl/comments13.xml><?xml version="1.0" encoding="utf-8"?>
<comments xmlns="http://schemas.openxmlformats.org/spreadsheetml/2006/main">
  <authors>
    <author>USER</author>
    <author>崔锴</author>
  </authors>
  <commentList>
    <comment ref="B1" authorId="0">
      <text>
        <r>
          <rPr>
            <b/>
            <sz val="12"/>
            <rFont val="宋体"/>
            <charset val="134"/>
          </rPr>
          <t>主用途</t>
        </r>
        <r>
          <rPr>
            <sz val="12"/>
            <rFont val="宋体"/>
            <charset val="134"/>
          </rPr>
          <t xml:space="preserve">
</t>
        </r>
      </text>
    </comment>
    <comment ref="K38" authorId="1">
      <text>
        <r>
          <rPr>
            <b/>
            <sz val="9"/>
            <rFont val="宋体"/>
            <charset val="134"/>
          </rPr>
          <t>权重验证</t>
        </r>
        <r>
          <rPr>
            <sz val="9"/>
            <rFont val="宋体"/>
            <charset val="134"/>
          </rPr>
          <t xml:space="preserve">
</t>
        </r>
      </text>
    </comment>
    <comment ref="C48" authorId="0">
      <text>
        <r>
          <rPr>
            <b/>
            <sz val="12"/>
            <rFont val="宋体"/>
            <charset val="134"/>
          </rPr>
          <t>价值时点所在月度</t>
        </r>
        <r>
          <rPr>
            <sz val="12"/>
            <rFont val="宋体"/>
            <charset val="134"/>
          </rPr>
          <t xml:space="preserve">
</t>
        </r>
      </text>
    </comment>
    <comment ref="B88" authorId="0">
      <text>
        <r>
          <rPr>
            <b/>
            <sz val="12"/>
            <rFont val="宋体"/>
            <charset val="134"/>
          </rPr>
          <t>所属项目品质或
物业管理</t>
        </r>
      </text>
    </comment>
    <comment ref="B90" authorId="0">
      <text>
        <r>
          <rPr>
            <b/>
            <sz val="12"/>
            <rFont val="宋体"/>
            <charset val="134"/>
          </rPr>
          <t>已车位总价比较时不修正此项</t>
        </r>
        <r>
          <rPr>
            <sz val="9"/>
            <rFont val="宋体"/>
            <charset val="134"/>
          </rPr>
          <t xml:space="preserve">
</t>
        </r>
      </text>
    </comment>
  </commentList>
</comments>
</file>

<file path=xl/comments14.xml><?xml version="1.0" encoding="utf-8"?>
<comments xmlns="http://schemas.openxmlformats.org/spreadsheetml/2006/main">
  <authors>
    <author>USER</author>
    <author>崔锴</author>
  </authors>
  <commentList>
    <comment ref="B1" authorId="0">
      <text>
        <r>
          <rPr>
            <b/>
            <sz val="12"/>
            <rFont val="宋体"/>
            <charset val="134"/>
          </rPr>
          <t>主用途</t>
        </r>
        <r>
          <rPr>
            <b/>
            <sz val="9"/>
            <rFont val="宋体"/>
            <charset val="134"/>
          </rPr>
          <t xml:space="preserve">
</t>
        </r>
        <r>
          <rPr>
            <sz val="9"/>
            <rFont val="宋体"/>
            <charset val="134"/>
          </rPr>
          <t xml:space="preserve">
</t>
        </r>
      </text>
    </comment>
    <comment ref="K36" authorId="1">
      <text>
        <r>
          <rPr>
            <b/>
            <sz val="9"/>
            <rFont val="宋体"/>
            <charset val="134"/>
          </rPr>
          <t>权重验证</t>
        </r>
        <r>
          <rPr>
            <sz val="9"/>
            <rFont val="宋体"/>
            <charset val="134"/>
          </rPr>
          <t xml:space="preserve">
</t>
        </r>
      </text>
    </comment>
    <comment ref="C46" authorId="0">
      <text>
        <r>
          <rPr>
            <b/>
            <sz val="12"/>
            <rFont val="宋体"/>
            <charset val="134"/>
          </rPr>
          <t>价值时点所在月度</t>
        </r>
        <r>
          <rPr>
            <sz val="12"/>
            <rFont val="宋体"/>
            <charset val="134"/>
          </rPr>
          <t xml:space="preserve">
</t>
        </r>
      </text>
    </comment>
    <comment ref="B82" authorId="0">
      <text>
        <r>
          <rPr>
            <b/>
            <sz val="12"/>
            <rFont val="宋体"/>
            <charset val="134"/>
          </rPr>
          <t>所属项目品质或
物业管理</t>
        </r>
      </text>
    </comment>
    <comment ref="B86" authorId="0">
      <text>
        <r>
          <rPr>
            <b/>
            <sz val="12"/>
            <rFont val="宋体"/>
            <charset val="134"/>
          </rPr>
          <t>所属项目品质</t>
        </r>
      </text>
    </comment>
    <comment ref="B89" authorId="0">
      <text>
        <r>
          <rPr>
            <b/>
            <sz val="12"/>
            <rFont val="宋体"/>
            <charset val="134"/>
          </rPr>
          <t>已车位总价比较时不修正此项</t>
        </r>
        <r>
          <rPr>
            <sz val="9"/>
            <rFont val="宋体"/>
            <charset val="134"/>
          </rPr>
          <t xml:space="preserve">
</t>
        </r>
      </text>
    </comment>
  </commentList>
</comments>
</file>

<file path=xl/comments15.xml><?xml version="1.0" encoding="utf-8"?>
<comments xmlns="http://schemas.openxmlformats.org/spreadsheetml/2006/main">
  <authors>
    <author>崔锴</author>
    <author>USER</author>
  </authors>
  <commentList>
    <comment ref="K47" authorId="0">
      <text>
        <r>
          <rPr>
            <b/>
            <sz val="9"/>
            <rFont val="宋体"/>
            <charset val="134"/>
          </rPr>
          <t>权重验证</t>
        </r>
        <r>
          <rPr>
            <sz val="9"/>
            <rFont val="宋体"/>
            <charset val="134"/>
          </rPr>
          <t xml:space="preserve">
</t>
        </r>
      </text>
    </comment>
    <comment ref="C70" authorId="1">
      <text>
        <r>
          <rPr>
            <b/>
            <sz val="12"/>
            <rFont val="宋体"/>
            <charset val="134"/>
          </rPr>
          <t>价值时点所在季度</t>
        </r>
        <r>
          <rPr>
            <sz val="12"/>
            <rFont val="宋体"/>
            <charset val="134"/>
          </rPr>
          <t xml:space="preserve">
</t>
        </r>
      </text>
    </comment>
  </commentList>
</comments>
</file>

<file path=xl/comments16.xml><?xml version="1.0" encoding="utf-8"?>
<comments xmlns="http://schemas.openxmlformats.org/spreadsheetml/2006/main">
  <authors>
    <author>崔锴</author>
    <author>USER</author>
  </authors>
  <commentList>
    <comment ref="K42" authorId="0">
      <text>
        <r>
          <rPr>
            <b/>
            <sz val="9"/>
            <rFont val="宋体"/>
            <charset val="134"/>
          </rPr>
          <t>权重验证</t>
        </r>
        <r>
          <rPr>
            <sz val="9"/>
            <rFont val="宋体"/>
            <charset val="134"/>
          </rPr>
          <t xml:space="preserve">
</t>
        </r>
      </text>
    </comment>
    <comment ref="C65" authorId="1">
      <text>
        <r>
          <rPr>
            <b/>
            <sz val="12"/>
            <rFont val="宋体"/>
            <charset val="134"/>
          </rPr>
          <t>价值时点所在季度</t>
        </r>
        <r>
          <rPr>
            <sz val="12"/>
            <rFont val="宋体"/>
            <charset val="134"/>
          </rPr>
          <t xml:space="preserve">
</t>
        </r>
      </text>
    </comment>
  </commentList>
</comments>
</file>

<file path=xl/comments17.xml><?xml version="1.0" encoding="utf-8"?>
<comments xmlns="http://schemas.openxmlformats.org/spreadsheetml/2006/main">
  <authors>
    <author>Sky123.Org</author>
    <author>崔锴</author>
    <author>USER</author>
    <author>1-cuikai</author>
  </authors>
  <commentList>
    <comment ref="C6" authorId="0">
      <text>
        <r>
          <rPr>
            <b/>
            <sz val="9"/>
            <rFont val="宋体"/>
            <charset val="134"/>
          </rPr>
          <t>对应区片地价表</t>
        </r>
        <r>
          <rPr>
            <sz val="9"/>
            <rFont val="宋体"/>
            <charset val="134"/>
          </rPr>
          <t xml:space="preserve">
</t>
        </r>
      </text>
    </comment>
    <comment ref="Y9" authorId="1">
      <text>
        <r>
          <rPr>
            <sz val="11"/>
            <rFont val="宋体"/>
            <charset val="134"/>
          </rPr>
          <t xml:space="preserve">录入层数，将对应的结果录入至左侧相应层的楼层修正系数单元格中
</t>
        </r>
      </text>
    </comment>
    <comment ref="D17" authorId="2">
      <text>
        <r>
          <rPr>
            <b/>
            <sz val="11"/>
            <rFont val="宋体"/>
            <charset val="134"/>
          </rPr>
          <t>七通：通路、通电、通讯、通上水、通下水、通燃气、通热。
五通：通路、通电、通讯、通上水、通下水</t>
        </r>
        <r>
          <rPr>
            <sz val="11"/>
            <rFont val="宋体"/>
            <charset val="134"/>
          </rPr>
          <t xml:space="preserve">
</t>
        </r>
      </text>
    </comment>
    <comment ref="B31" authorId="3">
      <text>
        <r>
          <rPr>
            <b/>
            <sz val="9"/>
            <rFont val="宋体"/>
            <charset val="134"/>
          </rPr>
          <t>地下商业：地上主用途需选商业
地下办公：地上主用途需选办公
地下仓储及车库：按地上主用途计算</t>
        </r>
        <r>
          <rPr>
            <sz val="9"/>
            <rFont val="宋体"/>
            <charset val="134"/>
          </rPr>
          <t xml:space="preserve">
</t>
        </r>
      </text>
    </comment>
    <comment ref="G41" authorId="3">
      <text>
        <r>
          <rPr>
            <b/>
            <sz val="9"/>
            <rFont val="宋体"/>
            <charset val="134"/>
          </rPr>
          <t xml:space="preserve">需在此处填写剩余土地年限
</t>
        </r>
        <r>
          <rPr>
            <sz val="9"/>
            <rFont val="宋体"/>
            <charset val="134"/>
          </rPr>
          <t xml:space="preserve">
</t>
        </r>
      </text>
    </comment>
    <comment ref="C99" authorId="0">
      <text>
        <r>
          <rPr>
            <b/>
            <sz val="9"/>
            <rFont val="宋体"/>
            <charset val="134"/>
          </rPr>
          <t xml:space="preserve">所在楼层
</t>
        </r>
        <r>
          <rPr>
            <sz val="9"/>
            <rFont val="宋体"/>
            <charset val="134"/>
          </rPr>
          <t xml:space="preserve">
</t>
        </r>
      </text>
    </comment>
    <comment ref="D99" authorId="0">
      <text>
        <r>
          <rPr>
            <b/>
            <sz val="9"/>
            <rFont val="宋体"/>
            <charset val="134"/>
          </rPr>
          <t xml:space="preserve">所在楼层
</t>
        </r>
        <r>
          <rPr>
            <sz val="9"/>
            <rFont val="宋体"/>
            <charset val="134"/>
          </rPr>
          <t xml:space="preserve">
</t>
        </r>
      </text>
    </comment>
    <comment ref="E99" authorId="0">
      <text>
        <r>
          <rPr>
            <b/>
            <sz val="9"/>
            <rFont val="宋体"/>
            <charset val="134"/>
          </rPr>
          <t xml:space="preserve">所在楼层
</t>
        </r>
        <r>
          <rPr>
            <sz val="9"/>
            <rFont val="宋体"/>
            <charset val="134"/>
          </rPr>
          <t xml:space="preserve">
</t>
        </r>
      </text>
    </comment>
    <comment ref="F99" authorId="0">
      <text>
        <r>
          <rPr>
            <b/>
            <sz val="9"/>
            <rFont val="宋体"/>
            <charset val="134"/>
          </rPr>
          <t xml:space="preserve">所在楼层
</t>
        </r>
        <r>
          <rPr>
            <sz val="9"/>
            <rFont val="宋体"/>
            <charset val="134"/>
          </rPr>
          <t xml:space="preserve">
</t>
        </r>
      </text>
    </comment>
    <comment ref="G99" authorId="0">
      <text>
        <r>
          <rPr>
            <b/>
            <sz val="9"/>
            <rFont val="宋体"/>
            <charset val="134"/>
          </rPr>
          <t xml:space="preserve">所在楼层
</t>
        </r>
        <r>
          <rPr>
            <sz val="9"/>
            <rFont val="宋体"/>
            <charset val="134"/>
          </rPr>
          <t xml:space="preserve">
</t>
        </r>
      </text>
    </comment>
    <comment ref="H99" authorId="0">
      <text>
        <r>
          <rPr>
            <b/>
            <sz val="9"/>
            <rFont val="宋体"/>
            <charset val="134"/>
          </rPr>
          <t xml:space="preserve">所在楼层
</t>
        </r>
        <r>
          <rPr>
            <sz val="9"/>
            <rFont val="宋体"/>
            <charset val="134"/>
          </rPr>
          <t xml:space="preserve">
</t>
        </r>
      </text>
    </comment>
    <comment ref="I99" authorId="0">
      <text>
        <r>
          <rPr>
            <b/>
            <sz val="9"/>
            <rFont val="宋体"/>
            <charset val="134"/>
          </rPr>
          <t xml:space="preserve">所在楼层
</t>
        </r>
        <r>
          <rPr>
            <sz val="9"/>
            <rFont val="宋体"/>
            <charset val="134"/>
          </rPr>
          <t xml:space="preserve">
</t>
        </r>
      </text>
    </comment>
    <comment ref="J99" authorId="0">
      <text>
        <r>
          <rPr>
            <b/>
            <sz val="9"/>
            <rFont val="宋体"/>
            <charset val="134"/>
          </rPr>
          <t xml:space="preserve">所在楼层
</t>
        </r>
        <r>
          <rPr>
            <sz val="9"/>
            <rFont val="宋体"/>
            <charset val="134"/>
          </rPr>
          <t xml:space="preserve">
</t>
        </r>
      </text>
    </comment>
    <comment ref="K99" authorId="0">
      <text>
        <r>
          <rPr>
            <b/>
            <sz val="9"/>
            <rFont val="宋体"/>
            <charset val="134"/>
          </rPr>
          <t xml:space="preserve">所在楼层
</t>
        </r>
        <r>
          <rPr>
            <sz val="9"/>
            <rFont val="宋体"/>
            <charset val="134"/>
          </rPr>
          <t xml:space="preserve">
</t>
        </r>
      </text>
    </comment>
    <comment ref="L99" authorId="0">
      <text>
        <r>
          <rPr>
            <b/>
            <sz val="9"/>
            <rFont val="宋体"/>
            <charset val="134"/>
          </rPr>
          <t xml:space="preserve">所在楼层
</t>
        </r>
        <r>
          <rPr>
            <sz val="9"/>
            <rFont val="宋体"/>
            <charset val="134"/>
          </rPr>
          <t xml:space="preserve">
</t>
        </r>
      </text>
    </comment>
    <comment ref="M99" authorId="0">
      <text>
        <r>
          <rPr>
            <b/>
            <sz val="9"/>
            <rFont val="宋体"/>
            <charset val="134"/>
          </rPr>
          <t xml:space="preserve">所在楼层
</t>
        </r>
        <r>
          <rPr>
            <sz val="9"/>
            <rFont val="宋体"/>
            <charset val="134"/>
          </rPr>
          <t xml:space="preserve">
</t>
        </r>
      </text>
    </comment>
    <comment ref="N99" authorId="0">
      <text>
        <r>
          <rPr>
            <b/>
            <sz val="9"/>
            <rFont val="宋体"/>
            <charset val="134"/>
          </rPr>
          <t xml:space="preserve">所在楼层
</t>
        </r>
        <r>
          <rPr>
            <sz val="9"/>
            <rFont val="宋体"/>
            <charset val="134"/>
          </rPr>
          <t xml:space="preserve">
</t>
        </r>
      </text>
    </comment>
    <comment ref="C101" authorId="0">
      <text>
        <r>
          <rPr>
            <b/>
            <sz val="9"/>
            <rFont val="宋体"/>
            <charset val="134"/>
          </rPr>
          <t xml:space="preserve">容积率
</t>
        </r>
      </text>
    </comment>
    <comment ref="D101" authorId="0">
      <text>
        <r>
          <rPr>
            <b/>
            <sz val="9"/>
            <rFont val="宋体"/>
            <charset val="134"/>
          </rPr>
          <t xml:space="preserve">容积率
</t>
        </r>
      </text>
    </comment>
    <comment ref="E101" authorId="0">
      <text>
        <r>
          <rPr>
            <b/>
            <sz val="9"/>
            <rFont val="宋体"/>
            <charset val="134"/>
          </rPr>
          <t xml:space="preserve">容积率
</t>
        </r>
      </text>
    </comment>
    <comment ref="F101" authorId="0">
      <text>
        <r>
          <rPr>
            <b/>
            <sz val="9"/>
            <rFont val="宋体"/>
            <charset val="134"/>
          </rPr>
          <t xml:space="preserve">容积率
</t>
        </r>
      </text>
    </comment>
    <comment ref="G101" authorId="0">
      <text>
        <r>
          <rPr>
            <b/>
            <sz val="9"/>
            <rFont val="宋体"/>
            <charset val="134"/>
          </rPr>
          <t xml:space="preserve">容积率
</t>
        </r>
      </text>
    </comment>
    <comment ref="H101" authorId="0">
      <text>
        <r>
          <rPr>
            <b/>
            <sz val="9"/>
            <rFont val="宋体"/>
            <charset val="134"/>
          </rPr>
          <t xml:space="preserve">容积率
</t>
        </r>
      </text>
    </comment>
    <comment ref="I101" authorId="0">
      <text>
        <r>
          <rPr>
            <b/>
            <sz val="9"/>
            <rFont val="宋体"/>
            <charset val="134"/>
          </rPr>
          <t xml:space="preserve">容积率
</t>
        </r>
      </text>
    </comment>
    <comment ref="J101" authorId="0">
      <text>
        <r>
          <rPr>
            <b/>
            <sz val="9"/>
            <rFont val="宋体"/>
            <charset val="134"/>
          </rPr>
          <t xml:space="preserve">容积率
</t>
        </r>
      </text>
    </comment>
    <comment ref="K101" authorId="0">
      <text>
        <r>
          <rPr>
            <b/>
            <sz val="9"/>
            <rFont val="宋体"/>
            <charset val="134"/>
          </rPr>
          <t xml:space="preserve">容积率
</t>
        </r>
      </text>
    </comment>
    <comment ref="L101" authorId="0">
      <text>
        <r>
          <rPr>
            <b/>
            <sz val="9"/>
            <rFont val="宋体"/>
            <charset val="134"/>
          </rPr>
          <t xml:space="preserve">容积率
</t>
        </r>
      </text>
    </comment>
    <comment ref="M101" authorId="0">
      <text>
        <r>
          <rPr>
            <b/>
            <sz val="9"/>
            <rFont val="宋体"/>
            <charset val="134"/>
          </rPr>
          <t xml:space="preserve">容积率
</t>
        </r>
      </text>
    </comment>
    <comment ref="N101" authorId="0">
      <text>
        <r>
          <rPr>
            <b/>
            <sz val="9"/>
            <rFont val="宋体"/>
            <charset val="134"/>
          </rPr>
          <t xml:space="preserve">容积率
</t>
        </r>
      </text>
    </comment>
    <comment ref="C108" authorId="0">
      <text>
        <r>
          <rPr>
            <b/>
            <sz val="9"/>
            <rFont val="宋体"/>
            <charset val="134"/>
          </rPr>
          <t xml:space="preserve">所在楼层
</t>
        </r>
        <r>
          <rPr>
            <sz val="9"/>
            <rFont val="宋体"/>
            <charset val="134"/>
          </rPr>
          <t xml:space="preserve">
</t>
        </r>
      </text>
    </comment>
    <comment ref="D108" authorId="0">
      <text>
        <r>
          <rPr>
            <b/>
            <sz val="9"/>
            <rFont val="宋体"/>
            <charset val="134"/>
          </rPr>
          <t xml:space="preserve">所在楼层
</t>
        </r>
        <r>
          <rPr>
            <sz val="9"/>
            <rFont val="宋体"/>
            <charset val="134"/>
          </rPr>
          <t xml:space="preserve">
</t>
        </r>
      </text>
    </comment>
    <comment ref="E108" authorId="0">
      <text>
        <r>
          <rPr>
            <b/>
            <sz val="9"/>
            <rFont val="宋体"/>
            <charset val="134"/>
          </rPr>
          <t xml:space="preserve">所在楼层
</t>
        </r>
        <r>
          <rPr>
            <sz val="9"/>
            <rFont val="宋体"/>
            <charset val="134"/>
          </rPr>
          <t xml:space="preserve">
</t>
        </r>
      </text>
    </comment>
    <comment ref="F108" authorId="0">
      <text>
        <r>
          <rPr>
            <b/>
            <sz val="9"/>
            <rFont val="宋体"/>
            <charset val="134"/>
          </rPr>
          <t xml:space="preserve">所在楼层
</t>
        </r>
        <r>
          <rPr>
            <sz val="9"/>
            <rFont val="宋体"/>
            <charset val="134"/>
          </rPr>
          <t xml:space="preserve">
</t>
        </r>
      </text>
    </comment>
    <comment ref="G108" authorId="0">
      <text>
        <r>
          <rPr>
            <b/>
            <sz val="9"/>
            <rFont val="宋体"/>
            <charset val="134"/>
          </rPr>
          <t xml:space="preserve">所在楼层
</t>
        </r>
        <r>
          <rPr>
            <sz val="9"/>
            <rFont val="宋体"/>
            <charset val="134"/>
          </rPr>
          <t xml:space="preserve">
</t>
        </r>
      </text>
    </comment>
    <comment ref="H108" authorId="0">
      <text>
        <r>
          <rPr>
            <b/>
            <sz val="9"/>
            <rFont val="宋体"/>
            <charset val="134"/>
          </rPr>
          <t xml:space="preserve">所在楼层
</t>
        </r>
        <r>
          <rPr>
            <sz val="9"/>
            <rFont val="宋体"/>
            <charset val="134"/>
          </rPr>
          <t xml:space="preserve">
</t>
        </r>
      </text>
    </comment>
    <comment ref="I108" authorId="0">
      <text>
        <r>
          <rPr>
            <b/>
            <sz val="9"/>
            <rFont val="宋体"/>
            <charset val="134"/>
          </rPr>
          <t xml:space="preserve">所在楼层
</t>
        </r>
        <r>
          <rPr>
            <sz val="9"/>
            <rFont val="宋体"/>
            <charset val="134"/>
          </rPr>
          <t xml:space="preserve">
</t>
        </r>
      </text>
    </comment>
    <comment ref="J108" authorId="0">
      <text>
        <r>
          <rPr>
            <b/>
            <sz val="9"/>
            <rFont val="宋体"/>
            <charset val="134"/>
          </rPr>
          <t xml:space="preserve">所在楼层
</t>
        </r>
        <r>
          <rPr>
            <sz val="9"/>
            <rFont val="宋体"/>
            <charset val="134"/>
          </rPr>
          <t xml:space="preserve">
</t>
        </r>
      </text>
    </comment>
    <comment ref="K108" authorId="0">
      <text>
        <r>
          <rPr>
            <b/>
            <sz val="9"/>
            <rFont val="宋体"/>
            <charset val="134"/>
          </rPr>
          <t xml:space="preserve">所在楼层
</t>
        </r>
        <r>
          <rPr>
            <sz val="9"/>
            <rFont val="宋体"/>
            <charset val="134"/>
          </rPr>
          <t xml:space="preserve">
</t>
        </r>
      </text>
    </comment>
    <comment ref="L108" authorId="0">
      <text>
        <r>
          <rPr>
            <b/>
            <sz val="9"/>
            <rFont val="宋体"/>
            <charset val="134"/>
          </rPr>
          <t xml:space="preserve">所在楼层
</t>
        </r>
        <r>
          <rPr>
            <sz val="9"/>
            <rFont val="宋体"/>
            <charset val="134"/>
          </rPr>
          <t xml:space="preserve">
</t>
        </r>
      </text>
    </comment>
    <comment ref="M108" authorId="0">
      <text>
        <r>
          <rPr>
            <b/>
            <sz val="9"/>
            <rFont val="宋体"/>
            <charset val="134"/>
          </rPr>
          <t xml:space="preserve">所在楼层
</t>
        </r>
        <r>
          <rPr>
            <sz val="9"/>
            <rFont val="宋体"/>
            <charset val="134"/>
          </rPr>
          <t xml:space="preserve">
</t>
        </r>
      </text>
    </comment>
    <comment ref="N108" authorId="0">
      <text>
        <r>
          <rPr>
            <b/>
            <sz val="9"/>
            <rFont val="宋体"/>
            <charset val="134"/>
          </rPr>
          <t xml:space="preserve">所在楼层
</t>
        </r>
        <r>
          <rPr>
            <sz val="9"/>
            <rFont val="宋体"/>
            <charset val="134"/>
          </rPr>
          <t xml:space="preserve">
</t>
        </r>
      </text>
    </comment>
    <comment ref="D113" authorId="0">
      <text>
        <r>
          <rPr>
            <b/>
            <sz val="9"/>
            <rFont val="宋体"/>
            <charset val="134"/>
          </rPr>
          <t>依用途、级别选择录入</t>
        </r>
        <r>
          <rPr>
            <sz val="9"/>
            <rFont val="宋体"/>
            <charset val="134"/>
          </rPr>
          <t xml:space="preserve">
</t>
        </r>
      </text>
    </comment>
  </commentList>
</comments>
</file>

<file path=xl/comments2.xml><?xml version="1.0" encoding="utf-8"?>
<comments xmlns="http://schemas.openxmlformats.org/spreadsheetml/2006/main">
  <authors>
    <author>USER</author>
    <author>崔锴</author>
  </authors>
  <commentList>
    <comment ref="B6" authorId="0">
      <text>
        <r>
          <rPr>
            <sz val="11"/>
            <rFont val="楷体_GB2312"/>
            <charset val="134"/>
          </rPr>
          <t>其它城市请在右侧录入</t>
        </r>
        <r>
          <rPr>
            <sz val="14"/>
            <rFont val="楷体_GB2312"/>
            <charset val="134"/>
          </rPr>
          <t xml:space="preserve">
</t>
        </r>
      </text>
    </comment>
    <comment ref="C8" authorId="0">
      <text>
        <r>
          <rPr>
            <sz val="11"/>
            <rFont val="宋体"/>
            <charset val="134"/>
          </rPr>
          <t>是否有门牌号，是否对应</t>
        </r>
        <r>
          <rPr>
            <sz val="9"/>
            <rFont val="宋体"/>
            <charset val="134"/>
          </rPr>
          <t xml:space="preserve">
</t>
        </r>
      </text>
    </comment>
    <comment ref="E9" authorId="1">
      <text>
        <r>
          <rPr>
            <sz val="11"/>
            <rFont val="宋体"/>
            <scheme val="minor"/>
            <charset val="0"/>
          </rPr>
          <t>如为车库或仓储，需录入地上主用途的土地级别</t>
        </r>
        <r>
          <rPr>
            <sz val="10"/>
            <rFont val="楷体_GB2312"/>
            <charset val="134"/>
          </rPr>
          <t xml:space="preserve">
</t>
        </r>
      </text>
    </comment>
    <comment ref="C10" authorId="0">
      <text>
        <r>
          <rPr>
            <sz val="10"/>
            <rFont val="宋体"/>
            <charset val="134"/>
          </rPr>
          <t>是否为原户型，有何调整</t>
        </r>
        <r>
          <rPr>
            <sz val="9"/>
            <rFont val="宋体"/>
            <charset val="134"/>
          </rPr>
          <t xml:space="preserve">
</t>
        </r>
      </text>
    </comment>
  </commentList>
</comments>
</file>

<file path=xl/comments3.xml><?xml version="1.0" encoding="utf-8"?>
<comments xmlns="http://schemas.openxmlformats.org/spreadsheetml/2006/main">
  <authors>
    <author>崔锴</author>
    <author>USER</author>
    <author>moqikay</author>
  </authors>
  <commentList>
    <comment ref="A18" authorId="0">
      <text>
        <r>
          <rPr>
            <b/>
            <sz val="9"/>
            <rFont val="宋体"/>
            <charset val="134"/>
          </rPr>
          <t>一般低于建筑物报酬率0.5%</t>
        </r>
      </text>
    </comment>
    <comment ref="A30" authorId="1">
      <text>
        <r>
          <rPr>
            <b/>
            <sz val="10"/>
            <rFont val="宋体"/>
            <charset val="134"/>
          </rPr>
          <t>如租金为按套计取，请在对应第AF列录入套数</t>
        </r>
        <r>
          <rPr>
            <sz val="10"/>
            <rFont val="宋体"/>
            <charset val="134"/>
          </rPr>
          <t xml:space="preserve">
</t>
        </r>
      </text>
    </comment>
    <comment ref="E32" authorId="2">
      <text>
        <r>
          <rPr>
            <b/>
            <sz val="9"/>
            <rFont val="宋体"/>
            <charset val="134"/>
          </rPr>
          <t>moqikay:</t>
        </r>
        <r>
          <rPr>
            <b/>
            <sz val="8"/>
            <rFont val="宋体"/>
            <charset val="134"/>
          </rPr>
          <t xml:space="preserve">
北京：东城区、西城区、北京经济技术开发区范围内，以及在朝阳、海淀、丰台、石景山、门头沟、燕山六个区所属的街道办事处管辖范围内的，税率为7%</t>
        </r>
      </text>
    </comment>
    <comment ref="B37" authorId="0">
      <text>
        <r>
          <rPr>
            <sz val="8"/>
            <rFont val="宋体"/>
            <charset val="134"/>
          </rPr>
          <t xml:space="preserve">无租约或未采用租约，此处不可有值
</t>
        </r>
      </text>
    </comment>
    <comment ref="A42" authorId="1">
      <text>
        <r>
          <rPr>
            <b/>
            <sz val="12"/>
            <rFont val="宋体"/>
            <charset val="134"/>
          </rPr>
          <t>按套计取租金时，在此录入套数</t>
        </r>
        <r>
          <rPr>
            <sz val="9"/>
            <rFont val="宋体"/>
            <charset val="134"/>
          </rPr>
          <t xml:space="preserve">
</t>
        </r>
      </text>
    </comment>
  </commentList>
</comments>
</file>

<file path=xl/comments4.xml><?xml version="1.0" encoding="utf-8"?>
<comments xmlns="http://schemas.openxmlformats.org/spreadsheetml/2006/main">
  <authors>
    <author>Sky123.Org</author>
    <author>USER</author>
  </authors>
  <commentList>
    <comment ref="B3" authorId="0">
      <text>
        <r>
          <rPr>
            <sz val="12"/>
            <rFont val="宋体"/>
            <charset val="134"/>
          </rPr>
          <t xml:space="preserve">指区域居住用地比例、居住小区规模和社区发展完善程度
</t>
        </r>
      </text>
    </comment>
    <comment ref="F3" authorId="0">
      <text>
        <r>
          <rPr>
            <sz val="12"/>
            <rFont val="宋体"/>
            <charset val="134"/>
          </rPr>
          <t xml:space="preserve">也指工业区成熟度，工业区性质、相关产业的配套及集聚状况
</t>
        </r>
      </text>
    </comment>
    <comment ref="B4" authorId="0">
      <text>
        <r>
          <rPr>
            <sz val="12"/>
            <rFont val="宋体"/>
            <charset val="134"/>
          </rPr>
          <t>所在区域的性质（商服区、住宅区还是工业区）、距各类商服中心的距离、商务设施的种类规模与集聚程度、商服氛围、经营类别、客流的数量与质量</t>
        </r>
        <r>
          <rPr>
            <sz val="9"/>
            <rFont val="宋体"/>
            <charset val="134"/>
          </rPr>
          <t xml:space="preserve">
</t>
        </r>
      </text>
    </comment>
    <comment ref="F4" authorId="1">
      <text>
        <r>
          <rPr>
            <sz val="12"/>
            <rFont val="宋体"/>
            <charset val="134"/>
          </rPr>
          <t>侧重对外交通、货运交通状况</t>
        </r>
        <r>
          <rPr>
            <sz val="9"/>
            <rFont val="宋体"/>
            <charset val="134"/>
          </rPr>
          <t xml:space="preserve">
</t>
        </r>
      </text>
    </comment>
    <comment ref="B5" authorId="0">
      <text>
        <r>
          <rPr>
            <sz val="12"/>
            <rFont val="宋体"/>
            <charset val="134"/>
          </rPr>
          <t xml:space="preserve">所在区域的性质（商服区、住宅区还是工业区）、距各类商服中心的距离、商务设施的种类规模与集聚程度、商服氛围、经营类别、客流的数量与质量
</t>
        </r>
        <r>
          <rPr>
            <sz val="9"/>
            <rFont val="宋体"/>
            <charset val="134"/>
          </rPr>
          <t xml:space="preserve">
</t>
        </r>
      </text>
    </comment>
    <comment ref="B6" authorId="1">
      <text>
        <r>
          <rPr>
            <sz val="12"/>
            <rFont val="宋体"/>
            <charset val="134"/>
          </rPr>
          <t>侧重公共交通通达、停车便捷程度</t>
        </r>
        <r>
          <rPr>
            <sz val="9"/>
            <rFont val="宋体"/>
            <charset val="134"/>
          </rPr>
          <t xml:space="preserve">
</t>
        </r>
      </text>
    </comment>
    <comment ref="F7" authorId="0">
      <text>
        <r>
          <rPr>
            <sz val="12"/>
            <rFont val="宋体"/>
            <charset val="134"/>
          </rPr>
          <t>主要指污染排放状况及治理状况、距离危险设施或污染源的临近程度、自然条件等</t>
        </r>
      </text>
    </comment>
    <comment ref="B9" authorId="0">
      <text>
        <r>
          <rPr>
            <sz val="12"/>
            <rFont val="宋体"/>
            <charset val="134"/>
          </rPr>
          <t>主要为人文环境和自然环境。人文环境包括学校数目和类型；文体休闲设施状况；居民素质；自然环境包括：景观、绿化环境、卫生条件、噪音、空气和水体污染及危险设施或污染源的临近程度
景观、卫生条件、噪音等污染情况可单独修正</t>
        </r>
      </text>
    </comment>
  </commentList>
</comments>
</file>

<file path=xl/comments5.xml><?xml version="1.0" encoding="utf-8"?>
<comments xmlns="http://schemas.openxmlformats.org/spreadsheetml/2006/main">
  <authors>
    <author>USER</author>
    <author>作者</author>
  </authors>
  <commentList>
    <comment ref="A24" authorId="0">
      <text>
        <r>
          <rPr>
            <sz val="11"/>
            <rFont val="宋体"/>
            <charset val="134"/>
          </rPr>
          <t>需在下方列示计算过程</t>
        </r>
        <r>
          <rPr>
            <sz val="9"/>
            <rFont val="宋体"/>
            <charset val="134"/>
          </rPr>
          <t xml:space="preserve">
</t>
        </r>
      </text>
    </comment>
    <comment ref="H75" authorId="1">
      <text>
        <r>
          <rPr>
            <b/>
            <sz val="9"/>
            <rFont val="宋体"/>
            <charset val="134"/>
          </rPr>
          <t>已购买年数；无发票此处填0(有公式链接)</t>
        </r>
        <r>
          <rPr>
            <sz val="9"/>
            <rFont val="宋体"/>
            <charset val="134"/>
          </rPr>
          <t xml:space="preserve">
</t>
        </r>
      </text>
    </comment>
  </commentList>
</comments>
</file>

<file path=xl/comments6.xml><?xml version="1.0" encoding="utf-8"?>
<comments xmlns="http://schemas.openxmlformats.org/spreadsheetml/2006/main">
  <authors>
    <author>USER</author>
    <author>作者</author>
  </authors>
  <commentList>
    <comment ref="A24" authorId="0">
      <text>
        <r>
          <rPr>
            <sz val="11"/>
            <rFont val="宋体"/>
            <charset val="134"/>
          </rPr>
          <t>需在下方列示计算过程</t>
        </r>
        <r>
          <rPr>
            <sz val="9"/>
            <rFont val="宋体"/>
            <charset val="134"/>
          </rPr>
          <t xml:space="preserve">
</t>
        </r>
      </text>
    </comment>
    <comment ref="H77" authorId="1">
      <text>
        <r>
          <rPr>
            <b/>
            <sz val="9"/>
            <rFont val="宋体"/>
            <charset val="134"/>
          </rPr>
          <t>已购买年数；无发票此处填0(有公式链接)</t>
        </r>
        <r>
          <rPr>
            <sz val="9"/>
            <rFont val="宋体"/>
            <charset val="134"/>
          </rPr>
          <t xml:space="preserve">
</t>
        </r>
      </text>
    </comment>
  </commentList>
</comments>
</file>

<file path=xl/comments7.xml><?xml version="1.0" encoding="utf-8"?>
<comments xmlns="http://schemas.openxmlformats.org/spreadsheetml/2006/main">
  <authors>
    <author>崔锴</author>
    <author>USER</author>
  </authors>
  <commentList>
    <comment ref="B25" authorId="0">
      <text>
        <r>
          <rPr>
            <b/>
            <sz val="9"/>
            <rFont val="宋体"/>
            <charset val="134"/>
          </rPr>
          <t>适用总楼层相同时的修正（不考虑顶层减值）</t>
        </r>
        <r>
          <rPr>
            <sz val="9"/>
            <rFont val="宋体"/>
            <charset val="134"/>
          </rPr>
          <t xml:space="preserve">
</t>
        </r>
      </text>
    </comment>
    <comment ref="K48" authorId="0">
      <text>
        <r>
          <rPr>
            <b/>
            <sz val="9"/>
            <rFont val="宋体"/>
            <charset val="134"/>
          </rPr>
          <t>权重验证</t>
        </r>
        <r>
          <rPr>
            <sz val="9"/>
            <rFont val="宋体"/>
            <charset val="134"/>
          </rPr>
          <t xml:space="preserve">
</t>
        </r>
      </text>
    </comment>
    <comment ref="C58" authorId="1">
      <text>
        <r>
          <rPr>
            <b/>
            <sz val="12"/>
            <rFont val="宋体"/>
            <charset val="134"/>
          </rPr>
          <t>价值时点所在月度</t>
        </r>
        <r>
          <rPr>
            <sz val="12"/>
            <rFont val="宋体"/>
            <charset val="134"/>
          </rPr>
          <t xml:space="preserve">
</t>
        </r>
      </text>
    </comment>
    <comment ref="B102" authorId="1">
      <text>
        <r>
          <rPr>
            <b/>
            <sz val="12"/>
            <rFont val="宋体"/>
            <charset val="134"/>
          </rPr>
          <t>或同用途建筑规模。
面积值自低至高排序</t>
        </r>
        <r>
          <rPr>
            <sz val="9"/>
            <rFont val="宋体"/>
            <charset val="134"/>
          </rPr>
          <t xml:space="preserve">
</t>
        </r>
      </text>
    </comment>
  </commentList>
</comments>
</file>

<file path=xl/comments8.xml><?xml version="1.0" encoding="utf-8"?>
<comments xmlns="http://schemas.openxmlformats.org/spreadsheetml/2006/main">
  <authors>
    <author>USER</author>
    <author>崔锴</author>
  </authors>
  <commentList>
    <comment ref="F31" authorId="0">
      <text>
        <r>
          <rPr>
            <b/>
            <sz val="9"/>
            <rFont val="宋体"/>
            <charset val="134"/>
          </rPr>
          <t>北京，可执行综合税率：
个人住宅，月租10万（含）以内，2.5%，10万以上4%；
个人非宅：月租10万（含）以下的7%，10万以上的12%</t>
        </r>
        <r>
          <rPr>
            <sz val="9"/>
            <rFont val="宋体"/>
            <charset val="134"/>
          </rPr>
          <t xml:space="preserve">
</t>
        </r>
      </text>
    </comment>
    <comment ref="I53" authorId="1">
      <text>
        <r>
          <rPr>
            <sz val="11"/>
            <rFont val="宋体"/>
            <charset val="134"/>
          </rPr>
          <t>依据一般经验，应比建筑物资本化率高0.5%</t>
        </r>
        <r>
          <rPr>
            <sz val="9"/>
            <rFont val="宋体"/>
            <charset val="134"/>
          </rPr>
          <t xml:space="preserve">
</t>
        </r>
      </text>
    </comment>
    <comment ref="L53" authorId="1">
      <text>
        <r>
          <rPr>
            <sz val="11"/>
            <rFont val="宋体"/>
            <charset val="134"/>
          </rPr>
          <t xml:space="preserve">需注意，采用基准地价系数修正法中土地结果计算时，土地报酬率应采用该方法中报酬率（还原率）。
</t>
        </r>
      </text>
    </comment>
    <comment ref="L56" authorId="1">
      <text>
        <r>
          <rPr>
            <sz val="11"/>
            <rFont val="宋体"/>
            <charset val="134"/>
          </rPr>
          <t>采用租约时，尽量不选用收益还原法</t>
        </r>
        <r>
          <rPr>
            <sz val="9"/>
            <rFont val="宋体"/>
            <charset val="134"/>
          </rPr>
          <t xml:space="preserve">
</t>
        </r>
      </text>
    </comment>
    <comment ref="I57" authorId="1">
      <text>
        <r>
          <rPr>
            <sz val="11"/>
            <rFont val="宋体"/>
            <charset val="134"/>
          </rPr>
          <t>在建项目选择“是”</t>
        </r>
        <r>
          <rPr>
            <sz val="9"/>
            <rFont val="宋体"/>
            <charset val="134"/>
          </rPr>
          <t xml:space="preserve">
</t>
        </r>
      </text>
    </comment>
    <comment ref="F60" authorId="0">
      <text>
        <r>
          <rPr>
            <b/>
            <sz val="9"/>
            <rFont val="宋体"/>
            <charset val="134"/>
          </rPr>
          <t>个人房产计综合税率：个人住宅4.5%；个人非住宅，月租2万（含）以下的6%，2万以上的11%</t>
        </r>
        <r>
          <rPr>
            <sz val="9"/>
            <rFont val="宋体"/>
            <charset val="134"/>
          </rPr>
          <t xml:space="preserve">
</t>
        </r>
      </text>
    </comment>
  </commentList>
</comments>
</file>

<file path=xl/comments9.xml><?xml version="1.0" encoding="utf-8"?>
<comments xmlns="http://schemas.openxmlformats.org/spreadsheetml/2006/main">
  <authors>
    <author>USER</author>
  </authors>
  <commentList>
    <comment ref="B5" authorId="0">
      <text>
        <r>
          <rPr>
            <b/>
            <sz val="12"/>
            <rFont val="宋体"/>
            <charset val="134"/>
          </rPr>
          <t>或同用途建筑规模。
面积值自低至高排序</t>
        </r>
        <r>
          <rPr>
            <sz val="9"/>
            <rFont val="宋体"/>
            <charset val="134"/>
          </rPr>
          <t xml:space="preserve">
</t>
        </r>
      </text>
    </comment>
  </commentList>
</comments>
</file>

<file path=xl/sharedStrings.xml><?xml version="1.0" encoding="utf-8"?>
<sst xmlns="http://schemas.openxmlformats.org/spreadsheetml/2006/main" count="6928" uniqueCount="2463">
  <si>
    <t>顺序</t>
  </si>
  <si>
    <r>
      <rPr>
        <b/>
        <sz val="12"/>
        <color theme="1"/>
        <rFont val="宋体"/>
        <charset val="134"/>
      </rPr>
      <t>复制粘帖</t>
    </r>
    <r>
      <rPr>
        <b/>
        <i/>
        <sz val="12"/>
        <color theme="9" tint="-0.249977111117893"/>
        <rFont val="Arial"/>
        <charset val="134"/>
      </rPr>
      <t>“</t>
    </r>
    <r>
      <rPr>
        <b/>
        <i/>
        <sz val="12"/>
        <color theme="9" tint="-0.249977111117893"/>
        <rFont val="宋体"/>
        <charset val="134"/>
      </rPr>
      <t>值</t>
    </r>
    <r>
      <rPr>
        <b/>
        <i/>
        <sz val="12"/>
        <color theme="9" tint="-0.249977111117893"/>
        <rFont val="Arial"/>
        <charset val="134"/>
      </rPr>
      <t>(V)”</t>
    </r>
    <r>
      <rPr>
        <b/>
        <sz val="12"/>
        <color theme="1"/>
        <rFont val="宋体"/>
        <charset val="134"/>
      </rPr>
      <t>至</t>
    </r>
    <r>
      <rPr>
        <b/>
        <i/>
        <sz val="12"/>
        <color theme="3" tint="0.399914548173467"/>
        <rFont val="Arial"/>
        <charset val="134"/>
      </rPr>
      <t>“</t>
    </r>
    <r>
      <rPr>
        <b/>
        <i/>
        <sz val="12"/>
        <color theme="3" tint="0.399914548173467"/>
        <rFont val="宋体"/>
        <charset val="134"/>
      </rPr>
      <t>致函链接表</t>
    </r>
    <r>
      <rPr>
        <b/>
        <i/>
        <sz val="12"/>
        <color theme="3" tint="0.399914548173467"/>
        <rFont val="Arial"/>
        <charset val="134"/>
      </rPr>
      <t>”</t>
    </r>
  </si>
  <si>
    <t>封皮-估价项目名称</t>
  </si>
  <si>
    <t>封皮-估价委托人</t>
  </si>
  <si>
    <t>封皮-注册房地产估价师</t>
  </si>
  <si>
    <t>封皮-估价报告编号</t>
  </si>
  <si>
    <t>致函-委托事项</t>
  </si>
  <si>
    <t>致函-估价对象</t>
  </si>
  <si>
    <t>致函-估价目的</t>
  </si>
  <si>
    <t>致函-价值时点</t>
  </si>
  <si>
    <t>致函-价值类型-房地产</t>
  </si>
  <si>
    <t>致函-价值类型-建筑物/土地</t>
  </si>
  <si>
    <t>致函-价值类型-抵押</t>
  </si>
  <si>
    <t>致函-价值类型-优先受偿</t>
  </si>
  <si>
    <t>致函-价值类型-净值</t>
  </si>
  <si>
    <t>致函-估价方法</t>
  </si>
  <si>
    <t>致函-估价结果</t>
  </si>
  <si>
    <t>致函-估价结果-表1-名称</t>
  </si>
  <si>
    <t>致函-估价结果-表1-建筑面积</t>
  </si>
  <si>
    <t>致函-估价结果-表1-总</t>
  </si>
  <si>
    <t>致函-估价结果-表1-总（单位）</t>
  </si>
  <si>
    <t>致函-估价结果-表1-单</t>
  </si>
  <si>
    <t>致函-估价结果-表1-大</t>
  </si>
  <si>
    <t>致函-估价结果-表1-优先</t>
  </si>
  <si>
    <t>致函-估价结果-表1-优先（单位）</t>
  </si>
  <si>
    <t>致函-估价结果-表1-优先（大）</t>
  </si>
  <si>
    <t>致函-估价结果-表1-优先-抵押</t>
  </si>
  <si>
    <t>致函-估价结果-表1-优先-工程</t>
  </si>
  <si>
    <t>致函-估价结果-表1-优先-其他</t>
  </si>
  <si>
    <t>致函-估价结果-表1-抵押</t>
  </si>
  <si>
    <t>致函-估价结果-表1-抵押（大）</t>
  </si>
  <si>
    <t>致函-估价结果-表1-已注</t>
  </si>
  <si>
    <t>致函-估价结果-表1-已注（大）</t>
  </si>
  <si>
    <t>致函-估价结果-表1-净值</t>
  </si>
  <si>
    <t>致函-估价结果-表1-净值（单）</t>
  </si>
  <si>
    <t>致函-估价结果-表1-净值（大）</t>
  </si>
  <si>
    <t>致函-估价结果-表2-土地面积</t>
  </si>
  <si>
    <t>致函-估价结果-表2-地（总）</t>
  </si>
  <si>
    <t>致函-估价结果-表2-地（单）</t>
  </si>
  <si>
    <t>致函-估价结果-表2-地（大）</t>
  </si>
  <si>
    <t>致函-估价结果-表2-建（总）</t>
  </si>
  <si>
    <t>致函-估价结果-表2-建（单）</t>
  </si>
  <si>
    <t>致函-估价结果-表2-建（大）</t>
  </si>
  <si>
    <t>致函-特别提示-1</t>
  </si>
  <si>
    <t>致函-特别提示-2</t>
  </si>
  <si>
    <t>致函-特别提示-优先受偿-1</t>
  </si>
  <si>
    <t>致函-特别提示-优先受偿-2</t>
  </si>
  <si>
    <t>致函-特别提示-优先受偿-3</t>
  </si>
  <si>
    <t>致函-特别提示-优先受偿-4</t>
  </si>
  <si>
    <t>致函-特别提示-4</t>
  </si>
  <si>
    <t>致函-特别提示-5</t>
  </si>
  <si>
    <t>致函-出具日期</t>
  </si>
  <si>
    <t>致函-估价师1</t>
  </si>
  <si>
    <t>致函-估价师1-证号</t>
  </si>
  <si>
    <t>致函-估价师2</t>
  </si>
  <si>
    <t>致函-估价师2-证号</t>
  </si>
  <si>
    <t>结果表内容-1</t>
  </si>
  <si>
    <t>结果表内容-2</t>
  </si>
  <si>
    <t>结果表内容-3</t>
  </si>
  <si>
    <t>补充-1</t>
  </si>
  <si>
    <t>补充-2</t>
  </si>
  <si>
    <t>补充-3</t>
  </si>
  <si>
    <t>补充-4-致函-估价结果-表1-抵押（单）</t>
  </si>
  <si>
    <t>补充-5-致函-估价结果-表1-已注（单）</t>
  </si>
  <si>
    <t>补充-6</t>
  </si>
  <si>
    <t>补充-7</t>
  </si>
  <si>
    <t>补充-8</t>
  </si>
  <si>
    <t>补充-9</t>
  </si>
  <si>
    <t>致函-其他专业人员</t>
  </si>
  <si>
    <t>致函-估价结果-表1-抵押（单）</t>
  </si>
  <si>
    <t>致函-估价结果-表1-已注（单）</t>
  </si>
  <si>
    <t xml:space="preserve">— </t>
  </si>
  <si>
    <t>估价项目名称：</t>
  </si>
  <si>
    <t>估价委托人：</t>
  </si>
  <si>
    <t>房地产估价机构：</t>
  </si>
  <si>
    <t>北京康正宏基房地产评估有限公司</t>
  </si>
  <si>
    <t>注册房地产估价师：</t>
  </si>
  <si>
    <t>估价报告编号：</t>
  </si>
  <si>
    <r>
      <rPr>
        <b/>
        <sz val="18"/>
        <color theme="1"/>
        <rFont val="宋体"/>
        <charset val="134"/>
      </rPr>
      <t>评估意见函</t>
    </r>
  </si>
  <si>
    <r>
      <rPr>
        <b/>
        <sz val="14"/>
        <color rgb="FF000000"/>
        <rFont val="宋体"/>
        <charset val="134"/>
      </rPr>
      <t>估价对象：</t>
    </r>
  </si>
  <si>
    <r>
      <rPr>
        <b/>
        <sz val="14"/>
        <color rgb="FF000000"/>
        <rFont val="宋体"/>
        <charset val="134"/>
      </rPr>
      <t>估价目的：</t>
    </r>
  </si>
  <si>
    <r>
      <rPr>
        <b/>
        <sz val="14"/>
        <color theme="1"/>
        <rFont val="宋体"/>
        <charset val="134"/>
      </rPr>
      <t>价值时点：</t>
    </r>
  </si>
  <si>
    <r>
      <rPr>
        <b/>
        <sz val="14"/>
        <color theme="1"/>
        <rFont val="宋体"/>
        <charset val="134"/>
      </rPr>
      <t>价值类型：</t>
    </r>
  </si>
  <si>
    <r>
      <rPr>
        <sz val="14"/>
        <color theme="1"/>
        <rFont val="宋体"/>
        <charset val="134"/>
      </rPr>
      <t>根据房地产估价规范、国家现行有关标准规定和项目的具体要求，本次评估采用的是市场价值标准。根据《房地产估价基本术语标准》，市场价值是经适当营销后，由熟悉情况、谨慎行事且不受强迫的交易双方，以公平交易方式在价值时点自愿进行交易的金额。</t>
    </r>
  </si>
  <si>
    <r>
      <rPr>
        <sz val="14"/>
        <color theme="1"/>
        <rFont val="Arial"/>
        <charset val="134"/>
      </rPr>
      <t>IF(</t>
    </r>
    <r>
      <rPr>
        <sz val="14"/>
        <color theme="1"/>
        <rFont val="宋体"/>
        <charset val="134"/>
      </rPr>
      <t>项目基本情况</t>
    </r>
    <r>
      <rPr>
        <sz val="14"/>
        <color theme="1"/>
        <rFont val="Arial"/>
        <charset val="134"/>
      </rPr>
      <t>!D5="</t>
    </r>
    <r>
      <rPr>
        <sz val="14"/>
        <color theme="1"/>
        <rFont val="宋体"/>
        <charset val="134"/>
      </rPr>
      <t>房地产市场价值</t>
    </r>
    <r>
      <rPr>
        <sz val="14"/>
        <color theme="1"/>
        <rFont val="Arial"/>
        <charset val="134"/>
      </rPr>
      <t>","——","</t>
    </r>
    <r>
      <rPr>
        <sz val="14"/>
        <color theme="1"/>
        <rFont val="宋体"/>
        <charset val="134"/>
      </rPr>
      <t>法定优先受偿款是指假定在价值时点实现抵押权时，法律规定优先于本次抵押贷款受偿的款额，包括发包人拖欠承包人的建筑工程款，已抵押担保的债权数额以及其他法定优先受偿款。</t>
    </r>
    <r>
      <rPr>
        <sz val="14"/>
        <color theme="1"/>
        <rFont val="Arial"/>
        <charset val="134"/>
      </rPr>
      <t>")</t>
    </r>
  </si>
  <si>
    <r>
      <rPr>
        <b/>
        <sz val="14"/>
        <color theme="1"/>
        <rFont val="宋体"/>
        <charset val="134"/>
      </rPr>
      <t>估价方法：</t>
    </r>
  </si>
  <si>
    <t>估价结果：</t>
  </si>
  <si>
    <t>抵押物名称</t>
  </si>
  <si>
    <t>建筑面积（平方米）</t>
  </si>
  <si>
    <t>1.房地产价值</t>
  </si>
  <si>
    <t>大写金额</t>
  </si>
  <si>
    <r>
      <rPr>
        <sz val="12"/>
        <color theme="1"/>
        <rFont val="宋体"/>
        <charset val="134"/>
        <scheme val="minor"/>
      </rPr>
      <t>单价</t>
    </r>
    <r>
      <rPr>
        <sz val="10"/>
        <color indexed="8"/>
        <rFont val="宋体"/>
        <charset val="134"/>
        <scheme val="minor"/>
      </rPr>
      <t>(元/平方米)</t>
    </r>
  </si>
  <si>
    <t>（1）已抵押担保的债权数额</t>
  </si>
  <si>
    <t>（2）拖欠的建设工程价款</t>
  </si>
  <si>
    <t>（3）其他法定优先受偿款</t>
  </si>
  <si>
    <r>
      <rPr>
        <b/>
        <sz val="12"/>
        <color theme="1"/>
        <rFont val="宋体"/>
        <charset val="134"/>
        <scheme val="minor"/>
      </rPr>
      <t>结果表-1</t>
    </r>
    <r>
      <rPr>
        <b/>
        <i/>
        <sz val="12"/>
        <color theme="3" tint="0.399914548173467"/>
        <rFont val="宋体"/>
        <charset val="134"/>
        <scheme val="minor"/>
      </rPr>
      <t>（有土地证）</t>
    </r>
  </si>
  <si>
    <t xml:space="preserve">                                   估价对象项目及结果</t>
  </si>
  <si>
    <t>估价对象</t>
  </si>
  <si>
    <t>总价</t>
  </si>
  <si>
    <t>单价</t>
  </si>
  <si>
    <t>总额</t>
  </si>
  <si>
    <t>（转下页）</t>
  </si>
  <si>
    <r>
      <rPr>
        <sz val="12"/>
        <color indexed="8"/>
        <rFont val="宋体"/>
        <charset val="134"/>
      </rPr>
      <t>抵押物名称</t>
    </r>
  </si>
  <si>
    <r>
      <rPr>
        <sz val="12"/>
        <color indexed="8"/>
        <rFont val="宋体"/>
        <charset val="134"/>
      </rPr>
      <t>建筑面积</t>
    </r>
  </si>
  <si>
    <r>
      <rPr>
        <sz val="12"/>
        <color indexed="8"/>
        <rFont val="Arial"/>
        <charset val="134"/>
      </rPr>
      <t>(</t>
    </r>
    <r>
      <rPr>
        <sz val="12"/>
        <color indexed="8"/>
        <rFont val="宋体"/>
        <charset val="134"/>
      </rPr>
      <t>分摊</t>
    </r>
    <r>
      <rPr>
        <sz val="12"/>
        <color indexed="8"/>
        <rFont val="Arial"/>
        <charset val="134"/>
      </rPr>
      <t>)</t>
    </r>
    <r>
      <rPr>
        <sz val="12"/>
        <color indexed="8"/>
        <rFont val="宋体"/>
        <charset val="134"/>
      </rPr>
      <t>出让国有建设用地使用权面积</t>
    </r>
  </si>
  <si>
    <r>
      <rPr>
        <sz val="12"/>
        <color indexed="8"/>
        <rFont val="宋体"/>
        <charset val="134"/>
      </rPr>
      <t>建筑物价值</t>
    </r>
  </si>
  <si>
    <r>
      <rPr>
        <sz val="12"/>
        <color indexed="8"/>
        <rFont val="宋体"/>
        <charset val="134"/>
      </rPr>
      <t>房地产价值</t>
    </r>
  </si>
  <si>
    <r>
      <rPr>
        <sz val="12"/>
        <color indexed="8"/>
        <rFont val="宋体"/>
        <charset val="134"/>
      </rPr>
      <t>总</t>
    </r>
    <r>
      <rPr>
        <sz val="12"/>
        <color indexed="8"/>
        <rFont val="Arial"/>
        <charset val="134"/>
      </rPr>
      <t xml:space="preserve"> </t>
    </r>
    <r>
      <rPr>
        <sz val="12"/>
        <color indexed="8"/>
        <rFont val="宋体"/>
        <charset val="134"/>
      </rPr>
      <t>价</t>
    </r>
  </si>
  <si>
    <r>
      <rPr>
        <sz val="12"/>
        <color indexed="8"/>
        <rFont val="宋体"/>
        <charset val="134"/>
      </rPr>
      <t>楼面单价</t>
    </r>
  </si>
  <si>
    <r>
      <rPr>
        <sz val="12"/>
        <color indexed="8"/>
        <rFont val="宋体"/>
        <charset val="134"/>
      </rPr>
      <t>大写金额</t>
    </r>
  </si>
  <si>
    <r>
      <rPr>
        <sz val="14"/>
        <color theme="1"/>
        <rFont val="宋体"/>
        <charset val="134"/>
      </rPr>
      <t>（转下页）</t>
    </r>
  </si>
  <si>
    <r>
      <rPr>
        <b/>
        <sz val="14"/>
        <color theme="1"/>
        <rFont val="宋体"/>
        <charset val="134"/>
      </rPr>
      <t>参与本次估价工作的评估专业人员：</t>
    </r>
    <r>
      <rPr>
        <b/>
        <i/>
        <sz val="14"/>
        <color theme="3" tint="0.399914548173467"/>
        <rFont val="宋体"/>
        <charset val="134"/>
      </rPr>
      <t>（仅华夏银行，且需附有测算过程）</t>
    </r>
  </si>
  <si>
    <r>
      <rPr>
        <b/>
        <sz val="14"/>
        <color theme="1"/>
        <rFont val="宋体"/>
        <charset val="134"/>
      </rPr>
      <t>注册房地产估价师</t>
    </r>
  </si>
  <si>
    <r>
      <rPr>
        <sz val="14"/>
        <color rgb="FF000000"/>
        <rFont val="宋体"/>
        <charset val="134"/>
      </rPr>
      <t>姓名</t>
    </r>
  </si>
  <si>
    <r>
      <rPr>
        <sz val="14"/>
        <color rgb="FF000000"/>
        <rFont val="宋体"/>
        <charset val="134"/>
      </rPr>
      <t>注册号</t>
    </r>
  </si>
  <si>
    <r>
      <rPr>
        <sz val="14"/>
        <color rgb="FF000000"/>
        <rFont val="宋体"/>
        <charset val="134"/>
      </rPr>
      <t>签名</t>
    </r>
  </si>
  <si>
    <r>
      <rPr>
        <sz val="14"/>
        <color rgb="FF000000"/>
        <rFont val="宋体"/>
        <charset val="134"/>
      </rPr>
      <t>签名日期</t>
    </r>
  </si>
  <si>
    <r>
      <rPr>
        <sz val="14"/>
        <color rgb="FF000000"/>
        <rFont val="Arial"/>
        <charset val="134"/>
      </rPr>
      <t xml:space="preserve">  </t>
    </r>
    <r>
      <rPr>
        <sz val="14"/>
        <color rgb="FF000000"/>
        <rFont val="宋体"/>
        <charset val="134"/>
      </rPr>
      <t>年</t>
    </r>
    <r>
      <rPr>
        <sz val="14"/>
        <color rgb="FF000000"/>
        <rFont val="Arial"/>
        <charset val="134"/>
      </rPr>
      <t xml:space="preserve">  </t>
    </r>
    <r>
      <rPr>
        <sz val="14"/>
        <color rgb="FF000000"/>
        <rFont val="宋体"/>
        <charset val="134"/>
      </rPr>
      <t>月</t>
    </r>
    <r>
      <rPr>
        <sz val="14"/>
        <color rgb="FF000000"/>
        <rFont val="Arial"/>
        <charset val="134"/>
      </rPr>
      <t xml:space="preserve">  </t>
    </r>
    <r>
      <rPr>
        <sz val="14"/>
        <color rgb="FF000000"/>
        <rFont val="宋体"/>
        <charset val="134"/>
      </rPr>
      <t>日</t>
    </r>
  </si>
  <si>
    <r>
      <rPr>
        <b/>
        <sz val="14"/>
        <color theme="1"/>
        <rFont val="宋体"/>
        <charset val="134"/>
      </rPr>
      <t>其他评估专业人员</t>
    </r>
  </si>
  <si>
    <r>
      <rPr>
        <sz val="14"/>
        <color theme="1"/>
        <rFont val="宋体"/>
        <charset val="134"/>
      </rPr>
      <t>相关资格或职称</t>
    </r>
  </si>
  <si>
    <t>XX</t>
  </si>
  <si>
    <t>——</t>
  </si>
  <si>
    <r>
      <rPr>
        <b/>
        <sz val="14"/>
        <color theme="1"/>
        <rFont val="宋体"/>
        <charset val="134"/>
      </rPr>
      <t>特别提示：</t>
    </r>
  </si>
  <si>
    <r>
      <rPr>
        <sz val="12"/>
        <color theme="1"/>
        <rFont val="Arial"/>
        <charset val="134"/>
      </rPr>
      <t>1</t>
    </r>
    <r>
      <rPr>
        <sz val="12"/>
        <color indexed="8"/>
        <rFont val="Arial"/>
        <charset val="134"/>
      </rPr>
      <t>.</t>
    </r>
    <r>
      <rPr>
        <sz val="12"/>
        <color indexed="8"/>
        <rFont val="宋体"/>
        <charset val="134"/>
      </rPr>
      <t>本《评估意见函》中所列估价结果为初评结果，准确金额以本公司出具的正式《不动产估价报告书》为准。</t>
    </r>
  </si>
  <si>
    <r>
      <rPr>
        <sz val="12"/>
        <color theme="9" tint="-0.249977111117893"/>
        <rFont val="宋体"/>
        <charset val="134"/>
      </rPr>
      <t>根据《北京市已购公有住房上市出售实施办法》，上市出售按房改成本价购买的公有住房，须按当年房改成本价</t>
    </r>
    <r>
      <rPr>
        <sz val="12"/>
        <color indexed="53"/>
        <rFont val="Arial"/>
        <charset val="134"/>
      </rPr>
      <t>1%</t>
    </r>
    <r>
      <rPr>
        <sz val="12"/>
        <color indexed="53"/>
        <rFont val="宋体"/>
        <charset val="134"/>
      </rPr>
      <t>补缴土地出让金后可办理商品房房屋所有权证，即累计应交</t>
    </r>
    <r>
      <rPr>
        <sz val="12"/>
        <color indexed="53"/>
        <rFont val="Arial"/>
        <charset val="134"/>
      </rPr>
      <t>1794</t>
    </r>
    <r>
      <rPr>
        <sz val="12"/>
        <color indexed="53"/>
        <rFont val="宋体"/>
        <charset val="134"/>
      </rPr>
      <t>元人民币（具体结算金额以相关部门核定为准）。因此，估价师所知悉的法定优先受偿款为</t>
    </r>
    <r>
      <rPr>
        <sz val="12"/>
        <color indexed="53"/>
        <rFont val="Arial"/>
        <charset val="134"/>
      </rPr>
      <t>1794</t>
    </r>
    <r>
      <rPr>
        <sz val="12"/>
        <color indexed="53"/>
        <rFont val="宋体"/>
        <charset val="134"/>
      </rPr>
      <t>元。</t>
    </r>
  </si>
  <si>
    <r>
      <rPr>
        <sz val="12"/>
        <color theme="9" tint="-0.249977111117893"/>
        <rFont val="Arial"/>
        <charset val="134"/>
      </rPr>
      <t>6.</t>
    </r>
    <r>
      <rPr>
        <sz val="12"/>
        <color indexed="53"/>
        <rFont val="宋体"/>
        <charset val="134"/>
      </rPr>
      <t>其他需特殊说明事项：</t>
    </r>
    <r>
      <rPr>
        <i/>
        <sz val="12"/>
        <color theme="3" tint="0.399914548173467"/>
        <rFont val="宋体"/>
        <charset val="134"/>
      </rPr>
      <t>（没有时删除此项；注意修改序号）</t>
    </r>
  </si>
  <si>
    <r>
      <rPr>
        <sz val="14"/>
        <color theme="1"/>
        <rFont val="Arial"/>
        <charset val="134"/>
      </rPr>
      <t xml:space="preserve">      </t>
    </r>
    <r>
      <rPr>
        <sz val="14"/>
        <color theme="1"/>
        <rFont val="宋体"/>
        <charset val="134"/>
      </rPr>
      <t>顺致</t>
    </r>
  </si>
  <si>
    <r>
      <rPr>
        <sz val="14"/>
        <color theme="1"/>
        <rFont val="宋体"/>
        <charset val="134"/>
      </rPr>
      <t>商祺</t>
    </r>
  </si>
  <si>
    <r>
      <rPr>
        <sz val="14"/>
        <color theme="1"/>
        <rFont val="宋体"/>
        <charset val="134"/>
      </rPr>
      <t>北京康正宏基房地产评估有限公司</t>
    </r>
  </si>
  <si>
    <r>
      <rPr>
        <b/>
        <sz val="14"/>
        <color indexed="10"/>
        <rFont val="宋体"/>
        <charset val="134"/>
      </rPr>
      <t>请用</t>
    </r>
    <r>
      <rPr>
        <b/>
        <sz val="14"/>
        <color indexed="10"/>
        <rFont val="Arial"/>
        <charset val="134"/>
      </rPr>
      <t>EXCEL2010</t>
    </r>
    <r>
      <rPr>
        <b/>
        <sz val="14"/>
        <color indexed="10"/>
        <rFont val="宋体"/>
        <charset val="134"/>
      </rPr>
      <t>以上版本打开，否则个别格式设置会与原表不一致，影响使用</t>
    </r>
  </si>
  <si>
    <r>
      <rPr>
        <b/>
        <sz val="12"/>
        <color indexed="8"/>
        <rFont val="宋体"/>
        <charset val="134"/>
      </rPr>
      <t>录入项</t>
    </r>
  </si>
  <si>
    <r>
      <rPr>
        <sz val="11"/>
        <color indexed="8"/>
        <rFont val="宋体"/>
        <charset val="134"/>
      </rPr>
      <t>无底纹单元格</t>
    </r>
  </si>
  <si>
    <r>
      <rPr>
        <b/>
        <sz val="12"/>
        <color indexed="8"/>
        <rFont val="宋体"/>
        <charset val="134"/>
      </rPr>
      <t>下拉菜单</t>
    </r>
  </si>
  <si>
    <r>
      <rPr>
        <sz val="11"/>
        <color indexed="8"/>
        <rFont val="宋体"/>
        <charset val="134"/>
      </rPr>
      <t>黄色底纹单元格</t>
    </r>
  </si>
  <si>
    <r>
      <rPr>
        <b/>
        <sz val="12"/>
        <color indexed="8"/>
        <rFont val="宋体"/>
        <charset val="134"/>
      </rPr>
      <t>锁定项</t>
    </r>
  </si>
  <si>
    <r>
      <rPr>
        <sz val="11"/>
        <color indexed="8"/>
        <rFont val="宋体"/>
        <charset val="134"/>
      </rPr>
      <t>灰色底纹单元格</t>
    </r>
  </si>
  <si>
    <r>
      <rPr>
        <b/>
        <sz val="12"/>
        <color indexed="13"/>
        <rFont val="宋体"/>
        <charset val="134"/>
      </rPr>
      <t>错误提示</t>
    </r>
  </si>
  <si>
    <r>
      <rPr>
        <sz val="11"/>
        <color indexed="8"/>
        <rFont val="宋体"/>
        <charset val="134"/>
      </rPr>
      <t>红色底纹黄色字体</t>
    </r>
  </si>
  <si>
    <r>
      <rPr>
        <b/>
        <sz val="12"/>
        <color indexed="10"/>
        <rFont val="宋体"/>
        <charset val="134"/>
      </rPr>
      <t>特别提示</t>
    </r>
  </si>
  <si>
    <r>
      <rPr>
        <sz val="11"/>
        <color indexed="8"/>
        <rFont val="宋体"/>
        <charset val="134"/>
      </rPr>
      <t>红色字体</t>
    </r>
  </si>
  <si>
    <r>
      <rPr>
        <b/>
        <sz val="12"/>
        <color indexed="8"/>
        <rFont val="宋体"/>
        <charset val="134"/>
      </rPr>
      <t>关注批注角标</t>
    </r>
  </si>
  <si>
    <r>
      <rPr>
        <sz val="11"/>
        <color indexed="8"/>
        <rFont val="宋体"/>
        <charset val="134"/>
      </rPr>
      <t>基础表</t>
    </r>
  </si>
  <si>
    <r>
      <rPr>
        <sz val="11"/>
        <color indexed="8"/>
        <rFont val="宋体"/>
        <charset val="134"/>
      </rPr>
      <t>定义</t>
    </r>
  </si>
  <si>
    <r>
      <rPr>
        <sz val="11"/>
        <color indexed="8"/>
        <rFont val="宋体"/>
        <charset val="134"/>
      </rPr>
      <t>项目基本情况</t>
    </r>
  </si>
  <si>
    <r>
      <rPr>
        <sz val="11"/>
        <color indexed="8"/>
        <rFont val="宋体"/>
        <charset val="134"/>
      </rPr>
      <t>数据</t>
    </r>
    <r>
      <rPr>
        <sz val="11"/>
        <color indexed="8"/>
        <rFont val="Arial"/>
        <charset val="134"/>
      </rPr>
      <t>-</t>
    </r>
    <r>
      <rPr>
        <sz val="11"/>
        <color indexed="8"/>
        <rFont val="宋体"/>
        <charset val="134"/>
      </rPr>
      <t>取费表</t>
    </r>
  </si>
  <si>
    <r>
      <rPr>
        <sz val="11"/>
        <color indexed="8"/>
        <rFont val="宋体"/>
        <charset val="134"/>
      </rPr>
      <t>房地状况</t>
    </r>
  </si>
  <si>
    <r>
      <rPr>
        <sz val="11"/>
        <color indexed="8"/>
        <rFont val="宋体"/>
        <charset val="134"/>
      </rPr>
      <t>结果表</t>
    </r>
  </si>
  <si>
    <r>
      <rPr>
        <sz val="11"/>
        <color indexed="8"/>
        <rFont val="宋体"/>
        <charset val="134"/>
      </rPr>
      <t>方法</t>
    </r>
  </si>
  <si>
    <r>
      <rPr>
        <sz val="11"/>
        <color indexed="8"/>
        <rFont val="宋体"/>
        <charset val="134"/>
      </rPr>
      <t>成本</t>
    </r>
  </si>
  <si>
    <r>
      <rPr>
        <sz val="11"/>
        <color indexed="8"/>
        <rFont val="宋体"/>
        <charset val="134"/>
      </rPr>
      <t>假开</t>
    </r>
  </si>
  <si>
    <r>
      <rPr>
        <sz val="11"/>
        <color indexed="8"/>
        <rFont val="宋体"/>
        <charset val="134"/>
      </rPr>
      <t>收益</t>
    </r>
  </si>
  <si>
    <r>
      <rPr>
        <sz val="11"/>
        <color indexed="8"/>
        <rFont val="宋体"/>
        <charset val="134"/>
      </rPr>
      <t>比较</t>
    </r>
  </si>
  <si>
    <r>
      <rPr>
        <sz val="11"/>
        <color indexed="8"/>
        <rFont val="宋体"/>
        <charset val="134"/>
      </rPr>
      <t>住宅</t>
    </r>
  </si>
  <si>
    <r>
      <rPr>
        <sz val="11"/>
        <color indexed="8"/>
        <rFont val="宋体"/>
        <charset val="134"/>
      </rPr>
      <t>商业</t>
    </r>
  </si>
  <si>
    <r>
      <rPr>
        <sz val="11"/>
        <color indexed="8"/>
        <rFont val="宋体"/>
        <charset val="134"/>
      </rPr>
      <t>办公</t>
    </r>
  </si>
  <si>
    <r>
      <rPr>
        <sz val="11"/>
        <color indexed="8"/>
        <rFont val="宋体"/>
        <charset val="134"/>
      </rPr>
      <t>工业</t>
    </r>
  </si>
  <si>
    <r>
      <rPr>
        <sz val="11"/>
        <color indexed="8"/>
        <rFont val="宋体"/>
        <charset val="134"/>
      </rPr>
      <t>车位</t>
    </r>
  </si>
  <si>
    <r>
      <rPr>
        <sz val="11"/>
        <color indexed="8"/>
        <rFont val="宋体"/>
        <charset val="134"/>
      </rPr>
      <t>仓储</t>
    </r>
  </si>
  <si>
    <r>
      <rPr>
        <sz val="11"/>
        <color indexed="8"/>
        <rFont val="宋体"/>
        <charset val="134"/>
      </rPr>
      <t>土地</t>
    </r>
    <r>
      <rPr>
        <sz val="11"/>
        <color indexed="8"/>
        <rFont val="Arial"/>
        <charset val="134"/>
      </rPr>
      <t>-</t>
    </r>
    <r>
      <rPr>
        <sz val="11"/>
        <color indexed="8"/>
        <rFont val="宋体"/>
        <charset val="134"/>
      </rPr>
      <t>住宅、综合</t>
    </r>
  </si>
  <si>
    <r>
      <rPr>
        <sz val="11"/>
        <color indexed="8"/>
        <rFont val="宋体"/>
        <charset val="134"/>
      </rPr>
      <t>土地</t>
    </r>
    <r>
      <rPr>
        <sz val="11"/>
        <color indexed="8"/>
        <rFont val="Arial"/>
        <charset val="134"/>
      </rPr>
      <t>-</t>
    </r>
    <r>
      <rPr>
        <sz val="11"/>
        <color indexed="8"/>
        <rFont val="宋体"/>
        <charset val="134"/>
      </rPr>
      <t>工业</t>
    </r>
  </si>
  <si>
    <r>
      <rPr>
        <sz val="11"/>
        <color indexed="8"/>
        <rFont val="宋体"/>
        <charset val="134"/>
      </rPr>
      <t>典型户型修正</t>
    </r>
  </si>
  <si>
    <r>
      <rPr>
        <b/>
        <sz val="12"/>
        <color rgb="FFFF0000"/>
        <rFont val="宋体"/>
        <charset val="134"/>
      </rPr>
      <t>需要新增方法表时，请右键点击所选方法标签，选择</t>
    </r>
    <r>
      <rPr>
        <b/>
        <sz val="12"/>
        <color rgb="FFFF0000"/>
        <rFont val="Arial"/>
        <charset val="134"/>
      </rPr>
      <t>‘</t>
    </r>
    <r>
      <rPr>
        <b/>
        <sz val="12"/>
        <color rgb="FFFF0000"/>
        <rFont val="宋体"/>
        <charset val="134"/>
      </rPr>
      <t>移动或复制</t>
    </r>
    <r>
      <rPr>
        <b/>
        <sz val="12"/>
        <color rgb="FFFF0000"/>
        <rFont val="Arial"/>
        <charset val="134"/>
      </rPr>
      <t>’</t>
    </r>
    <r>
      <rPr>
        <b/>
        <sz val="12"/>
        <color rgb="FFFF0000"/>
        <rFont val="宋体"/>
        <charset val="134"/>
      </rPr>
      <t>，勾选建立副本，以保证公示链接无误</t>
    </r>
  </si>
  <si>
    <t>今日</t>
  </si>
  <si>
    <t>资质过期显示为红色</t>
  </si>
  <si>
    <t>注册房地产估价师</t>
  </si>
  <si>
    <t>注册证号</t>
  </si>
  <si>
    <t>资质有效期</t>
  </si>
  <si>
    <t>房地产估价师及注册号</t>
  </si>
  <si>
    <t>土地估价师</t>
  </si>
  <si>
    <t>证号</t>
  </si>
  <si>
    <t>土地估价师及注册号</t>
  </si>
  <si>
    <t>梁津</t>
  </si>
  <si>
    <t>叶凌</t>
  </si>
  <si>
    <t>王鹏</t>
  </si>
  <si>
    <t>欧红伟</t>
  </si>
  <si>
    <t>吴薇</t>
  </si>
  <si>
    <t>陈颖</t>
  </si>
  <si>
    <t>崔锴</t>
  </si>
  <si>
    <t>郑燚</t>
  </si>
  <si>
    <t>苏海</t>
  </si>
  <si>
    <t>刘敬东</t>
  </si>
  <si>
    <t>刘俊财</t>
  </si>
  <si>
    <t>赵雯</t>
  </si>
  <si>
    <t>估价机构</t>
  </si>
  <si>
    <t>房地产</t>
  </si>
  <si>
    <t>土地</t>
  </si>
  <si>
    <t>证书名称</t>
  </si>
  <si>
    <t>号码</t>
  </si>
  <si>
    <t>备案等级：一级</t>
  </si>
  <si>
    <t>建房估备字[2013第]081号</t>
  </si>
  <si>
    <t>注册证书</t>
  </si>
  <si>
    <t>A201111009</t>
  </si>
  <si>
    <t>资信等级：A级</t>
  </si>
  <si>
    <t>2019A-027</t>
  </si>
  <si>
    <t>延期至2020年底</t>
  </si>
  <si>
    <r>
      <rPr>
        <sz val="11"/>
        <color indexed="8"/>
        <rFont val="宋体"/>
        <charset val="134"/>
      </rPr>
      <t>用途类型</t>
    </r>
  </si>
  <si>
    <r>
      <rPr>
        <sz val="11"/>
        <color indexed="8"/>
        <rFont val="宋体"/>
        <charset val="134"/>
      </rPr>
      <t>估价方法</t>
    </r>
  </si>
  <si>
    <r>
      <rPr>
        <sz val="11"/>
        <color theme="1"/>
        <rFont val="宋体"/>
        <charset val="134"/>
      </rPr>
      <t>土地级别</t>
    </r>
  </si>
  <si>
    <r>
      <rPr>
        <sz val="11"/>
        <color indexed="8"/>
        <rFont val="宋体"/>
        <charset val="134"/>
      </rPr>
      <t>判定</t>
    </r>
  </si>
  <si>
    <r>
      <rPr>
        <sz val="11"/>
        <color indexed="8"/>
        <rFont val="宋体"/>
        <charset val="134"/>
      </rPr>
      <t>位置</t>
    </r>
  </si>
  <si>
    <r>
      <rPr>
        <sz val="11"/>
        <color indexed="8"/>
        <rFont val="宋体"/>
        <charset val="134"/>
      </rPr>
      <t>主用途</t>
    </r>
  </si>
  <si>
    <r>
      <rPr>
        <sz val="11"/>
        <color indexed="8"/>
        <rFont val="宋体"/>
        <charset val="134"/>
      </rPr>
      <t>法定最高年限</t>
    </r>
  </si>
  <si>
    <r>
      <rPr>
        <sz val="11"/>
        <color indexed="8"/>
        <rFont val="宋体"/>
        <charset val="134"/>
      </rPr>
      <t>地类判定</t>
    </r>
  </si>
  <si>
    <r>
      <rPr>
        <sz val="11"/>
        <color indexed="8"/>
        <rFont val="宋体"/>
        <charset val="134"/>
      </rPr>
      <t>土地年限区间</t>
    </r>
  </si>
  <si>
    <r>
      <rPr>
        <sz val="11"/>
        <color indexed="8"/>
        <rFont val="宋体"/>
        <charset val="134"/>
      </rPr>
      <t>类别</t>
    </r>
  </si>
  <si>
    <r>
      <rPr>
        <sz val="11"/>
        <color indexed="8"/>
        <rFont val="宋体"/>
        <charset val="134"/>
      </rPr>
      <t>居住社区成熟度</t>
    </r>
  </si>
  <si>
    <r>
      <rPr>
        <sz val="11"/>
        <color indexed="8"/>
        <rFont val="宋体"/>
        <charset val="134"/>
      </rPr>
      <t>商业繁华度</t>
    </r>
  </si>
  <si>
    <r>
      <rPr>
        <sz val="11"/>
        <color indexed="8"/>
        <rFont val="宋体"/>
        <charset val="134"/>
      </rPr>
      <t>办公集聚程度</t>
    </r>
  </si>
  <si>
    <r>
      <rPr>
        <sz val="11"/>
        <color indexed="8"/>
        <rFont val="宋体"/>
        <charset val="134"/>
      </rPr>
      <t>产业集聚程度</t>
    </r>
  </si>
  <si>
    <r>
      <rPr>
        <sz val="11"/>
        <color indexed="8"/>
        <rFont val="宋体"/>
        <charset val="134"/>
      </rPr>
      <t>交通便捷度</t>
    </r>
  </si>
  <si>
    <r>
      <rPr>
        <sz val="11"/>
        <color indexed="8"/>
        <rFont val="宋体"/>
        <charset val="134"/>
      </rPr>
      <t>区域土地利用方向</t>
    </r>
  </si>
  <si>
    <r>
      <rPr>
        <sz val="11"/>
        <color indexed="8"/>
        <rFont val="宋体"/>
        <charset val="134"/>
      </rPr>
      <t>公共配套设施</t>
    </r>
  </si>
  <si>
    <r>
      <rPr>
        <sz val="11"/>
        <color indexed="8"/>
        <rFont val="宋体"/>
        <charset val="134"/>
      </rPr>
      <t>基础设施水平</t>
    </r>
  </si>
  <si>
    <r>
      <rPr>
        <sz val="11"/>
        <color indexed="8"/>
        <rFont val="宋体"/>
        <charset val="134"/>
      </rPr>
      <t>环境质量</t>
    </r>
  </si>
  <si>
    <r>
      <rPr>
        <sz val="11"/>
        <color indexed="8"/>
        <rFont val="宋体"/>
        <charset val="134"/>
      </rPr>
      <t>临街状况</t>
    </r>
  </si>
  <si>
    <r>
      <rPr>
        <sz val="11"/>
        <color indexed="8"/>
        <rFont val="宋体"/>
        <charset val="134"/>
      </rPr>
      <t>内部装修维护情况</t>
    </r>
  </si>
  <si>
    <r>
      <rPr>
        <sz val="11"/>
        <color indexed="8"/>
        <rFont val="宋体"/>
        <charset val="134"/>
      </rPr>
      <t>单价内涵</t>
    </r>
  </si>
  <si>
    <r>
      <rPr>
        <sz val="11"/>
        <color theme="1"/>
        <rFont val="宋体"/>
        <charset val="134"/>
      </rPr>
      <t>五等判定</t>
    </r>
  </si>
  <si>
    <r>
      <rPr>
        <sz val="11"/>
        <color theme="1"/>
        <rFont val="宋体"/>
        <charset val="134"/>
      </rPr>
      <t>结构</t>
    </r>
  </si>
  <si>
    <r>
      <rPr>
        <sz val="11"/>
        <color theme="1"/>
        <rFont val="宋体"/>
        <charset val="134"/>
      </rPr>
      <t>建筑使用方向</t>
    </r>
  </si>
  <si>
    <r>
      <rPr>
        <sz val="11"/>
        <color indexed="8"/>
        <rFont val="宋体"/>
        <charset val="134"/>
      </rPr>
      <t>成本法</t>
    </r>
  </si>
  <si>
    <r>
      <rPr>
        <sz val="11"/>
        <color theme="1"/>
        <rFont val="宋体"/>
        <charset val="134"/>
      </rPr>
      <t>一级</t>
    </r>
  </si>
  <si>
    <r>
      <rPr>
        <sz val="11"/>
        <color indexed="8"/>
        <rFont val="宋体"/>
        <charset val="134"/>
      </rPr>
      <t>是</t>
    </r>
  </si>
  <si>
    <r>
      <rPr>
        <sz val="11"/>
        <color indexed="8"/>
        <rFont val="宋体"/>
        <charset val="134"/>
      </rPr>
      <t>地上</t>
    </r>
  </si>
  <si>
    <r>
      <rPr>
        <sz val="11"/>
        <color theme="1"/>
        <rFont val="Arial"/>
        <charset val="134"/>
      </rPr>
      <t>60-70</t>
    </r>
    <r>
      <rPr>
        <sz val="11"/>
        <color indexed="8"/>
        <rFont val="宋体"/>
        <charset val="134"/>
      </rPr>
      <t>（含）</t>
    </r>
  </si>
  <si>
    <r>
      <rPr>
        <sz val="11"/>
        <color indexed="8"/>
        <rFont val="宋体"/>
        <charset val="134"/>
      </rPr>
      <t>经营性</t>
    </r>
  </si>
  <si>
    <r>
      <rPr>
        <sz val="11"/>
        <color indexed="8"/>
        <rFont val="宋体"/>
        <charset val="134"/>
      </rPr>
      <t>好</t>
    </r>
  </si>
  <si>
    <r>
      <rPr>
        <sz val="11"/>
        <color theme="1"/>
        <rFont val="宋体"/>
        <charset val="134"/>
      </rPr>
      <t>七通</t>
    </r>
  </si>
  <si>
    <r>
      <rPr>
        <sz val="11"/>
        <color indexed="8"/>
        <rFont val="宋体"/>
        <charset val="134"/>
      </rPr>
      <t>多面临街</t>
    </r>
  </si>
  <si>
    <r>
      <rPr>
        <sz val="11"/>
        <color indexed="8"/>
        <rFont val="宋体"/>
        <charset val="134"/>
      </rPr>
      <t>单位面积地价</t>
    </r>
  </si>
  <si>
    <r>
      <rPr>
        <sz val="11"/>
        <color theme="1"/>
        <rFont val="宋体"/>
        <charset val="134"/>
      </rPr>
      <t>钢</t>
    </r>
  </si>
  <si>
    <r>
      <rPr>
        <sz val="11"/>
        <color theme="1"/>
        <rFont val="宋体"/>
        <charset val="134"/>
      </rPr>
      <t>非生产用房</t>
    </r>
  </si>
  <si>
    <r>
      <rPr>
        <sz val="11"/>
        <color indexed="8"/>
        <rFont val="宋体"/>
        <charset val="134"/>
      </rPr>
      <t>平层住宅</t>
    </r>
  </si>
  <si>
    <r>
      <rPr>
        <sz val="11"/>
        <color indexed="8"/>
        <rFont val="宋体"/>
        <charset val="134"/>
      </rPr>
      <t>成本法</t>
    </r>
    <r>
      <rPr>
        <sz val="11"/>
        <color indexed="8"/>
        <rFont val="Arial"/>
        <charset val="134"/>
      </rPr>
      <t xml:space="preserve"> (</t>
    </r>
    <r>
      <rPr>
        <sz val="11"/>
        <color indexed="8"/>
        <rFont val="宋体"/>
        <charset val="134"/>
      </rPr>
      <t>分</t>
    </r>
    <r>
      <rPr>
        <sz val="11"/>
        <color indexed="8"/>
        <rFont val="Arial"/>
        <charset val="134"/>
      </rPr>
      <t>)</t>
    </r>
  </si>
  <si>
    <r>
      <rPr>
        <sz val="11"/>
        <color theme="1"/>
        <rFont val="宋体"/>
        <charset val="134"/>
      </rPr>
      <t>二级</t>
    </r>
  </si>
  <si>
    <r>
      <rPr>
        <sz val="11"/>
        <color indexed="8"/>
        <rFont val="宋体"/>
        <charset val="134"/>
      </rPr>
      <t>否</t>
    </r>
  </si>
  <si>
    <r>
      <rPr>
        <sz val="11"/>
        <color theme="1"/>
        <rFont val="Arial"/>
        <charset val="134"/>
      </rPr>
      <t>50-60</t>
    </r>
    <r>
      <rPr>
        <sz val="11"/>
        <color indexed="8"/>
        <rFont val="宋体"/>
        <charset val="134"/>
      </rPr>
      <t>（含）</t>
    </r>
  </si>
  <si>
    <r>
      <rPr>
        <sz val="11"/>
        <color indexed="8"/>
        <rFont val="宋体"/>
        <charset val="134"/>
      </rPr>
      <t>非经营性</t>
    </r>
  </si>
  <si>
    <r>
      <rPr>
        <sz val="11"/>
        <color indexed="8"/>
        <rFont val="宋体"/>
        <charset val="134"/>
      </rPr>
      <t>较好</t>
    </r>
  </si>
  <si>
    <r>
      <rPr>
        <sz val="11"/>
        <color theme="1"/>
        <rFont val="宋体"/>
        <charset val="134"/>
      </rPr>
      <t>六通</t>
    </r>
  </si>
  <si>
    <r>
      <rPr>
        <sz val="11"/>
        <color indexed="8"/>
        <rFont val="宋体"/>
        <charset val="134"/>
      </rPr>
      <t>双面临街</t>
    </r>
  </si>
  <si>
    <r>
      <rPr>
        <sz val="11"/>
        <color indexed="8"/>
        <rFont val="宋体"/>
        <charset val="134"/>
      </rPr>
      <t>楼面地价</t>
    </r>
  </si>
  <si>
    <r>
      <rPr>
        <sz val="11"/>
        <color theme="1"/>
        <rFont val="宋体"/>
        <charset val="134"/>
      </rPr>
      <t>钢混</t>
    </r>
  </si>
  <si>
    <r>
      <rPr>
        <sz val="11"/>
        <color theme="1"/>
        <rFont val="宋体"/>
        <charset val="134"/>
      </rPr>
      <t>生产用房</t>
    </r>
  </si>
  <si>
    <r>
      <rPr>
        <sz val="11"/>
        <color theme="1"/>
        <rFont val="Arial"/>
        <charset val="134"/>
      </rPr>
      <t>LOFT</t>
    </r>
    <r>
      <rPr>
        <sz val="11"/>
        <color indexed="8"/>
        <rFont val="宋体"/>
        <charset val="134"/>
      </rPr>
      <t>住宅</t>
    </r>
  </si>
  <si>
    <r>
      <rPr>
        <sz val="11"/>
        <color indexed="8"/>
        <rFont val="宋体"/>
        <charset val="134"/>
      </rPr>
      <t>成本法</t>
    </r>
    <r>
      <rPr>
        <sz val="11"/>
        <color indexed="8"/>
        <rFont val="Arial"/>
        <charset val="134"/>
      </rPr>
      <t xml:space="preserve"> (</t>
    </r>
    <r>
      <rPr>
        <sz val="11"/>
        <color indexed="8"/>
        <rFont val="宋体"/>
        <charset val="134"/>
      </rPr>
      <t>元</t>
    </r>
    <r>
      <rPr>
        <sz val="11"/>
        <color indexed="8"/>
        <rFont val="Arial"/>
        <charset val="134"/>
      </rPr>
      <t>)</t>
    </r>
  </si>
  <si>
    <r>
      <rPr>
        <sz val="11"/>
        <color theme="1"/>
        <rFont val="宋体"/>
        <charset val="134"/>
      </rPr>
      <t>三级</t>
    </r>
  </si>
  <si>
    <r>
      <rPr>
        <sz val="11"/>
        <color indexed="8"/>
        <rFont val="宋体"/>
        <charset val="134"/>
      </rPr>
      <t>地下</t>
    </r>
  </si>
  <si>
    <r>
      <rPr>
        <sz val="11"/>
        <color theme="1"/>
        <rFont val="Arial"/>
        <charset val="134"/>
      </rPr>
      <t>40-50</t>
    </r>
    <r>
      <rPr>
        <sz val="11"/>
        <color indexed="8"/>
        <rFont val="宋体"/>
        <charset val="134"/>
      </rPr>
      <t>（含）</t>
    </r>
  </si>
  <si>
    <r>
      <rPr>
        <sz val="11"/>
        <color indexed="8"/>
        <rFont val="宋体"/>
        <charset val="134"/>
      </rPr>
      <t>一般</t>
    </r>
  </si>
  <si>
    <r>
      <rPr>
        <sz val="11"/>
        <color theme="1"/>
        <rFont val="宋体"/>
        <charset val="134"/>
      </rPr>
      <t>五通</t>
    </r>
  </si>
  <si>
    <r>
      <rPr>
        <sz val="11"/>
        <color indexed="8"/>
        <rFont val="宋体"/>
        <charset val="134"/>
      </rPr>
      <t>单面临街</t>
    </r>
  </si>
  <si>
    <r>
      <rPr>
        <sz val="11"/>
        <color theme="1"/>
        <rFont val="宋体"/>
        <charset val="134"/>
      </rPr>
      <t>砖混</t>
    </r>
  </si>
  <si>
    <r>
      <rPr>
        <sz val="11"/>
        <color theme="1"/>
        <rFont val="宋体"/>
        <charset val="134"/>
      </rPr>
      <t>受腐蚀的生产用房</t>
    </r>
  </si>
  <si>
    <r>
      <rPr>
        <sz val="11"/>
        <color indexed="8"/>
        <rFont val="宋体"/>
        <charset val="134"/>
      </rPr>
      <t>普通住宅</t>
    </r>
  </si>
  <si>
    <r>
      <rPr>
        <sz val="11"/>
        <color indexed="8"/>
        <rFont val="宋体"/>
        <charset val="134"/>
      </rPr>
      <t>假设开发法</t>
    </r>
  </si>
  <si>
    <r>
      <rPr>
        <sz val="11"/>
        <color theme="1"/>
        <rFont val="宋体"/>
        <charset val="134"/>
      </rPr>
      <t>四级</t>
    </r>
  </si>
  <si>
    <r>
      <rPr>
        <sz val="11"/>
        <color indexed="8"/>
        <rFont val="宋体"/>
        <charset val="134"/>
      </rPr>
      <t>车库</t>
    </r>
  </si>
  <si>
    <r>
      <rPr>
        <sz val="11"/>
        <color theme="1"/>
        <rFont val="Arial"/>
        <charset val="134"/>
      </rPr>
      <t>30-40</t>
    </r>
    <r>
      <rPr>
        <sz val="11"/>
        <color indexed="8"/>
        <rFont val="宋体"/>
        <charset val="134"/>
      </rPr>
      <t>（含）</t>
    </r>
  </si>
  <si>
    <r>
      <rPr>
        <sz val="11"/>
        <color indexed="8"/>
        <rFont val="宋体"/>
        <charset val="134"/>
      </rPr>
      <t>较差</t>
    </r>
  </si>
  <si>
    <r>
      <rPr>
        <sz val="11"/>
        <color theme="1"/>
        <rFont val="宋体"/>
        <charset val="134"/>
      </rPr>
      <t>四通</t>
    </r>
  </si>
  <si>
    <r>
      <rPr>
        <sz val="11"/>
        <color indexed="8"/>
        <rFont val="宋体"/>
        <charset val="134"/>
      </rPr>
      <t>不临街</t>
    </r>
  </si>
  <si>
    <r>
      <rPr>
        <sz val="11"/>
        <color indexed="8"/>
        <rFont val="宋体"/>
        <charset val="134"/>
      </rPr>
      <t>公寓</t>
    </r>
  </si>
  <si>
    <r>
      <rPr>
        <sz val="11"/>
        <color indexed="8"/>
        <rFont val="宋体"/>
        <charset val="134"/>
      </rPr>
      <t>收益法</t>
    </r>
  </si>
  <si>
    <r>
      <rPr>
        <sz val="11"/>
        <color indexed="8"/>
        <rFont val="宋体"/>
        <charset val="134"/>
      </rPr>
      <t>五级</t>
    </r>
  </si>
  <si>
    <r>
      <rPr>
        <sz val="11"/>
        <color theme="1"/>
        <rFont val="Arial"/>
        <charset val="134"/>
      </rPr>
      <t>20-30</t>
    </r>
    <r>
      <rPr>
        <sz val="11"/>
        <color indexed="8"/>
        <rFont val="宋体"/>
        <charset val="134"/>
      </rPr>
      <t>（含）</t>
    </r>
  </si>
  <si>
    <r>
      <rPr>
        <sz val="11"/>
        <color indexed="8"/>
        <rFont val="宋体"/>
        <charset val="134"/>
      </rPr>
      <t>差</t>
    </r>
  </si>
  <si>
    <r>
      <rPr>
        <sz val="11"/>
        <color theme="1"/>
        <rFont val="宋体"/>
        <charset val="134"/>
      </rPr>
      <t>三通</t>
    </r>
  </si>
  <si>
    <r>
      <rPr>
        <sz val="11"/>
        <color indexed="8"/>
        <rFont val="宋体"/>
        <charset val="134"/>
      </rPr>
      <t>洋房</t>
    </r>
  </si>
  <si>
    <r>
      <rPr>
        <sz val="11"/>
        <color indexed="8"/>
        <rFont val="宋体"/>
        <charset val="134"/>
      </rPr>
      <t>收益法</t>
    </r>
    <r>
      <rPr>
        <sz val="11"/>
        <color indexed="8"/>
        <rFont val="Arial"/>
        <charset val="134"/>
      </rPr>
      <t xml:space="preserve"> (</t>
    </r>
    <r>
      <rPr>
        <sz val="11"/>
        <color indexed="8"/>
        <rFont val="宋体"/>
        <charset val="134"/>
      </rPr>
      <t>元</t>
    </r>
    <r>
      <rPr>
        <sz val="11"/>
        <color indexed="8"/>
        <rFont val="Arial"/>
        <charset val="134"/>
      </rPr>
      <t>)</t>
    </r>
  </si>
  <si>
    <r>
      <rPr>
        <sz val="11"/>
        <color theme="1"/>
        <rFont val="宋体"/>
        <charset val="134"/>
      </rPr>
      <t>六级</t>
    </r>
  </si>
  <si>
    <r>
      <rPr>
        <sz val="11"/>
        <color indexed="8"/>
        <rFont val="宋体"/>
        <charset val="134"/>
      </rPr>
      <t>车库</t>
    </r>
    <r>
      <rPr>
        <sz val="11"/>
        <color indexed="8"/>
        <rFont val="Arial"/>
        <charset val="134"/>
      </rPr>
      <t>—</t>
    </r>
    <r>
      <rPr>
        <sz val="11"/>
        <color indexed="8"/>
        <rFont val="宋体"/>
        <charset val="134"/>
      </rPr>
      <t>商业</t>
    </r>
  </si>
  <si>
    <r>
      <rPr>
        <sz val="11"/>
        <color theme="1"/>
        <rFont val="Arial"/>
        <charset val="134"/>
      </rPr>
      <t>10-20</t>
    </r>
    <r>
      <rPr>
        <sz val="11"/>
        <color indexed="8"/>
        <rFont val="宋体"/>
        <charset val="134"/>
      </rPr>
      <t>（含）</t>
    </r>
  </si>
  <si>
    <r>
      <rPr>
        <sz val="11"/>
        <color indexed="8"/>
        <rFont val="宋体"/>
        <charset val="134"/>
      </rPr>
      <t>叠拼</t>
    </r>
  </si>
  <si>
    <r>
      <rPr>
        <sz val="11"/>
        <color indexed="8"/>
        <rFont val="宋体"/>
        <charset val="134"/>
      </rPr>
      <t>收益法（汇总）</t>
    </r>
  </si>
  <si>
    <r>
      <rPr>
        <sz val="11"/>
        <color theme="1"/>
        <rFont val="宋体"/>
        <charset val="134"/>
      </rPr>
      <t>七级</t>
    </r>
  </si>
  <si>
    <r>
      <rPr>
        <sz val="11"/>
        <color indexed="8"/>
        <rFont val="宋体"/>
        <charset val="134"/>
      </rPr>
      <t>车库</t>
    </r>
    <r>
      <rPr>
        <sz val="11"/>
        <color indexed="8"/>
        <rFont val="Arial"/>
        <charset val="134"/>
      </rPr>
      <t>—</t>
    </r>
    <r>
      <rPr>
        <sz val="11"/>
        <color indexed="8"/>
        <rFont val="宋体"/>
        <charset val="134"/>
      </rPr>
      <t>办公</t>
    </r>
  </si>
  <si>
    <r>
      <rPr>
        <sz val="11"/>
        <color indexed="8"/>
        <rFont val="宋体"/>
        <charset val="134"/>
      </rPr>
      <t>公共配套</t>
    </r>
  </si>
  <si>
    <r>
      <rPr>
        <sz val="11"/>
        <color theme="1"/>
        <rFont val="Arial"/>
        <charset val="134"/>
      </rPr>
      <t>0-10</t>
    </r>
    <r>
      <rPr>
        <sz val="11"/>
        <color indexed="8"/>
        <rFont val="宋体"/>
        <charset val="134"/>
      </rPr>
      <t>（含）</t>
    </r>
  </si>
  <si>
    <r>
      <rPr>
        <sz val="11"/>
        <color indexed="8"/>
        <rFont val="宋体"/>
        <charset val="134"/>
      </rPr>
      <t>联排</t>
    </r>
  </si>
  <si>
    <r>
      <rPr>
        <sz val="11"/>
        <color indexed="8"/>
        <rFont val="宋体"/>
        <charset val="134"/>
      </rPr>
      <t>比较法</t>
    </r>
    <r>
      <rPr>
        <sz val="11"/>
        <color indexed="8"/>
        <rFont val="Arial"/>
        <charset val="134"/>
      </rPr>
      <t>-</t>
    </r>
    <r>
      <rPr>
        <sz val="11"/>
        <color indexed="8"/>
        <rFont val="宋体"/>
        <charset val="134"/>
      </rPr>
      <t>住宅</t>
    </r>
  </si>
  <si>
    <r>
      <rPr>
        <sz val="11"/>
        <color theme="1"/>
        <rFont val="宋体"/>
        <charset val="134"/>
      </rPr>
      <t>八级</t>
    </r>
  </si>
  <si>
    <r>
      <rPr>
        <sz val="11"/>
        <color indexed="8"/>
        <rFont val="宋体"/>
        <charset val="134"/>
      </rPr>
      <t>设备及其他</t>
    </r>
  </si>
  <si>
    <r>
      <rPr>
        <sz val="11"/>
        <color indexed="8"/>
        <rFont val="宋体"/>
        <charset val="134"/>
      </rPr>
      <t>双拼</t>
    </r>
  </si>
  <si>
    <r>
      <rPr>
        <sz val="11"/>
        <color indexed="8"/>
        <rFont val="宋体"/>
        <charset val="134"/>
      </rPr>
      <t>比较法</t>
    </r>
    <r>
      <rPr>
        <sz val="11"/>
        <color indexed="8"/>
        <rFont val="Arial"/>
        <charset val="134"/>
      </rPr>
      <t>-</t>
    </r>
    <r>
      <rPr>
        <sz val="11"/>
        <color indexed="8"/>
        <rFont val="宋体"/>
        <charset val="134"/>
      </rPr>
      <t>商业</t>
    </r>
  </si>
  <si>
    <r>
      <rPr>
        <sz val="11"/>
        <color theme="1"/>
        <rFont val="宋体"/>
        <charset val="134"/>
      </rPr>
      <t>九级</t>
    </r>
  </si>
  <si>
    <r>
      <rPr>
        <sz val="11"/>
        <color indexed="8"/>
        <rFont val="宋体"/>
        <charset val="134"/>
      </rPr>
      <t>独栋</t>
    </r>
  </si>
  <si>
    <r>
      <rPr>
        <sz val="11"/>
        <color indexed="8"/>
        <rFont val="宋体"/>
        <charset val="134"/>
      </rPr>
      <t>比较法</t>
    </r>
    <r>
      <rPr>
        <sz val="11"/>
        <color indexed="8"/>
        <rFont val="Arial"/>
        <charset val="134"/>
      </rPr>
      <t>-</t>
    </r>
    <r>
      <rPr>
        <sz val="11"/>
        <color indexed="8"/>
        <rFont val="宋体"/>
        <charset val="134"/>
      </rPr>
      <t>办公</t>
    </r>
  </si>
  <si>
    <r>
      <rPr>
        <sz val="11"/>
        <color theme="1"/>
        <rFont val="宋体"/>
        <charset val="134"/>
      </rPr>
      <t>十级</t>
    </r>
  </si>
  <si>
    <r>
      <rPr>
        <sz val="11"/>
        <color indexed="8"/>
        <rFont val="宋体"/>
        <charset val="134"/>
      </rPr>
      <t>底商</t>
    </r>
  </si>
  <si>
    <r>
      <rPr>
        <sz val="11"/>
        <color indexed="8"/>
        <rFont val="宋体"/>
        <charset val="134"/>
      </rPr>
      <t>比较法</t>
    </r>
    <r>
      <rPr>
        <sz val="11"/>
        <color indexed="8"/>
        <rFont val="Arial"/>
        <charset val="134"/>
      </rPr>
      <t>-</t>
    </r>
    <r>
      <rPr>
        <sz val="11"/>
        <color indexed="8"/>
        <rFont val="宋体"/>
        <charset val="134"/>
      </rPr>
      <t>工业</t>
    </r>
  </si>
  <si>
    <r>
      <rPr>
        <sz val="11"/>
        <color theme="1"/>
        <rFont val="宋体"/>
        <charset val="134"/>
      </rPr>
      <t>十一级</t>
    </r>
  </si>
  <si>
    <r>
      <rPr>
        <sz val="11"/>
        <color indexed="8"/>
        <rFont val="宋体"/>
        <charset val="134"/>
      </rPr>
      <t>独立商业</t>
    </r>
  </si>
  <si>
    <r>
      <rPr>
        <sz val="11"/>
        <color indexed="8"/>
        <rFont val="宋体"/>
        <charset val="134"/>
      </rPr>
      <t>比较法</t>
    </r>
    <r>
      <rPr>
        <sz val="11"/>
        <color indexed="8"/>
        <rFont val="Arial"/>
        <charset val="134"/>
      </rPr>
      <t>-</t>
    </r>
    <r>
      <rPr>
        <sz val="11"/>
        <color indexed="8"/>
        <rFont val="宋体"/>
        <charset val="134"/>
      </rPr>
      <t>车位</t>
    </r>
  </si>
  <si>
    <r>
      <rPr>
        <sz val="11"/>
        <color theme="1"/>
        <rFont val="宋体"/>
        <charset val="134"/>
      </rPr>
      <t>十二级</t>
    </r>
  </si>
  <si>
    <r>
      <rPr>
        <sz val="11"/>
        <color indexed="8"/>
        <rFont val="宋体"/>
        <charset val="134"/>
      </rPr>
      <t>商业街</t>
    </r>
  </si>
  <si>
    <r>
      <rPr>
        <sz val="11"/>
        <color indexed="8"/>
        <rFont val="宋体"/>
        <charset val="134"/>
      </rPr>
      <t>比较法</t>
    </r>
    <r>
      <rPr>
        <sz val="11"/>
        <color indexed="8"/>
        <rFont val="Arial"/>
        <charset val="134"/>
      </rPr>
      <t>-</t>
    </r>
    <r>
      <rPr>
        <sz val="11"/>
        <color indexed="8"/>
        <rFont val="宋体"/>
        <charset val="134"/>
      </rPr>
      <t>仓储</t>
    </r>
  </si>
  <si>
    <r>
      <rPr>
        <sz val="11"/>
        <color indexed="8"/>
        <rFont val="宋体"/>
        <charset val="134"/>
      </rPr>
      <t>酒店</t>
    </r>
  </si>
  <si>
    <r>
      <rPr>
        <sz val="11"/>
        <color indexed="8"/>
        <rFont val="宋体"/>
        <charset val="134"/>
      </rPr>
      <t>土地比较法</t>
    </r>
    <r>
      <rPr>
        <sz val="11"/>
        <color indexed="8"/>
        <rFont val="Arial"/>
        <charset val="134"/>
      </rPr>
      <t>-</t>
    </r>
    <r>
      <rPr>
        <sz val="11"/>
        <color indexed="8"/>
        <rFont val="宋体"/>
        <charset val="134"/>
      </rPr>
      <t>住宅、综合</t>
    </r>
  </si>
  <si>
    <r>
      <rPr>
        <sz val="11"/>
        <color indexed="8"/>
        <rFont val="宋体"/>
        <charset val="134"/>
      </rPr>
      <t>标准厂房</t>
    </r>
  </si>
  <si>
    <r>
      <rPr>
        <sz val="11"/>
        <color indexed="8"/>
        <rFont val="宋体"/>
        <charset val="134"/>
      </rPr>
      <t>土地比较法</t>
    </r>
    <r>
      <rPr>
        <sz val="11"/>
        <color indexed="8"/>
        <rFont val="Arial"/>
        <charset val="134"/>
      </rPr>
      <t>-</t>
    </r>
    <r>
      <rPr>
        <sz val="11"/>
        <color indexed="8"/>
        <rFont val="宋体"/>
        <charset val="134"/>
      </rPr>
      <t>工业</t>
    </r>
  </si>
  <si>
    <r>
      <rPr>
        <sz val="11"/>
        <color indexed="8"/>
        <rFont val="宋体"/>
        <charset val="134"/>
      </rPr>
      <t>特殊厂房</t>
    </r>
  </si>
  <si>
    <r>
      <rPr>
        <sz val="11"/>
        <color theme="1"/>
        <rFont val="宋体"/>
        <charset val="134"/>
      </rPr>
      <t>基准地价修正</t>
    </r>
  </si>
  <si>
    <r>
      <rPr>
        <sz val="11"/>
        <color indexed="8"/>
        <rFont val="宋体"/>
        <charset val="134"/>
      </rPr>
      <t>办公楼</t>
    </r>
  </si>
  <si>
    <r>
      <rPr>
        <sz val="11"/>
        <color theme="1"/>
        <rFont val="宋体"/>
        <charset val="134"/>
      </rPr>
      <t>典型户型修正</t>
    </r>
  </si>
  <si>
    <r>
      <rPr>
        <sz val="11"/>
        <color indexed="8"/>
        <rFont val="宋体"/>
        <charset val="134"/>
      </rPr>
      <t>宿舍</t>
    </r>
  </si>
  <si>
    <r>
      <rPr>
        <sz val="11"/>
        <color theme="1"/>
        <rFont val="宋体"/>
        <charset val="134"/>
      </rPr>
      <t>典型户型修正</t>
    </r>
    <r>
      <rPr>
        <sz val="11"/>
        <color theme="1"/>
        <rFont val="Arial"/>
        <charset val="134"/>
      </rPr>
      <t>(</t>
    </r>
    <r>
      <rPr>
        <sz val="11"/>
        <color theme="1"/>
        <rFont val="宋体"/>
        <charset val="134"/>
      </rPr>
      <t>比较法</t>
    </r>
    <r>
      <rPr>
        <sz val="11"/>
        <color theme="1"/>
        <rFont val="Arial"/>
        <charset val="134"/>
      </rPr>
      <t>)</t>
    </r>
  </si>
  <si>
    <r>
      <rPr>
        <sz val="11"/>
        <color indexed="8"/>
        <rFont val="宋体"/>
        <charset val="134"/>
      </rPr>
      <t>食堂</t>
    </r>
  </si>
  <si>
    <r>
      <rPr>
        <sz val="11"/>
        <color theme="1"/>
        <rFont val="宋体"/>
        <charset val="134"/>
      </rPr>
      <t>收益法</t>
    </r>
    <r>
      <rPr>
        <sz val="11"/>
        <color theme="1"/>
        <rFont val="Arial"/>
        <charset val="134"/>
      </rPr>
      <t>-</t>
    </r>
    <r>
      <rPr>
        <sz val="11"/>
        <color theme="1"/>
        <rFont val="宋体"/>
        <charset val="134"/>
      </rPr>
      <t>酒店模型</t>
    </r>
  </si>
  <si>
    <t>*</t>
  </si>
  <si>
    <r>
      <rPr>
        <sz val="11"/>
        <color indexed="8"/>
        <rFont val="宋体"/>
        <charset val="134"/>
      </rPr>
      <t>戊类库房</t>
    </r>
  </si>
  <si>
    <r>
      <rPr>
        <sz val="11"/>
        <color indexed="8"/>
        <rFont val="宋体"/>
        <charset val="134"/>
      </rPr>
      <t>燃品库房</t>
    </r>
  </si>
  <si>
    <r>
      <rPr>
        <sz val="11"/>
        <color indexed="8"/>
        <rFont val="宋体"/>
        <charset val="134"/>
      </rPr>
      <t>非燃品库房</t>
    </r>
  </si>
  <si>
    <r>
      <rPr>
        <sz val="11"/>
        <color indexed="8"/>
        <rFont val="宋体"/>
        <charset val="134"/>
      </rPr>
      <t>限价商品房</t>
    </r>
  </si>
  <si>
    <r>
      <rPr>
        <sz val="11"/>
        <color indexed="8"/>
        <rFont val="宋体"/>
        <charset val="134"/>
      </rPr>
      <t>自住商品房</t>
    </r>
  </si>
  <si>
    <r>
      <rPr>
        <sz val="11"/>
        <color theme="1"/>
        <rFont val="宋体"/>
        <charset val="134"/>
      </rPr>
      <t>估价目的</t>
    </r>
  </si>
  <si>
    <r>
      <rPr>
        <sz val="11"/>
        <color theme="1"/>
        <rFont val="宋体"/>
        <charset val="134"/>
      </rPr>
      <t>为估价委托人了解估价对象房地产市场价值提供参考依据。</t>
    </r>
  </si>
  <si>
    <r>
      <rPr>
        <sz val="11"/>
        <color theme="1"/>
        <rFont val="宋体"/>
        <charset val="134"/>
      </rPr>
      <t>优先受偿</t>
    </r>
  </si>
  <si>
    <r>
      <rPr>
        <sz val="11"/>
        <color theme="1"/>
        <rFont val="宋体"/>
        <charset val="134"/>
      </rPr>
      <t>抵押</t>
    </r>
  </si>
  <si>
    <r>
      <rPr>
        <sz val="11"/>
        <color theme="1"/>
        <rFont val="Arial"/>
        <charset val="134"/>
      </rPr>
      <t>2.</t>
    </r>
    <r>
      <rPr>
        <sz val="11"/>
        <color theme="1"/>
        <rFont val="宋体"/>
        <charset val="134"/>
      </rPr>
      <t>估价师所知悉的法定优先受偿款</t>
    </r>
  </si>
  <si>
    <r>
      <rPr>
        <sz val="11"/>
        <color theme="1"/>
        <rFont val="Arial"/>
        <charset val="134"/>
      </rPr>
      <t>2.</t>
    </r>
    <r>
      <rPr>
        <sz val="11"/>
        <color theme="1"/>
        <rFont val="宋体"/>
        <charset val="134"/>
      </rPr>
      <t>估价师所知悉的除抵押担保权以外的法定优先受偿款</t>
    </r>
  </si>
  <si>
    <r>
      <rPr>
        <sz val="11"/>
        <color theme="1"/>
        <rFont val="宋体"/>
        <charset val="134"/>
      </rPr>
      <t>价值类型及定义</t>
    </r>
  </si>
  <si>
    <r>
      <rPr>
        <sz val="11"/>
        <color theme="1"/>
        <rFont val="宋体"/>
        <charset val="134"/>
      </rPr>
      <t>房地产价值</t>
    </r>
  </si>
  <si>
    <r>
      <rPr>
        <sz val="11"/>
        <color theme="1"/>
        <rFont val="宋体"/>
        <charset val="134"/>
      </rPr>
      <t>房地产抵押价值</t>
    </r>
  </si>
  <si>
    <r>
      <rPr>
        <sz val="11"/>
        <color theme="1"/>
        <rFont val="宋体"/>
        <charset val="134"/>
      </rPr>
      <t>本次估价的</t>
    </r>
    <r>
      <rPr>
        <sz val="11"/>
        <color theme="1"/>
        <rFont val="Arial"/>
        <charset val="134"/>
      </rPr>
      <t>“</t>
    </r>
    <r>
      <rPr>
        <sz val="11"/>
        <color theme="1"/>
        <rFont val="宋体"/>
        <charset val="134"/>
      </rPr>
      <t>房地产抵押价值</t>
    </r>
    <r>
      <rPr>
        <sz val="11"/>
        <color theme="1"/>
        <rFont val="Arial"/>
        <charset val="134"/>
      </rPr>
      <t>”</t>
    </r>
    <r>
      <rPr>
        <sz val="11"/>
        <color theme="1"/>
        <rFont val="宋体"/>
        <charset val="134"/>
      </rPr>
      <t>是指估价对象在价值时点的</t>
    </r>
    <r>
      <rPr>
        <sz val="11"/>
        <color theme="1"/>
        <rFont val="Arial"/>
        <charset val="134"/>
      </rPr>
      <t>“</t>
    </r>
    <r>
      <rPr>
        <sz val="11"/>
        <color theme="1"/>
        <rFont val="宋体"/>
        <charset val="134"/>
      </rPr>
      <t>房地产价值</t>
    </r>
    <r>
      <rPr>
        <sz val="11"/>
        <color theme="1"/>
        <rFont val="Arial"/>
        <charset val="134"/>
      </rPr>
      <t>”</t>
    </r>
    <r>
      <rPr>
        <sz val="11"/>
        <color theme="1"/>
        <rFont val="宋体"/>
        <charset val="134"/>
      </rPr>
      <t>扣减估价师于价值时点所知悉的法定优先受偿款后的余额。</t>
    </r>
  </si>
  <si>
    <r>
      <rPr>
        <sz val="11"/>
        <color theme="1"/>
        <rFont val="宋体"/>
        <charset val="134"/>
      </rPr>
      <t>已注销</t>
    </r>
  </si>
  <si>
    <r>
      <rPr>
        <sz val="11"/>
        <color theme="1"/>
        <rFont val="宋体"/>
        <charset val="134"/>
      </rPr>
      <t>本次估价的</t>
    </r>
    <r>
      <rPr>
        <sz val="11"/>
        <color theme="1"/>
        <rFont val="Arial"/>
        <charset val="134"/>
      </rPr>
      <t>“</t>
    </r>
    <r>
      <rPr>
        <sz val="11"/>
        <color theme="1"/>
        <rFont val="宋体"/>
        <charset val="134"/>
      </rPr>
      <t>抵押担保权已注销时的房地产抵押价值</t>
    </r>
    <r>
      <rPr>
        <sz val="11"/>
        <color theme="1"/>
        <rFont val="Arial"/>
        <charset val="134"/>
      </rPr>
      <t>”</t>
    </r>
    <r>
      <rPr>
        <sz val="11"/>
        <color theme="1"/>
        <rFont val="宋体"/>
        <charset val="134"/>
      </rPr>
      <t>是指估价对象在价值时点的</t>
    </r>
    <r>
      <rPr>
        <sz val="11"/>
        <color theme="1"/>
        <rFont val="Arial"/>
        <charset val="134"/>
      </rPr>
      <t>“</t>
    </r>
    <r>
      <rPr>
        <sz val="11"/>
        <color theme="1"/>
        <rFont val="宋体"/>
        <charset val="134"/>
      </rPr>
      <t>房地产价值</t>
    </r>
    <r>
      <rPr>
        <sz val="11"/>
        <color theme="1"/>
        <rFont val="Arial"/>
        <charset val="134"/>
      </rPr>
      <t>”</t>
    </r>
    <r>
      <rPr>
        <sz val="11"/>
        <color theme="1"/>
        <rFont val="宋体"/>
        <charset val="134"/>
      </rPr>
      <t>扣减估价师于价值时点所知悉的除抵押担保权以外的其他法定优先受偿款后的余额。</t>
    </r>
  </si>
  <si>
    <r>
      <rPr>
        <sz val="11"/>
        <color theme="1"/>
        <rFont val="宋体"/>
        <charset val="134"/>
      </rPr>
      <t>已注销及未注销</t>
    </r>
  </si>
  <si>
    <r>
      <rPr>
        <sz val="11"/>
        <color theme="1"/>
        <rFont val="宋体"/>
        <charset val="134"/>
      </rPr>
      <t>本次估价的</t>
    </r>
    <r>
      <rPr>
        <sz val="11"/>
        <color theme="1"/>
        <rFont val="Arial"/>
        <charset val="134"/>
      </rPr>
      <t>“</t>
    </r>
    <r>
      <rPr>
        <sz val="11"/>
        <color theme="1"/>
        <rFont val="宋体"/>
        <charset val="134"/>
      </rPr>
      <t>房地产抵押价值</t>
    </r>
    <r>
      <rPr>
        <sz val="11"/>
        <color theme="1"/>
        <rFont val="Arial"/>
        <charset val="134"/>
      </rPr>
      <t>”</t>
    </r>
    <r>
      <rPr>
        <sz val="11"/>
        <color theme="1"/>
        <rFont val="宋体"/>
        <charset val="134"/>
      </rPr>
      <t>是指估价对象在价值时点的</t>
    </r>
    <r>
      <rPr>
        <sz val="11"/>
        <color theme="1"/>
        <rFont val="Arial"/>
        <charset val="134"/>
      </rPr>
      <t>“</t>
    </r>
    <r>
      <rPr>
        <sz val="11"/>
        <color theme="1"/>
        <rFont val="宋体"/>
        <charset val="134"/>
      </rPr>
      <t>房地产价值</t>
    </r>
    <r>
      <rPr>
        <sz val="11"/>
        <color theme="1"/>
        <rFont val="Arial"/>
        <charset val="134"/>
      </rPr>
      <t>”</t>
    </r>
    <r>
      <rPr>
        <sz val="11"/>
        <color theme="1"/>
        <rFont val="宋体"/>
        <charset val="134"/>
      </rPr>
      <t>扣减估价师于价值时点所知悉的法定优先受偿款后的余额。本次估价的</t>
    </r>
    <r>
      <rPr>
        <sz val="11"/>
        <color theme="1"/>
        <rFont val="Arial"/>
        <charset val="134"/>
      </rPr>
      <t>“</t>
    </r>
    <r>
      <rPr>
        <sz val="11"/>
        <color theme="1"/>
        <rFont val="宋体"/>
        <charset val="134"/>
      </rPr>
      <t>抵押担保权已注销时的房地产抵押价值</t>
    </r>
    <r>
      <rPr>
        <sz val="11"/>
        <color theme="1"/>
        <rFont val="Arial"/>
        <charset val="134"/>
      </rPr>
      <t>”</t>
    </r>
    <r>
      <rPr>
        <sz val="11"/>
        <color theme="1"/>
        <rFont val="宋体"/>
        <charset val="134"/>
      </rPr>
      <t>是指估价对象在价值时点的</t>
    </r>
    <r>
      <rPr>
        <sz val="11"/>
        <color theme="1"/>
        <rFont val="Arial"/>
        <charset val="134"/>
      </rPr>
      <t>“</t>
    </r>
    <r>
      <rPr>
        <sz val="11"/>
        <color theme="1"/>
        <rFont val="宋体"/>
        <charset val="134"/>
      </rPr>
      <t>房地产价值</t>
    </r>
    <r>
      <rPr>
        <sz val="11"/>
        <color theme="1"/>
        <rFont val="Arial"/>
        <charset val="134"/>
      </rPr>
      <t>”</t>
    </r>
    <r>
      <rPr>
        <sz val="11"/>
        <color theme="1"/>
        <rFont val="宋体"/>
        <charset val="134"/>
      </rPr>
      <t>扣减估价师于价值时点所知悉的除抵押担保权以外的其他法定优先受偿款后的余额。</t>
    </r>
  </si>
  <si>
    <r>
      <rPr>
        <sz val="11"/>
        <color theme="1"/>
        <rFont val="宋体"/>
        <charset val="134"/>
      </rPr>
      <t>抵押净值</t>
    </r>
  </si>
  <si>
    <r>
      <rPr>
        <sz val="11"/>
        <color theme="1"/>
        <rFont val="宋体"/>
        <charset val="134"/>
      </rPr>
      <t>本次估价的</t>
    </r>
    <r>
      <rPr>
        <sz val="11"/>
        <color theme="1"/>
        <rFont val="Arial"/>
        <charset val="134"/>
      </rPr>
      <t>“</t>
    </r>
    <r>
      <rPr>
        <sz val="11"/>
        <color theme="1"/>
        <rFont val="宋体"/>
        <charset val="134"/>
      </rPr>
      <t>抵押净值</t>
    </r>
    <r>
      <rPr>
        <sz val="11"/>
        <color theme="1"/>
        <rFont val="Arial"/>
        <charset val="134"/>
      </rPr>
      <t>”</t>
    </r>
    <r>
      <rPr>
        <sz val="11"/>
        <color theme="1"/>
        <rFont val="宋体"/>
        <charset val="134"/>
      </rPr>
      <t>是指估价对象</t>
    </r>
    <r>
      <rPr>
        <sz val="11"/>
        <color theme="1"/>
        <rFont val="Arial"/>
        <charset val="134"/>
      </rPr>
      <t>“</t>
    </r>
    <r>
      <rPr>
        <sz val="11"/>
        <color theme="1"/>
        <rFont val="宋体"/>
        <charset val="134"/>
      </rPr>
      <t>房地产抵押价值</t>
    </r>
    <r>
      <rPr>
        <sz val="11"/>
        <color theme="1"/>
        <rFont val="Arial"/>
        <charset val="134"/>
      </rPr>
      <t>”</t>
    </r>
    <r>
      <rPr>
        <sz val="11"/>
        <color theme="1"/>
        <rFont val="宋体"/>
        <charset val="134"/>
      </rPr>
      <t>减去估价对象在价值时点以</t>
    </r>
    <r>
      <rPr>
        <sz val="11"/>
        <color theme="1"/>
        <rFont val="Arial"/>
        <charset val="134"/>
      </rPr>
      <t>“</t>
    </r>
    <r>
      <rPr>
        <sz val="11"/>
        <color theme="1"/>
        <rFont val="宋体"/>
        <charset val="134"/>
      </rPr>
      <t>房地产销售收入</t>
    </r>
    <r>
      <rPr>
        <sz val="11"/>
        <color theme="1"/>
        <rFont val="Arial"/>
        <charset val="134"/>
      </rPr>
      <t>”</t>
    </r>
    <r>
      <rPr>
        <sz val="11"/>
        <color theme="1"/>
        <rFont val="宋体"/>
        <charset val="134"/>
      </rPr>
      <t>为基数计算的预计抵押权实现进行处置时需缴纳的各项费用、税金等相关费用后的价值。</t>
    </r>
  </si>
  <si>
    <r>
      <rPr>
        <b/>
        <sz val="10"/>
        <color indexed="8"/>
        <rFont val="宋体"/>
        <charset val="134"/>
      </rPr>
      <t>估价对象名称</t>
    </r>
  </si>
  <si>
    <r>
      <rPr>
        <b/>
        <sz val="10"/>
        <color indexed="8"/>
        <rFont val="宋体"/>
        <charset val="134"/>
      </rPr>
      <t>报告编号</t>
    </r>
  </si>
  <si>
    <r>
      <rPr>
        <sz val="10"/>
        <color indexed="8"/>
        <rFont val="宋体"/>
        <charset val="134"/>
      </rPr>
      <t>现场勘查日</t>
    </r>
  </si>
  <si>
    <r>
      <rPr>
        <sz val="10"/>
        <color indexed="8"/>
        <rFont val="宋体"/>
        <charset val="134"/>
      </rPr>
      <t>价值时点</t>
    </r>
  </si>
  <si>
    <r>
      <rPr>
        <sz val="10"/>
        <color indexed="8"/>
        <rFont val="宋体"/>
        <charset val="134"/>
      </rPr>
      <t>签字估价师</t>
    </r>
  </si>
  <si>
    <r>
      <rPr>
        <sz val="10"/>
        <color indexed="8"/>
        <rFont val="宋体"/>
        <charset val="134"/>
      </rPr>
      <t>估价委托人（借款方）</t>
    </r>
  </si>
  <si>
    <t>xx</t>
  </si>
  <si>
    <r>
      <rPr>
        <sz val="10"/>
        <color indexed="8"/>
        <rFont val="宋体"/>
        <charset val="134"/>
      </rPr>
      <t>估价目的</t>
    </r>
  </si>
  <si>
    <r>
      <rPr>
        <sz val="10"/>
        <color indexed="8"/>
        <rFont val="宋体"/>
        <charset val="134"/>
      </rPr>
      <t>金融机构（贷款方）</t>
    </r>
  </si>
  <si>
    <r>
      <rPr>
        <sz val="10"/>
        <color indexed="8"/>
        <rFont val="宋体"/>
        <charset val="134"/>
      </rPr>
      <t>价值类型</t>
    </r>
  </si>
  <si>
    <r>
      <rPr>
        <sz val="10"/>
        <color indexed="8"/>
        <rFont val="宋体"/>
        <charset val="134"/>
      </rPr>
      <t>抵押结果包含：</t>
    </r>
  </si>
  <si>
    <r>
      <rPr>
        <sz val="10"/>
        <color indexed="8"/>
        <rFont val="宋体"/>
        <charset val="134"/>
      </rPr>
      <t>项目所在城市</t>
    </r>
  </si>
  <si>
    <t>北京市</t>
  </si>
  <si>
    <r>
      <rPr>
        <sz val="10"/>
        <color rgb="FFFF0000"/>
        <rFont val="宋体"/>
        <charset val="134"/>
      </rPr>
      <t>其他请录入：</t>
    </r>
    <r>
      <rPr>
        <sz val="10"/>
        <color rgb="FFFF0000"/>
        <rFont val="Arial"/>
        <charset val="134"/>
      </rPr>
      <t>XX</t>
    </r>
    <r>
      <rPr>
        <sz val="10"/>
        <color rgb="FFFF0000"/>
        <rFont val="宋体"/>
        <charset val="134"/>
      </rPr>
      <t>省</t>
    </r>
    <r>
      <rPr>
        <sz val="10"/>
        <color rgb="FFFF0000"/>
        <rFont val="Arial"/>
        <charset val="134"/>
      </rPr>
      <t>XX</t>
    </r>
    <r>
      <rPr>
        <sz val="10"/>
        <color rgb="FFFF0000"/>
        <rFont val="宋体"/>
        <charset val="134"/>
      </rPr>
      <t>市</t>
    </r>
  </si>
  <si>
    <r>
      <rPr>
        <sz val="10"/>
        <color indexed="8"/>
        <rFont val="宋体"/>
        <charset val="134"/>
      </rPr>
      <t>不动产权利人</t>
    </r>
  </si>
  <si>
    <t>自然人</t>
  </si>
  <si>
    <r>
      <rPr>
        <sz val="10"/>
        <color indexed="8"/>
        <rFont val="宋体"/>
        <charset val="134"/>
      </rPr>
      <t>估价对象现状</t>
    </r>
  </si>
  <si>
    <r>
      <rPr>
        <sz val="10"/>
        <color indexed="8"/>
        <rFont val="宋体"/>
        <charset val="134"/>
      </rPr>
      <t>门牌号</t>
    </r>
  </si>
  <si>
    <r>
      <rPr>
        <sz val="10"/>
        <color indexed="8"/>
        <rFont val="宋体"/>
        <charset val="134"/>
      </rPr>
      <t>城市</t>
    </r>
  </si>
  <si>
    <r>
      <rPr>
        <sz val="10"/>
        <color indexed="8"/>
        <rFont val="宋体"/>
        <charset val="134"/>
      </rPr>
      <t>北京市</t>
    </r>
  </si>
  <si>
    <r>
      <rPr>
        <sz val="10"/>
        <color indexed="8"/>
        <rFont val="宋体"/>
        <charset val="134"/>
      </rPr>
      <t>现状用途</t>
    </r>
  </si>
  <si>
    <r>
      <rPr>
        <sz val="10"/>
        <color indexed="8"/>
        <rFont val="宋体"/>
        <charset val="134"/>
      </rPr>
      <t>土地级别</t>
    </r>
  </si>
  <si>
    <r>
      <rPr>
        <sz val="10"/>
        <color indexed="8"/>
        <rFont val="宋体"/>
        <charset val="134"/>
      </rPr>
      <t>格局户型</t>
    </r>
  </si>
  <si>
    <r>
      <rPr>
        <sz val="10"/>
        <color indexed="8"/>
        <rFont val="宋体"/>
        <charset val="134"/>
      </rPr>
      <t>区片编号</t>
    </r>
  </si>
  <si>
    <r>
      <rPr>
        <sz val="10"/>
        <color indexed="8"/>
        <rFont val="宋体"/>
        <charset val="134"/>
      </rPr>
      <t>维护状况</t>
    </r>
  </si>
  <si>
    <r>
      <rPr>
        <sz val="10"/>
        <color indexed="8"/>
        <rFont val="宋体"/>
        <charset val="134"/>
      </rPr>
      <t>面积</t>
    </r>
    <r>
      <rPr>
        <sz val="8"/>
        <color rgb="FFFF0000"/>
        <rFont val="宋体"/>
        <charset val="134"/>
      </rPr>
      <t>（★估价对象为多套时，此处录入估价对象的全部面积★）</t>
    </r>
  </si>
  <si>
    <r>
      <rPr>
        <sz val="10"/>
        <color indexed="8"/>
        <rFont val="宋体"/>
        <charset val="134"/>
      </rPr>
      <t>建筑面积</t>
    </r>
  </si>
  <si>
    <r>
      <rPr>
        <sz val="10"/>
        <color indexed="8"/>
        <rFont val="宋体"/>
        <charset val="134"/>
      </rPr>
      <t>面积依据</t>
    </r>
  </si>
  <si>
    <r>
      <rPr>
        <sz val="10"/>
        <color indexed="8"/>
        <rFont val="宋体"/>
        <charset val="134"/>
      </rPr>
      <t>土地面积</t>
    </r>
  </si>
  <si>
    <r>
      <rPr>
        <sz val="10"/>
        <color indexed="8"/>
        <rFont val="宋体"/>
        <charset val="134"/>
      </rPr>
      <t>抵押情况描述</t>
    </r>
  </si>
  <si>
    <r>
      <rPr>
        <sz val="10"/>
        <color indexed="8"/>
        <rFont val="宋体"/>
        <charset val="134"/>
      </rPr>
      <t>设定用途</t>
    </r>
  </si>
  <si>
    <r>
      <rPr>
        <sz val="10"/>
        <color indexed="8"/>
        <rFont val="宋体"/>
        <charset val="134"/>
      </rPr>
      <t>容积率</t>
    </r>
  </si>
  <si>
    <r>
      <rPr>
        <sz val="10"/>
        <color indexed="8"/>
        <rFont val="宋体"/>
        <charset val="134"/>
      </rPr>
      <t>权利状况（抵押）</t>
    </r>
  </si>
  <si>
    <r>
      <rPr>
        <sz val="10"/>
        <color indexed="8"/>
        <rFont val="宋体"/>
        <charset val="134"/>
      </rPr>
      <t>是否抵押</t>
    </r>
  </si>
  <si>
    <r>
      <rPr>
        <sz val="10"/>
        <color indexed="8"/>
        <rFont val="宋体"/>
        <charset val="134"/>
      </rPr>
      <t>权属证件是否登记权利价值</t>
    </r>
  </si>
  <si>
    <r>
      <rPr>
        <sz val="10"/>
        <color indexed="8"/>
        <rFont val="宋体"/>
        <charset val="134"/>
      </rPr>
      <t>依据</t>
    </r>
  </si>
  <si>
    <r>
      <rPr>
        <sz val="10"/>
        <color indexed="8"/>
        <rFont val="宋体"/>
        <charset val="134"/>
      </rPr>
      <t>权属文件</t>
    </r>
  </si>
  <si>
    <r>
      <rPr>
        <sz val="10"/>
        <color indexed="8"/>
        <rFont val="宋体"/>
        <charset val="134"/>
      </rPr>
      <t>他项权证</t>
    </r>
  </si>
  <si>
    <r>
      <rPr>
        <sz val="10"/>
        <color indexed="8"/>
        <rFont val="宋体"/>
        <charset val="134"/>
      </rPr>
      <t>其他资料</t>
    </r>
  </si>
  <si>
    <r>
      <rPr>
        <sz val="10"/>
        <color indexed="8"/>
        <rFont val="宋体"/>
        <charset val="134"/>
      </rPr>
      <t>《房屋他项权利证书》</t>
    </r>
  </si>
  <si>
    <r>
      <rPr>
        <sz val="10"/>
        <color indexed="8"/>
        <rFont val="宋体"/>
        <charset val="134"/>
      </rPr>
      <t>抵押信息</t>
    </r>
  </si>
  <si>
    <r>
      <rPr>
        <sz val="10"/>
        <color indexed="8"/>
        <rFont val="宋体"/>
        <charset val="134"/>
      </rPr>
      <t>设定日期</t>
    </r>
  </si>
  <si>
    <r>
      <rPr>
        <sz val="10"/>
        <color indexed="8"/>
        <rFont val="宋体"/>
        <charset val="134"/>
      </rPr>
      <t>权利人</t>
    </r>
  </si>
  <si>
    <r>
      <rPr>
        <sz val="10"/>
        <color indexed="8"/>
        <rFont val="宋体"/>
        <charset val="134"/>
      </rPr>
      <t>权利范围</t>
    </r>
  </si>
  <si>
    <r>
      <rPr>
        <sz val="10"/>
        <color indexed="8"/>
        <rFont val="宋体"/>
        <charset val="134"/>
      </rPr>
      <t>权利价值</t>
    </r>
  </si>
  <si>
    <t>★此线以上为必填项（致函链接）★</t>
  </si>
  <si>
    <r>
      <rPr>
        <b/>
        <sz val="10"/>
        <color indexed="8"/>
        <rFont val="宋体"/>
        <charset val="134"/>
      </rPr>
      <t>权属登记状况</t>
    </r>
  </si>
  <si>
    <r>
      <rPr>
        <b/>
        <sz val="10"/>
        <color indexed="8"/>
        <rFont val="宋体"/>
        <charset val="134"/>
      </rPr>
      <t>房屋所有权证</t>
    </r>
  </si>
  <si>
    <r>
      <rPr>
        <b/>
        <sz val="10"/>
        <color indexed="8"/>
        <rFont val="宋体"/>
        <charset val="134"/>
      </rPr>
      <t>不动产权证书</t>
    </r>
  </si>
  <si>
    <r>
      <rPr>
        <b/>
        <sz val="10"/>
        <color indexed="8"/>
        <rFont val="宋体"/>
        <charset val="134"/>
      </rPr>
      <t>国有土地使用证</t>
    </r>
  </si>
  <si>
    <r>
      <rPr>
        <sz val="10"/>
        <color indexed="8"/>
        <rFont val="宋体"/>
        <charset val="134"/>
      </rPr>
      <t>证号</t>
    </r>
  </si>
  <si>
    <r>
      <rPr>
        <sz val="10"/>
        <color indexed="8"/>
        <rFont val="宋体"/>
        <charset val="134"/>
      </rPr>
      <t>房屋坐落</t>
    </r>
  </si>
  <si>
    <r>
      <rPr>
        <sz val="10"/>
        <color indexed="8"/>
        <rFont val="宋体"/>
        <charset val="134"/>
      </rPr>
      <t>坐落</t>
    </r>
  </si>
  <si>
    <r>
      <rPr>
        <sz val="10"/>
        <color indexed="8"/>
        <rFont val="宋体"/>
        <charset val="134"/>
      </rPr>
      <t>共有情况</t>
    </r>
  </si>
  <si>
    <r>
      <rPr>
        <sz val="10"/>
        <color indexed="8"/>
        <rFont val="宋体"/>
        <charset val="134"/>
      </rPr>
      <t>地号</t>
    </r>
  </si>
  <si>
    <r>
      <rPr>
        <sz val="10"/>
        <color indexed="8"/>
        <rFont val="宋体"/>
        <charset val="134"/>
      </rPr>
      <t>产别</t>
    </r>
  </si>
  <si>
    <r>
      <rPr>
        <sz val="10"/>
        <color indexed="8"/>
        <rFont val="宋体"/>
        <charset val="134"/>
      </rPr>
      <t>不动产单元号</t>
    </r>
  </si>
  <si>
    <r>
      <rPr>
        <sz val="10"/>
        <color indexed="8"/>
        <rFont val="宋体"/>
        <charset val="134"/>
      </rPr>
      <t>图号</t>
    </r>
  </si>
  <si>
    <r>
      <rPr>
        <sz val="10"/>
        <color indexed="8"/>
        <rFont val="宋体"/>
        <charset val="134"/>
      </rPr>
      <t>登记时间</t>
    </r>
  </si>
  <si>
    <r>
      <rPr>
        <sz val="10"/>
        <color indexed="8"/>
        <rFont val="宋体"/>
        <charset val="134"/>
      </rPr>
      <t>所在行政区划</t>
    </r>
  </si>
  <si>
    <r>
      <rPr>
        <sz val="10"/>
        <color indexed="8"/>
        <rFont val="宋体"/>
        <charset val="134"/>
      </rPr>
      <t>地类（用途）</t>
    </r>
  </si>
  <si>
    <r>
      <rPr>
        <sz val="10"/>
        <color indexed="8"/>
        <rFont val="宋体"/>
        <charset val="134"/>
      </rPr>
      <t>房屋性质</t>
    </r>
  </si>
  <si>
    <r>
      <rPr>
        <sz val="10"/>
        <color indexed="8"/>
        <rFont val="宋体"/>
        <charset val="134"/>
      </rPr>
      <t>地籍区和地籍子区</t>
    </r>
  </si>
  <si>
    <r>
      <rPr>
        <sz val="10"/>
        <color indexed="8"/>
        <rFont val="宋体"/>
        <charset val="134"/>
      </rPr>
      <t>取得价格</t>
    </r>
  </si>
  <si>
    <r>
      <rPr>
        <sz val="10"/>
        <color indexed="8"/>
        <rFont val="宋体"/>
        <charset val="134"/>
      </rPr>
      <t>规划用途</t>
    </r>
    <r>
      <rPr>
        <sz val="10"/>
        <color indexed="8"/>
        <rFont val="Arial"/>
        <charset val="134"/>
      </rPr>
      <t>/</t>
    </r>
    <r>
      <rPr>
        <sz val="10"/>
        <color indexed="8"/>
        <rFont val="宋体"/>
        <charset val="134"/>
      </rPr>
      <t>设计用途</t>
    </r>
  </si>
  <si>
    <r>
      <rPr>
        <sz val="10"/>
        <color indexed="8"/>
        <rFont val="宋体"/>
        <charset val="134"/>
      </rPr>
      <t>宗地号</t>
    </r>
  </si>
  <si>
    <r>
      <rPr>
        <sz val="10"/>
        <color indexed="8"/>
        <rFont val="宋体"/>
        <charset val="134"/>
      </rPr>
      <t>使用权类型</t>
    </r>
  </si>
  <si>
    <r>
      <rPr>
        <sz val="10"/>
        <color indexed="8"/>
        <rFont val="宋体"/>
        <charset val="134"/>
      </rPr>
      <t>房屋用途</t>
    </r>
  </si>
  <si>
    <r>
      <rPr>
        <sz val="10"/>
        <color indexed="8"/>
        <rFont val="宋体"/>
        <charset val="134"/>
      </rPr>
      <t>定作物编码</t>
    </r>
  </si>
  <si>
    <r>
      <rPr>
        <sz val="10"/>
        <color indexed="8"/>
        <rFont val="宋体"/>
        <charset val="134"/>
      </rPr>
      <t>终止日期</t>
    </r>
  </si>
  <si>
    <r>
      <rPr>
        <sz val="10"/>
        <color indexed="8"/>
        <rFont val="宋体"/>
        <charset val="134"/>
      </rPr>
      <t>权利类型</t>
    </r>
  </si>
  <si>
    <r>
      <rPr>
        <sz val="10"/>
        <color indexed="8"/>
        <rFont val="宋体"/>
        <charset val="134"/>
      </rPr>
      <t>使用权面积</t>
    </r>
  </si>
  <si>
    <r>
      <rPr>
        <sz val="10"/>
        <color indexed="8"/>
        <rFont val="宋体"/>
        <charset val="134"/>
      </rPr>
      <t>套内建筑面积（含阳台）</t>
    </r>
  </si>
  <si>
    <r>
      <rPr>
        <sz val="10"/>
        <color indexed="8"/>
        <rFont val="宋体"/>
        <charset val="134"/>
      </rPr>
      <t>权利性质</t>
    </r>
  </si>
  <si>
    <r>
      <rPr>
        <sz val="10"/>
        <color indexed="8"/>
        <rFont val="宋体"/>
        <charset val="134"/>
      </rPr>
      <t>独用面积</t>
    </r>
  </si>
  <si>
    <r>
      <rPr>
        <sz val="10"/>
        <color indexed="8"/>
        <rFont val="宋体"/>
        <charset val="134"/>
      </rPr>
      <t>使用面积</t>
    </r>
  </si>
  <si>
    <r>
      <rPr>
        <sz val="10"/>
        <color indexed="8"/>
        <rFont val="宋体"/>
        <charset val="134"/>
      </rPr>
      <t>用途</t>
    </r>
  </si>
  <si>
    <r>
      <rPr>
        <sz val="10"/>
        <color indexed="8"/>
        <rFont val="宋体"/>
        <charset val="134"/>
      </rPr>
      <t>分摊面积</t>
    </r>
  </si>
  <si>
    <r>
      <rPr>
        <sz val="10"/>
        <color indexed="8"/>
        <rFont val="宋体"/>
        <charset val="134"/>
      </rPr>
      <t>房屋总层数</t>
    </r>
  </si>
  <si>
    <r>
      <rPr>
        <sz val="10"/>
        <color indexed="8"/>
        <rFont val="宋体"/>
        <charset val="134"/>
      </rPr>
      <t>宗地总面积</t>
    </r>
  </si>
  <si>
    <r>
      <rPr>
        <sz val="10"/>
        <color indexed="8"/>
        <rFont val="宋体"/>
        <charset val="134"/>
      </rPr>
      <t>所在层数</t>
    </r>
  </si>
  <si>
    <r>
      <rPr>
        <sz val="10"/>
        <color indexed="8"/>
        <rFont val="宋体"/>
        <charset val="134"/>
      </rPr>
      <t>面积</t>
    </r>
  </si>
  <si>
    <r>
      <rPr>
        <sz val="10"/>
        <color indexed="8"/>
        <rFont val="宋体"/>
        <charset val="134"/>
      </rPr>
      <t>宗地总建筑面积</t>
    </r>
  </si>
  <si>
    <r>
      <rPr>
        <sz val="10"/>
        <color indexed="8"/>
        <rFont val="宋体"/>
        <charset val="134"/>
      </rPr>
      <t>建成年份</t>
    </r>
  </si>
  <si>
    <r>
      <rPr>
        <sz val="10"/>
        <color indexed="8"/>
        <rFont val="宋体"/>
        <charset val="134"/>
      </rPr>
      <t>本户建筑面积</t>
    </r>
  </si>
  <si>
    <r>
      <rPr>
        <sz val="10"/>
        <color indexed="8"/>
        <rFont val="宋体"/>
        <charset val="134"/>
      </rPr>
      <t>附记（抵押情况）</t>
    </r>
  </si>
  <si>
    <r>
      <rPr>
        <sz val="10"/>
        <color indexed="8"/>
        <rFont val="宋体"/>
        <charset val="134"/>
      </rPr>
      <t>记事（抵押情况）</t>
    </r>
  </si>
  <si>
    <r>
      <rPr>
        <sz val="10"/>
        <color indexed="8"/>
        <rFont val="宋体"/>
        <charset val="134"/>
      </rPr>
      <t>来源</t>
    </r>
  </si>
  <si>
    <r>
      <rPr>
        <sz val="10"/>
        <color indexed="8"/>
        <rFont val="宋体"/>
        <charset val="134"/>
      </rPr>
      <t>附记（其他）</t>
    </r>
  </si>
  <si>
    <r>
      <rPr>
        <sz val="10"/>
        <color indexed="8"/>
        <rFont val="宋体"/>
        <charset val="134"/>
      </rPr>
      <t>记事（其他）</t>
    </r>
  </si>
  <si>
    <r>
      <rPr>
        <sz val="10"/>
        <color indexed="8"/>
        <rFont val="宋体"/>
        <charset val="134"/>
      </rPr>
      <t>土地证号</t>
    </r>
  </si>
  <si>
    <r>
      <rPr>
        <sz val="10"/>
        <color indexed="8"/>
        <rFont val="宋体"/>
        <charset val="134"/>
      </rPr>
      <t>使用期限（终止日期）</t>
    </r>
  </si>
  <si>
    <r>
      <rPr>
        <sz val="10"/>
        <color indexed="8"/>
        <rFont val="宋体"/>
        <charset val="134"/>
      </rPr>
      <t>取得方式</t>
    </r>
    <r>
      <rPr>
        <sz val="10"/>
        <color indexed="8"/>
        <rFont val="Arial"/>
        <charset val="134"/>
      </rPr>
      <t>/</t>
    </r>
    <r>
      <rPr>
        <sz val="10"/>
        <color indexed="8"/>
        <rFont val="宋体"/>
        <charset val="134"/>
      </rPr>
      <t>权属性质</t>
    </r>
  </si>
  <si>
    <r>
      <rPr>
        <sz val="10"/>
        <color indexed="8"/>
        <rFont val="宋体"/>
        <charset val="134"/>
      </rPr>
      <t>权利其他状况</t>
    </r>
  </si>
  <si>
    <r>
      <rPr>
        <sz val="10"/>
        <color indexed="8"/>
        <rFont val="宋体"/>
        <charset val="134"/>
      </rPr>
      <t>土地使用年期（终止日期）</t>
    </r>
  </si>
  <si>
    <t>土地使用权证号</t>
  </si>
  <si>
    <t>建筑面积依据</t>
  </si>
  <si>
    <t>建设内容/楼号</t>
  </si>
  <si>
    <t>分摊土地面积</t>
  </si>
  <si>
    <t>建筑面积</t>
  </si>
  <si>
    <t>合计</t>
  </si>
  <si>
    <t>经营性用途</t>
  </si>
  <si>
    <t>非经营性用途</t>
  </si>
  <si>
    <t>小计</t>
  </si>
  <si>
    <t>限价商品房</t>
  </si>
  <si>
    <t>自住商品房</t>
  </si>
  <si>
    <t>地下车库</t>
  </si>
  <si>
    <t>地上物业管理用房</t>
  </si>
  <si>
    <t>地下公共配套设施</t>
  </si>
  <si>
    <t>地下设备及其他</t>
  </si>
  <si>
    <t>京顺国用（2015出）第00113号</t>
  </si>
  <si>
    <t>2015规（顺）建字0005号</t>
  </si>
  <si>
    <t>1#自住商品房</t>
  </si>
  <si>
    <t>2015规（顺）建字0004号</t>
  </si>
  <si>
    <t>3#限价商品房</t>
  </si>
  <si>
    <t>4#限价商品房</t>
  </si>
  <si>
    <t>2#变电室及物业</t>
  </si>
  <si>
    <t>面积合计</t>
  </si>
  <si>
    <r>
      <rPr>
        <b/>
        <sz val="14"/>
        <color rgb="FFFF0000"/>
        <rFont val="宋体"/>
        <charset val="134"/>
      </rPr>
      <t>数据取费表</t>
    </r>
  </si>
  <si>
    <r>
      <rPr>
        <b/>
        <sz val="11"/>
        <color indexed="8"/>
        <rFont val="宋体"/>
        <charset val="134"/>
      </rPr>
      <t>价值时点</t>
    </r>
    <r>
      <rPr>
        <b/>
        <sz val="11"/>
        <color indexed="8"/>
        <rFont val="Arial"/>
        <charset val="134"/>
      </rPr>
      <t>/</t>
    </r>
    <r>
      <rPr>
        <b/>
        <sz val="11"/>
        <color indexed="8"/>
        <rFont val="宋体"/>
        <charset val="134"/>
      </rPr>
      <t>估价期日</t>
    </r>
  </si>
  <si>
    <r>
      <rPr>
        <b/>
        <sz val="11"/>
        <color indexed="8"/>
        <rFont val="宋体"/>
        <charset val="134"/>
      </rPr>
      <t>本次估价路线是否为先计算典型户型价值，再做典型户型修正求取其他估价对象价值</t>
    </r>
  </si>
  <si>
    <r>
      <rPr>
        <b/>
        <sz val="11"/>
        <color indexed="8"/>
        <rFont val="宋体"/>
        <charset val="134"/>
      </rPr>
      <t>估价结果单位</t>
    </r>
  </si>
  <si>
    <t>元</t>
  </si>
  <si>
    <t>是</t>
  </si>
  <si>
    <r>
      <rPr>
        <b/>
        <sz val="11"/>
        <color indexed="8"/>
        <rFont val="宋体"/>
        <charset val="134"/>
      </rPr>
      <t>估价结果为先计算</t>
    </r>
  </si>
  <si>
    <t>楼面单价</t>
  </si>
  <si>
    <r>
      <rPr>
        <b/>
        <sz val="11"/>
        <color indexed="8"/>
        <rFont val="宋体"/>
        <charset val="134"/>
      </rPr>
      <t>建筑面积</t>
    </r>
  </si>
  <si>
    <r>
      <rPr>
        <b/>
        <sz val="11"/>
        <color indexed="8"/>
        <rFont val="宋体"/>
        <charset val="134"/>
      </rPr>
      <t>基准户型建筑面积</t>
    </r>
  </si>
  <si>
    <r>
      <rPr>
        <b/>
        <sz val="11"/>
        <color indexed="8"/>
        <rFont val="宋体"/>
        <charset val="134"/>
      </rPr>
      <t>土地面积</t>
    </r>
  </si>
  <si>
    <r>
      <rPr>
        <b/>
        <sz val="11"/>
        <color indexed="8"/>
        <rFont val="宋体"/>
        <charset val="134"/>
      </rPr>
      <t>基准户型土地面积</t>
    </r>
  </si>
  <si>
    <t>住宅</t>
  </si>
  <si>
    <r>
      <rPr>
        <b/>
        <sz val="11"/>
        <color indexed="8"/>
        <rFont val="宋体"/>
        <charset val="134"/>
      </rPr>
      <t>其他取费</t>
    </r>
  </si>
  <si>
    <r>
      <rPr>
        <sz val="11"/>
        <color indexed="8"/>
        <rFont val="宋体"/>
        <charset val="134"/>
      </rPr>
      <t>取值</t>
    </r>
  </si>
  <si>
    <t>备注/参考值</t>
  </si>
  <si>
    <r>
      <rPr>
        <sz val="11"/>
        <rFont val="宋体"/>
        <charset val="134"/>
      </rPr>
      <t>法定最高</t>
    </r>
    <r>
      <rPr>
        <sz val="11"/>
        <rFont val="Arial"/>
        <charset val="134"/>
      </rPr>
      <t>/</t>
    </r>
    <r>
      <rPr>
        <sz val="11"/>
        <rFont val="宋体"/>
        <charset val="134"/>
      </rPr>
      <t>出让年限</t>
    </r>
  </si>
  <si>
    <r>
      <rPr>
        <sz val="11"/>
        <color indexed="8"/>
        <rFont val="宋体"/>
        <charset val="134"/>
      </rPr>
      <t>城市基础设施建设费</t>
    </r>
    <r>
      <rPr>
        <sz val="11"/>
        <color indexed="8"/>
        <rFont val="Arial"/>
        <charset val="134"/>
      </rPr>
      <t>-</t>
    </r>
    <r>
      <rPr>
        <sz val="11"/>
        <color indexed="8"/>
        <rFont val="宋体"/>
        <charset val="134"/>
      </rPr>
      <t>住宅</t>
    </r>
  </si>
  <si>
    <r>
      <rPr>
        <sz val="11"/>
        <color indexed="10"/>
        <rFont val="宋体"/>
        <charset val="134"/>
      </rPr>
      <t>请录依据文件名称：</t>
    </r>
  </si>
  <si>
    <r>
      <rPr>
        <sz val="11"/>
        <color indexed="8"/>
        <rFont val="宋体"/>
        <charset val="134"/>
      </rPr>
      <t>终止日期</t>
    </r>
  </si>
  <si>
    <r>
      <rPr>
        <sz val="11"/>
        <color indexed="8"/>
        <rFont val="宋体"/>
        <charset val="134"/>
      </rPr>
      <t>城市基础设施建设费</t>
    </r>
    <r>
      <rPr>
        <sz val="11"/>
        <color indexed="8"/>
        <rFont val="Arial"/>
        <charset val="134"/>
      </rPr>
      <t>-</t>
    </r>
    <r>
      <rPr>
        <sz val="11"/>
        <color indexed="8"/>
        <rFont val="宋体"/>
        <charset val="134"/>
      </rPr>
      <t>非住宅</t>
    </r>
  </si>
  <si>
    <r>
      <rPr>
        <sz val="11"/>
        <color indexed="8"/>
        <rFont val="宋体"/>
        <charset val="134"/>
      </rPr>
      <t>剩余土地使用年限</t>
    </r>
  </si>
  <si>
    <r>
      <rPr>
        <sz val="11"/>
        <color indexed="8"/>
        <rFont val="宋体"/>
        <charset val="134"/>
      </rPr>
      <t>城市基础设施建设费</t>
    </r>
    <r>
      <rPr>
        <sz val="11"/>
        <color indexed="8"/>
        <rFont val="Arial"/>
        <charset val="134"/>
      </rPr>
      <t>-</t>
    </r>
    <r>
      <rPr>
        <sz val="11"/>
        <color indexed="8"/>
        <rFont val="宋体"/>
        <charset val="134"/>
      </rPr>
      <t>凭票据已缴纳</t>
    </r>
  </si>
  <si>
    <r>
      <rPr>
        <sz val="11"/>
        <color rgb="FFFF0000"/>
        <rFont val="宋体"/>
        <charset val="134"/>
      </rPr>
      <t>单位：万元</t>
    </r>
  </si>
  <si>
    <r>
      <rPr>
        <sz val="11"/>
        <color indexed="8"/>
        <rFont val="宋体"/>
        <charset val="134"/>
      </rPr>
      <t>年期修正系数</t>
    </r>
  </si>
  <si>
    <r>
      <rPr>
        <sz val="11"/>
        <color indexed="8"/>
        <rFont val="宋体"/>
        <charset val="134"/>
      </rPr>
      <t>红线外市政基础设施（总）</t>
    </r>
  </si>
  <si>
    <r>
      <rPr>
        <sz val="11"/>
        <color indexed="8"/>
        <rFont val="宋体"/>
        <charset val="134"/>
      </rPr>
      <t>报酬率</t>
    </r>
    <r>
      <rPr>
        <sz val="11"/>
        <color indexed="8"/>
        <rFont val="Arial"/>
        <charset val="134"/>
      </rPr>
      <t>-</t>
    </r>
    <r>
      <rPr>
        <sz val="11"/>
        <color indexed="8"/>
        <rFont val="宋体"/>
        <charset val="134"/>
      </rPr>
      <t>土地</t>
    </r>
  </si>
  <si>
    <r>
      <rPr>
        <sz val="10"/>
        <color indexed="8"/>
        <rFont val="宋体"/>
        <charset val="134"/>
      </rPr>
      <t>参考值</t>
    </r>
    <r>
      <rPr>
        <sz val="10"/>
        <color indexed="8"/>
        <rFont val="Arial"/>
        <charset val="134"/>
      </rPr>
      <t>4%-5%</t>
    </r>
  </si>
  <si>
    <r>
      <rPr>
        <sz val="11"/>
        <color indexed="8"/>
        <rFont val="宋体"/>
        <charset val="134"/>
      </rPr>
      <t>红线外市政基础设施（现状）</t>
    </r>
  </si>
  <si>
    <r>
      <rPr>
        <sz val="11"/>
        <color indexed="8"/>
        <rFont val="宋体"/>
        <charset val="134"/>
      </rPr>
      <t>报酬率</t>
    </r>
    <r>
      <rPr>
        <sz val="11"/>
        <color indexed="8"/>
        <rFont val="Arial"/>
        <charset val="134"/>
      </rPr>
      <t>-</t>
    </r>
    <r>
      <rPr>
        <sz val="11"/>
        <color indexed="8"/>
        <rFont val="宋体"/>
        <charset val="134"/>
      </rPr>
      <t>综合</t>
    </r>
  </si>
  <si>
    <r>
      <rPr>
        <sz val="10"/>
        <color indexed="8"/>
        <rFont val="宋体"/>
        <charset val="134"/>
      </rPr>
      <t>参考值</t>
    </r>
    <r>
      <rPr>
        <sz val="10"/>
        <color indexed="8"/>
        <rFont val="Arial"/>
        <charset val="134"/>
      </rPr>
      <t>5%-6%</t>
    </r>
  </si>
  <si>
    <r>
      <rPr>
        <sz val="11"/>
        <color indexed="8"/>
        <rFont val="宋体"/>
        <charset val="134"/>
      </rPr>
      <t>红线外市政基础设施（待完成）</t>
    </r>
  </si>
  <si>
    <r>
      <rPr>
        <sz val="11"/>
        <color indexed="8"/>
        <rFont val="宋体"/>
        <charset val="134"/>
      </rPr>
      <t>报酬率</t>
    </r>
    <r>
      <rPr>
        <sz val="11"/>
        <color indexed="8"/>
        <rFont val="Arial"/>
        <charset val="134"/>
      </rPr>
      <t>-</t>
    </r>
    <r>
      <rPr>
        <sz val="11"/>
        <color indexed="8"/>
        <rFont val="宋体"/>
        <charset val="134"/>
      </rPr>
      <t>建筑物</t>
    </r>
  </si>
  <si>
    <r>
      <rPr>
        <sz val="10"/>
        <color indexed="8"/>
        <rFont val="宋体"/>
        <charset val="134"/>
      </rPr>
      <t>参考值</t>
    </r>
    <r>
      <rPr>
        <sz val="10"/>
        <color indexed="8"/>
        <rFont val="Arial"/>
        <charset val="134"/>
      </rPr>
      <t>7%-8%</t>
    </r>
  </si>
  <si>
    <r>
      <rPr>
        <sz val="11"/>
        <color indexed="8"/>
        <rFont val="宋体"/>
        <charset val="134"/>
      </rPr>
      <t>单方造价</t>
    </r>
  </si>
  <si>
    <r>
      <rPr>
        <sz val="11"/>
        <color theme="1"/>
        <rFont val="宋体"/>
        <charset val="134"/>
      </rPr>
      <t>资本化率</t>
    </r>
    <r>
      <rPr>
        <sz val="11"/>
        <color theme="1"/>
        <rFont val="Arial"/>
        <charset val="134"/>
      </rPr>
      <t>-</t>
    </r>
    <r>
      <rPr>
        <sz val="11"/>
        <color theme="1"/>
        <rFont val="宋体"/>
        <charset val="134"/>
      </rPr>
      <t>建筑物</t>
    </r>
  </si>
  <si>
    <r>
      <rPr>
        <b/>
        <sz val="11"/>
        <color indexed="8"/>
        <rFont val="宋体"/>
        <charset val="134"/>
      </rPr>
      <t>开发期</t>
    </r>
  </si>
  <si>
    <r>
      <rPr>
        <sz val="11"/>
        <rFont val="宋体"/>
        <charset val="134"/>
      </rPr>
      <t>土地开发期</t>
    </r>
  </si>
  <si>
    <r>
      <rPr>
        <sz val="11"/>
        <color indexed="8"/>
        <rFont val="宋体"/>
        <charset val="134"/>
      </rPr>
      <t>勘察设计和前期工程费</t>
    </r>
  </si>
  <si>
    <r>
      <rPr>
        <sz val="10"/>
        <color theme="1"/>
        <rFont val="宋体"/>
        <charset val="134"/>
      </rPr>
      <t>取值范围</t>
    </r>
    <r>
      <rPr>
        <sz val="10"/>
        <color theme="1"/>
        <rFont val="Arial"/>
        <charset val="134"/>
      </rPr>
      <t>3%-5%</t>
    </r>
  </si>
  <si>
    <r>
      <rPr>
        <sz val="11"/>
        <rFont val="宋体"/>
        <charset val="134"/>
      </rPr>
      <t>建设期</t>
    </r>
  </si>
  <si>
    <r>
      <rPr>
        <sz val="11"/>
        <color indexed="8"/>
        <rFont val="宋体"/>
        <charset val="134"/>
      </rPr>
      <t>公共配套设施费用</t>
    </r>
  </si>
  <si>
    <r>
      <rPr>
        <sz val="10"/>
        <color theme="1"/>
        <rFont val="宋体"/>
        <charset val="134"/>
      </rPr>
      <t>取值范围</t>
    </r>
    <r>
      <rPr>
        <sz val="10"/>
        <color theme="1"/>
        <rFont val="Arial"/>
        <charset val="134"/>
      </rPr>
      <t>0-10%</t>
    </r>
  </si>
  <si>
    <r>
      <rPr>
        <sz val="11"/>
        <rFont val="宋体"/>
        <charset val="134"/>
      </rPr>
      <t>已建工期</t>
    </r>
  </si>
  <si>
    <r>
      <rPr>
        <sz val="11"/>
        <color indexed="8"/>
        <rFont val="宋体"/>
        <charset val="134"/>
      </rPr>
      <t>红线内市政基础设施</t>
    </r>
  </si>
  <si>
    <r>
      <rPr>
        <sz val="11"/>
        <rFont val="宋体"/>
        <charset val="134"/>
      </rPr>
      <t>项目开发期</t>
    </r>
  </si>
  <si>
    <r>
      <rPr>
        <sz val="11"/>
        <color indexed="8"/>
        <rFont val="宋体"/>
        <charset val="134"/>
      </rPr>
      <t>建造成本中相关税费</t>
    </r>
  </si>
  <si>
    <r>
      <rPr>
        <sz val="10"/>
        <color theme="1"/>
        <rFont val="宋体"/>
        <charset val="134"/>
      </rPr>
      <t>取值范围</t>
    </r>
    <r>
      <rPr>
        <sz val="10"/>
        <color theme="1"/>
        <rFont val="Arial"/>
        <charset val="134"/>
      </rPr>
      <t>1.5%</t>
    </r>
  </si>
  <si>
    <r>
      <rPr>
        <sz val="11"/>
        <color indexed="8"/>
        <rFont val="宋体"/>
        <charset val="134"/>
      </rPr>
      <t>项目已运行</t>
    </r>
  </si>
  <si>
    <r>
      <rPr>
        <sz val="11"/>
        <color indexed="8"/>
        <rFont val="宋体"/>
        <charset val="134"/>
      </rPr>
      <t>管理费用</t>
    </r>
  </si>
  <si>
    <r>
      <rPr>
        <sz val="10"/>
        <color theme="1"/>
        <rFont val="宋体"/>
        <charset val="134"/>
      </rPr>
      <t>取值范围</t>
    </r>
    <r>
      <rPr>
        <sz val="10"/>
        <color theme="1"/>
        <rFont val="Arial"/>
        <charset val="134"/>
      </rPr>
      <t>1%-3%</t>
    </r>
  </si>
  <si>
    <r>
      <rPr>
        <sz val="11"/>
        <rFont val="宋体"/>
        <charset val="134"/>
      </rPr>
      <t>续建工期</t>
    </r>
  </si>
  <si>
    <r>
      <rPr>
        <sz val="11"/>
        <color indexed="8"/>
        <rFont val="宋体"/>
        <charset val="134"/>
      </rPr>
      <t>销售费用</t>
    </r>
  </si>
  <si>
    <r>
      <rPr>
        <b/>
        <sz val="11"/>
        <color indexed="8"/>
        <rFont val="宋体"/>
        <charset val="134"/>
      </rPr>
      <t>建成年份</t>
    </r>
  </si>
  <si>
    <t>利息：取LPR加浮动点数</t>
  </si>
  <si>
    <r>
      <rPr>
        <sz val="11"/>
        <color indexed="8"/>
        <rFont val="宋体"/>
        <charset val="134"/>
      </rPr>
      <t>利润</t>
    </r>
  </si>
  <si>
    <r>
      <rPr>
        <sz val="11"/>
        <color indexed="8"/>
        <rFont val="宋体"/>
        <charset val="134"/>
      </rPr>
      <t>收益法相关参数</t>
    </r>
  </si>
  <si>
    <t>无租约</t>
  </si>
  <si>
    <r>
      <rPr>
        <sz val="11"/>
        <color indexed="8"/>
        <rFont val="宋体"/>
        <charset val="134"/>
      </rPr>
      <t>销售税费</t>
    </r>
    <r>
      <rPr>
        <sz val="11"/>
        <color indexed="8"/>
        <rFont val="Arial"/>
        <charset val="134"/>
      </rPr>
      <t>/</t>
    </r>
    <r>
      <rPr>
        <sz val="11"/>
        <color indexed="8"/>
        <rFont val="宋体"/>
        <charset val="134"/>
      </rPr>
      <t>两税两费</t>
    </r>
  </si>
  <si>
    <r>
      <rPr>
        <sz val="11"/>
        <color indexed="8"/>
        <rFont val="宋体"/>
        <charset val="134"/>
      </rPr>
      <t>增值税</t>
    </r>
  </si>
  <si>
    <r>
      <rPr>
        <sz val="11"/>
        <color indexed="8"/>
        <rFont val="宋体"/>
        <charset val="134"/>
      </rPr>
      <t>一年期存款利率</t>
    </r>
  </si>
  <si>
    <r>
      <rPr>
        <sz val="11"/>
        <color indexed="8"/>
        <rFont val="宋体"/>
        <charset val="134"/>
      </rPr>
      <t>附加税合计</t>
    </r>
  </si>
  <si>
    <r>
      <rPr>
        <sz val="11"/>
        <color indexed="8"/>
        <rFont val="宋体"/>
        <charset val="134"/>
      </rPr>
      <t>年租金增长率</t>
    </r>
  </si>
  <si>
    <r>
      <rPr>
        <sz val="11"/>
        <color indexed="8"/>
        <rFont val="宋体"/>
        <charset val="134"/>
      </rPr>
      <t>城市维护建设税</t>
    </r>
  </si>
  <si>
    <r>
      <rPr>
        <sz val="10"/>
        <color theme="1"/>
        <rFont val="宋体"/>
        <charset val="134"/>
      </rPr>
      <t>看各地政策。市区</t>
    </r>
    <r>
      <rPr>
        <sz val="10"/>
        <color theme="1"/>
        <rFont val="Arial"/>
        <charset val="134"/>
      </rPr>
      <t>7%</t>
    </r>
    <r>
      <rPr>
        <sz val="10"/>
        <color theme="1"/>
        <rFont val="宋体"/>
        <charset val="134"/>
      </rPr>
      <t>，县城和镇</t>
    </r>
    <r>
      <rPr>
        <sz val="10"/>
        <color theme="1"/>
        <rFont val="Arial"/>
        <charset val="134"/>
      </rPr>
      <t>5%</t>
    </r>
    <r>
      <rPr>
        <sz val="10"/>
        <color theme="1"/>
        <rFont val="宋体"/>
        <charset val="134"/>
      </rPr>
      <t>，乡村</t>
    </r>
    <r>
      <rPr>
        <sz val="10"/>
        <color theme="1"/>
        <rFont val="Arial"/>
        <charset val="134"/>
      </rPr>
      <t>1%</t>
    </r>
    <r>
      <rPr>
        <sz val="10"/>
        <color theme="1"/>
        <rFont val="宋体"/>
        <charset val="134"/>
      </rPr>
      <t>。大中型工矿企业所在地不在城市市区、县城、建制镇的，税率为</t>
    </r>
    <r>
      <rPr>
        <sz val="10"/>
        <color theme="1"/>
        <rFont val="Arial"/>
        <charset val="134"/>
      </rPr>
      <t>1%</t>
    </r>
    <r>
      <rPr>
        <sz val="10"/>
        <color theme="1"/>
        <rFont val="宋体"/>
        <charset val="134"/>
      </rPr>
      <t>。</t>
    </r>
  </si>
  <si>
    <r>
      <rPr>
        <sz val="11"/>
        <color indexed="8"/>
        <rFont val="宋体"/>
        <charset val="134"/>
      </rPr>
      <t>空置率</t>
    </r>
  </si>
  <si>
    <r>
      <rPr>
        <sz val="11"/>
        <color indexed="8"/>
        <rFont val="宋体"/>
        <charset val="134"/>
      </rPr>
      <t>教育费附加</t>
    </r>
  </si>
  <si>
    <r>
      <rPr>
        <sz val="11"/>
        <color theme="1"/>
        <rFont val="宋体"/>
        <charset val="134"/>
      </rPr>
      <t>北京：</t>
    </r>
    <r>
      <rPr>
        <sz val="11"/>
        <color theme="1"/>
        <rFont val="Arial"/>
        <charset val="134"/>
      </rPr>
      <t>3%</t>
    </r>
  </si>
  <si>
    <r>
      <rPr>
        <sz val="11"/>
        <color indexed="8"/>
        <rFont val="宋体"/>
        <charset val="134"/>
      </rPr>
      <t>收益年期</t>
    </r>
    <r>
      <rPr>
        <sz val="11"/>
        <color indexed="8"/>
        <rFont val="Arial"/>
        <charset val="134"/>
      </rPr>
      <t>(</t>
    </r>
    <r>
      <rPr>
        <sz val="11"/>
        <color indexed="8"/>
        <rFont val="宋体"/>
        <charset val="134"/>
      </rPr>
      <t>总</t>
    </r>
    <r>
      <rPr>
        <sz val="11"/>
        <color indexed="8"/>
        <rFont val="Arial"/>
        <charset val="134"/>
      </rPr>
      <t>)</t>
    </r>
  </si>
  <si>
    <r>
      <rPr>
        <sz val="11"/>
        <color indexed="8"/>
        <rFont val="宋体"/>
        <charset val="134"/>
      </rPr>
      <t>地方教育费附加</t>
    </r>
  </si>
  <si>
    <r>
      <rPr>
        <sz val="11"/>
        <color theme="1"/>
        <rFont val="宋体"/>
        <charset val="134"/>
      </rPr>
      <t>北京：</t>
    </r>
    <r>
      <rPr>
        <sz val="11"/>
        <color theme="1"/>
        <rFont val="Arial"/>
        <charset val="134"/>
      </rPr>
      <t>2%</t>
    </r>
  </si>
  <si>
    <r>
      <rPr>
        <sz val="11"/>
        <color indexed="8"/>
        <rFont val="宋体"/>
        <charset val="134"/>
      </rPr>
      <t>其他税种</t>
    </r>
  </si>
  <si>
    <r>
      <rPr>
        <b/>
        <sz val="11"/>
        <color rgb="FFFF0000"/>
        <rFont val="宋体"/>
        <charset val="134"/>
      </rPr>
      <t>租期外</t>
    </r>
  </si>
  <si>
    <r>
      <rPr>
        <sz val="11"/>
        <color indexed="8"/>
        <rFont val="宋体"/>
        <charset val="134"/>
      </rPr>
      <t>契税</t>
    </r>
  </si>
  <si>
    <r>
      <rPr>
        <sz val="11"/>
        <color indexed="8"/>
        <rFont val="宋体"/>
        <charset val="134"/>
      </rPr>
      <t>北京：</t>
    </r>
    <r>
      <rPr>
        <sz val="11"/>
        <color indexed="8"/>
        <rFont val="Arial"/>
        <charset val="134"/>
      </rPr>
      <t>3%</t>
    </r>
  </si>
  <si>
    <r>
      <rPr>
        <sz val="11"/>
        <color indexed="8"/>
        <rFont val="宋体"/>
        <charset val="134"/>
      </rPr>
      <t>印花税</t>
    </r>
  </si>
  <si>
    <r>
      <rPr>
        <sz val="11"/>
        <color indexed="8"/>
        <rFont val="宋体"/>
        <charset val="134"/>
      </rPr>
      <t>北京：</t>
    </r>
    <r>
      <rPr>
        <sz val="11"/>
        <color indexed="8"/>
        <rFont val="Arial"/>
        <charset val="134"/>
      </rPr>
      <t>0.05%</t>
    </r>
  </si>
  <si>
    <r>
      <rPr>
        <sz val="11"/>
        <color indexed="8"/>
        <rFont val="宋体"/>
        <charset val="134"/>
      </rPr>
      <t>房产税</t>
    </r>
    <r>
      <rPr>
        <sz val="11"/>
        <color indexed="8"/>
        <rFont val="Arial"/>
        <charset val="134"/>
      </rPr>
      <t>-</t>
    </r>
    <r>
      <rPr>
        <sz val="11"/>
        <color indexed="8"/>
        <rFont val="宋体"/>
        <charset val="134"/>
      </rPr>
      <t>按原值计税</t>
    </r>
  </si>
  <si>
    <r>
      <rPr>
        <sz val="11"/>
        <color indexed="8"/>
        <rFont val="宋体"/>
        <charset val="134"/>
      </rPr>
      <t>房产税</t>
    </r>
    <r>
      <rPr>
        <sz val="11"/>
        <color indexed="8"/>
        <rFont val="Arial"/>
        <charset val="134"/>
      </rPr>
      <t>-</t>
    </r>
    <r>
      <rPr>
        <sz val="11"/>
        <color indexed="8"/>
        <rFont val="宋体"/>
        <charset val="134"/>
      </rPr>
      <t>按租金计税</t>
    </r>
  </si>
  <si>
    <r>
      <rPr>
        <sz val="11"/>
        <color indexed="8"/>
        <rFont val="宋体"/>
        <charset val="134"/>
      </rPr>
      <t>土地使用税</t>
    </r>
  </si>
  <si>
    <r>
      <rPr>
        <sz val="11"/>
        <color indexed="8"/>
        <rFont val="宋体"/>
        <charset val="134"/>
      </rPr>
      <t>城镇土地纳税等级分级范围</t>
    </r>
  </si>
  <si>
    <r>
      <rPr>
        <sz val="11"/>
        <color indexed="8"/>
        <rFont val="宋体"/>
        <charset val="134"/>
      </rPr>
      <t>北京</t>
    </r>
  </si>
  <si>
    <r>
      <rPr>
        <sz val="11"/>
        <color indexed="10"/>
        <rFont val="宋体"/>
        <charset val="134"/>
      </rPr>
      <t>其他省市请录依据文件名称：</t>
    </r>
  </si>
  <si>
    <r>
      <rPr>
        <sz val="11"/>
        <color indexed="8"/>
        <rFont val="宋体"/>
        <charset val="134"/>
      </rPr>
      <t>车位数</t>
    </r>
    <r>
      <rPr>
        <sz val="11"/>
        <color indexed="8"/>
        <rFont val="Arial"/>
        <charset val="134"/>
      </rPr>
      <t>or</t>
    </r>
    <r>
      <rPr>
        <sz val="11"/>
        <color indexed="8"/>
        <rFont val="宋体"/>
        <charset val="134"/>
      </rPr>
      <t>套数</t>
    </r>
  </si>
  <si>
    <r>
      <rPr>
        <sz val="11"/>
        <color indexed="8"/>
        <rFont val="宋体"/>
        <charset val="134"/>
      </rPr>
      <t>一级</t>
    </r>
  </si>
  <si>
    <r>
      <rPr>
        <sz val="11"/>
        <color indexed="8"/>
        <rFont val="宋体"/>
        <charset val="134"/>
      </rPr>
      <t>天</t>
    </r>
    <r>
      <rPr>
        <sz val="11"/>
        <color indexed="8"/>
        <rFont val="Arial"/>
        <charset val="134"/>
      </rPr>
      <t>/</t>
    </r>
    <r>
      <rPr>
        <sz val="11"/>
        <color indexed="8"/>
        <rFont val="宋体"/>
        <charset val="134"/>
      </rPr>
      <t>月</t>
    </r>
    <r>
      <rPr>
        <sz val="11"/>
        <color indexed="8"/>
        <rFont val="Arial"/>
        <charset val="134"/>
      </rPr>
      <t>/</t>
    </r>
    <r>
      <rPr>
        <sz val="11"/>
        <color indexed="8"/>
        <rFont val="宋体"/>
        <charset val="134"/>
      </rPr>
      <t>年</t>
    </r>
  </si>
  <si>
    <r>
      <rPr>
        <sz val="11"/>
        <color indexed="8"/>
        <rFont val="宋体"/>
        <charset val="134"/>
      </rPr>
      <t>二级</t>
    </r>
  </si>
  <si>
    <r>
      <rPr>
        <sz val="11"/>
        <color indexed="8"/>
        <rFont val="宋体"/>
        <charset val="134"/>
      </rPr>
      <t>房产税</t>
    </r>
    <r>
      <rPr>
        <sz val="11"/>
        <color indexed="8"/>
        <rFont val="Arial"/>
        <charset val="134"/>
      </rPr>
      <t>-</t>
    </r>
    <r>
      <rPr>
        <sz val="11"/>
        <color indexed="8"/>
        <rFont val="宋体"/>
        <charset val="134"/>
      </rPr>
      <t>按票据</t>
    </r>
  </si>
  <si>
    <r>
      <rPr>
        <sz val="11"/>
        <color indexed="8"/>
        <rFont val="宋体"/>
        <charset val="134"/>
      </rPr>
      <t>三级</t>
    </r>
  </si>
  <si>
    <r>
      <rPr>
        <sz val="11"/>
        <color indexed="8"/>
        <rFont val="宋体"/>
        <charset val="134"/>
      </rPr>
      <t>维修费率</t>
    </r>
  </si>
  <si>
    <r>
      <rPr>
        <sz val="10"/>
        <color indexed="8"/>
        <rFont val="宋体"/>
        <charset val="134"/>
      </rPr>
      <t>取值范围</t>
    </r>
    <r>
      <rPr>
        <sz val="10"/>
        <color indexed="8"/>
        <rFont val="Arial"/>
        <charset val="134"/>
      </rPr>
      <t>1.5%-2.5%</t>
    </r>
  </si>
  <si>
    <r>
      <rPr>
        <sz val="11"/>
        <color indexed="8"/>
        <rFont val="宋体"/>
        <charset val="134"/>
      </rPr>
      <t>四级</t>
    </r>
  </si>
  <si>
    <r>
      <rPr>
        <sz val="11"/>
        <color indexed="8"/>
        <rFont val="宋体"/>
        <charset val="134"/>
      </rPr>
      <t>保险费率</t>
    </r>
  </si>
  <si>
    <r>
      <rPr>
        <sz val="10"/>
        <color indexed="8"/>
        <rFont val="宋体"/>
        <charset val="134"/>
      </rPr>
      <t>取值范围</t>
    </r>
    <r>
      <rPr>
        <sz val="10"/>
        <color indexed="8"/>
        <rFont val="Arial"/>
        <charset val="134"/>
      </rPr>
      <t>0.15%-0.3%</t>
    </r>
  </si>
  <si>
    <r>
      <rPr>
        <sz val="11"/>
        <color indexed="8"/>
        <rFont val="宋体"/>
        <charset val="134"/>
      </rPr>
      <t>管理费率</t>
    </r>
  </si>
  <si>
    <r>
      <rPr>
        <sz val="10"/>
        <color indexed="8"/>
        <rFont val="宋体"/>
        <charset val="134"/>
      </rPr>
      <t>取值范围</t>
    </r>
    <r>
      <rPr>
        <sz val="10"/>
        <color indexed="8"/>
        <rFont val="Arial"/>
        <charset val="134"/>
      </rPr>
      <t>1-3%</t>
    </r>
  </si>
  <si>
    <r>
      <rPr>
        <sz val="11"/>
        <color indexed="8"/>
        <rFont val="宋体"/>
        <charset val="134"/>
      </rPr>
      <t>六级</t>
    </r>
  </si>
  <si>
    <r>
      <rPr>
        <sz val="11"/>
        <color indexed="8"/>
        <rFont val="宋体"/>
        <charset val="134"/>
      </rPr>
      <t>七级</t>
    </r>
  </si>
  <si>
    <r>
      <rPr>
        <sz val="11"/>
        <color indexed="8"/>
        <rFont val="宋体"/>
        <charset val="134"/>
      </rPr>
      <t>八级</t>
    </r>
  </si>
  <si>
    <r>
      <rPr>
        <sz val="11"/>
        <color indexed="8"/>
        <rFont val="宋体"/>
        <charset val="134"/>
      </rPr>
      <t>九级</t>
    </r>
  </si>
  <si>
    <r>
      <rPr>
        <sz val="11"/>
        <color indexed="8"/>
        <rFont val="宋体"/>
        <charset val="134"/>
      </rPr>
      <t>十级</t>
    </r>
  </si>
  <si>
    <r>
      <rPr>
        <b/>
        <sz val="14"/>
        <color indexed="10"/>
        <rFont val="宋体"/>
        <charset val="134"/>
      </rPr>
      <t>房地产修正因素</t>
    </r>
  </si>
  <si>
    <r>
      <rPr>
        <b/>
        <sz val="10"/>
        <color indexed="8"/>
        <rFont val="宋体"/>
        <charset val="134"/>
      </rPr>
      <t>住宅、办公及商业</t>
    </r>
  </si>
  <si>
    <r>
      <rPr>
        <b/>
        <sz val="10"/>
        <color indexed="8"/>
        <rFont val="宋体"/>
        <charset val="134"/>
      </rPr>
      <t>工业</t>
    </r>
  </si>
  <si>
    <r>
      <rPr>
        <b/>
        <sz val="10"/>
        <color indexed="8"/>
        <rFont val="宋体"/>
        <charset val="134"/>
      </rPr>
      <t>区位状况</t>
    </r>
  </si>
  <si>
    <r>
      <rPr>
        <sz val="10"/>
        <color indexed="8"/>
        <rFont val="宋体"/>
        <charset val="134"/>
      </rPr>
      <t>居住社区成熟度</t>
    </r>
  </si>
  <si>
    <r>
      <rPr>
        <sz val="10"/>
        <color theme="9" tint="-0.249977111117893"/>
        <rFont val="宋体"/>
        <charset val="134"/>
      </rPr>
      <t>估价对象周边居住用地比例、居住小区规模和社区发展完善程度，综合评价居住社区成熟度一般</t>
    </r>
  </si>
  <si>
    <r>
      <rPr>
        <sz val="10"/>
        <color indexed="8"/>
        <rFont val="宋体"/>
        <charset val="134"/>
      </rPr>
      <t>产业集聚程度</t>
    </r>
  </si>
  <si>
    <r>
      <rPr>
        <sz val="10"/>
        <color theme="9" tint="-0.249977111117893"/>
        <rFont val="宋体"/>
        <charset val="134"/>
      </rPr>
      <t>估价对象位于</t>
    </r>
    <r>
      <rPr>
        <sz val="10"/>
        <color theme="9" tint="-0.249977111117893"/>
        <rFont val="Arial"/>
        <charset val="134"/>
      </rPr>
      <t>XX</t>
    </r>
    <r>
      <rPr>
        <sz val="10"/>
        <color theme="9" tint="-0.249977111117893"/>
        <rFont val="宋体"/>
        <charset val="134"/>
      </rPr>
      <t>开发区，园区建设成熟度</t>
    </r>
    <r>
      <rPr>
        <sz val="10"/>
        <color theme="9" tint="-0.249977111117893"/>
        <rFont val="Arial"/>
        <charset val="134"/>
      </rPr>
      <t>XX</t>
    </r>
    <r>
      <rPr>
        <sz val="10"/>
        <color theme="9" tint="-0.249977111117893"/>
        <rFont val="宋体"/>
        <charset val="134"/>
      </rPr>
      <t>，产业集聚程度</t>
    </r>
    <r>
      <rPr>
        <sz val="10"/>
        <color theme="9" tint="-0.249977111117893"/>
        <rFont val="Arial"/>
        <charset val="134"/>
      </rPr>
      <t>XX</t>
    </r>
  </si>
  <si>
    <r>
      <rPr>
        <sz val="10"/>
        <color indexed="8"/>
        <rFont val="宋体"/>
        <charset val="134"/>
      </rPr>
      <t>商业繁华度</t>
    </r>
  </si>
  <si>
    <r>
      <rPr>
        <sz val="10"/>
        <color theme="9" tint="-0.249977111117893"/>
        <rFont val="宋体"/>
        <charset val="134"/>
      </rPr>
      <t>估价对象位于</t>
    </r>
    <r>
      <rPr>
        <sz val="10"/>
        <color theme="9" tint="-0.249977111117893"/>
        <rFont val="Arial"/>
        <charset val="134"/>
      </rPr>
      <t>XX</t>
    </r>
    <r>
      <rPr>
        <sz val="10"/>
        <color theme="9" tint="-0.249977111117893"/>
        <rFont val="宋体"/>
        <charset val="134"/>
      </rPr>
      <t>商圈，周边商业氛围成熟，人流量大，商业繁华度好</t>
    </r>
  </si>
  <si>
    <r>
      <rPr>
        <sz val="10"/>
        <color indexed="8"/>
        <rFont val="宋体"/>
        <charset val="134"/>
      </rPr>
      <t>交通便捷度</t>
    </r>
  </si>
  <si>
    <r>
      <rPr>
        <sz val="10"/>
        <color theme="9" tint="-0.249977111117893"/>
        <rFont val="宋体"/>
        <charset val="134"/>
      </rPr>
      <t>估价对象周边道路状况、公共交通通达情况、停车便捷程度，综合评价交通便捷度较好</t>
    </r>
  </si>
  <si>
    <r>
      <rPr>
        <sz val="10"/>
        <color indexed="8"/>
        <rFont val="宋体"/>
        <charset val="134"/>
      </rPr>
      <t>办公集聚程度</t>
    </r>
  </si>
  <si>
    <r>
      <rPr>
        <sz val="10"/>
        <color theme="9" tint="-0.249977111117893"/>
        <rFont val="宋体"/>
        <charset val="134"/>
      </rPr>
      <t>估价对象位于</t>
    </r>
    <r>
      <rPr>
        <sz val="10"/>
        <color theme="9" tint="-0.249977111117893"/>
        <rFont val="Arial"/>
        <charset val="134"/>
      </rPr>
      <t>XX</t>
    </r>
    <r>
      <rPr>
        <sz val="10"/>
        <color theme="9" tint="-0.249977111117893"/>
        <rFont val="宋体"/>
        <charset val="134"/>
      </rPr>
      <t>商圈，周边办公楼项目较多，入驻率高，办公集聚程度较好</t>
    </r>
  </si>
  <si>
    <r>
      <rPr>
        <sz val="10"/>
        <color indexed="8"/>
        <rFont val="宋体"/>
        <charset val="134"/>
      </rPr>
      <t>公共配套设施</t>
    </r>
  </si>
  <si>
    <r>
      <rPr>
        <sz val="10"/>
        <color theme="9" tint="-0.249977111117893"/>
        <rFont val="宋体"/>
        <charset val="134"/>
      </rPr>
      <t>估价对象所在区域公共配套设施齐备情况</t>
    </r>
  </si>
  <si>
    <r>
      <rPr>
        <sz val="10"/>
        <color indexed="8"/>
        <rFont val="宋体"/>
        <charset val="134"/>
      </rPr>
      <t>基础设施水平</t>
    </r>
  </si>
  <si>
    <r>
      <rPr>
        <sz val="10"/>
        <color theme="9" tint="-0.249977111117893"/>
        <rFont val="宋体"/>
        <charset val="134"/>
      </rPr>
      <t>估价对象所在区域基础设施水平</t>
    </r>
  </si>
  <si>
    <r>
      <rPr>
        <sz val="10"/>
        <color indexed="8"/>
        <rFont val="宋体"/>
        <charset val="134"/>
      </rPr>
      <t>环境状况</t>
    </r>
  </si>
  <si>
    <r>
      <rPr>
        <sz val="10"/>
        <color theme="9" tint="-0.249977111117893"/>
        <rFont val="宋体"/>
        <charset val="134"/>
      </rPr>
      <t>该园区内是否有污染型企业，绿化情况，卫生条件，整体环境状况判断</t>
    </r>
  </si>
  <si>
    <r>
      <rPr>
        <sz val="10"/>
        <color indexed="8"/>
        <rFont val="宋体"/>
        <charset val="134"/>
      </rPr>
      <t>自然及人文环境</t>
    </r>
  </si>
  <si>
    <r>
      <rPr>
        <sz val="10"/>
        <color theme="9" tint="-0.249977111117893"/>
        <rFont val="宋体"/>
        <charset val="134"/>
      </rPr>
      <t>区域自然环境：；人文环境；综合评价环境状况一般</t>
    </r>
  </si>
  <si>
    <r>
      <rPr>
        <sz val="10"/>
        <color indexed="8"/>
        <rFont val="宋体"/>
        <charset val="134"/>
      </rPr>
      <t>毗邻道路的类型与等级</t>
    </r>
  </si>
  <si>
    <r>
      <rPr>
        <b/>
        <sz val="14"/>
        <color indexed="10"/>
        <rFont val="宋体"/>
        <charset val="134"/>
      </rPr>
      <t>土地修正因素</t>
    </r>
  </si>
  <si>
    <r>
      <rPr>
        <sz val="10"/>
        <color indexed="8"/>
        <rFont val="宋体"/>
        <charset val="134"/>
      </rPr>
      <t>区域土地利用方向</t>
    </r>
  </si>
  <si>
    <r>
      <rPr>
        <sz val="10"/>
        <color indexed="8"/>
        <rFont val="宋体"/>
        <charset val="134"/>
      </rPr>
      <t>自然及人文环境状况</t>
    </r>
  </si>
  <si>
    <r>
      <rPr>
        <sz val="10"/>
        <color indexed="8"/>
        <rFont val="宋体"/>
        <charset val="134"/>
      </rPr>
      <t>临街状况</t>
    </r>
  </si>
  <si>
    <t>（规划）建筑面积（m2）</t>
  </si>
  <si>
    <t>（分摊）土地面积（m2）</t>
  </si>
  <si>
    <t>价值时点/估价期日</t>
  </si>
  <si>
    <t>价值类型</t>
  </si>
  <si>
    <t>总价（万元）</t>
  </si>
  <si>
    <t>楼面单价（元/平方米）</t>
  </si>
  <si>
    <t>地面单价（元/平方米）</t>
  </si>
  <si>
    <t>市场价值</t>
  </si>
  <si>
    <t>抵押价值</t>
  </si>
  <si>
    <t>抵押价值-已注销</t>
  </si>
  <si>
    <t>抵押净值</t>
  </si>
  <si>
    <t>总投</t>
  </si>
  <si>
    <t>租金</t>
  </si>
  <si>
    <t>重置成新价</t>
  </si>
  <si>
    <t>项目名称</t>
  </si>
  <si>
    <t>市场价值（万元）</t>
  </si>
  <si>
    <t>抵押价值（万元）</t>
  </si>
  <si>
    <t>抵押价值-已注销（万元）</t>
  </si>
  <si>
    <t>抵押净值（万元）</t>
  </si>
  <si>
    <t>估价对象1（结果表1修多）</t>
  </si>
  <si>
    <t>估价对象2</t>
  </si>
  <si>
    <t>估价对象3</t>
  </si>
  <si>
    <t>估价对象4</t>
  </si>
  <si>
    <t>估价对象5</t>
  </si>
  <si>
    <t>估价对象6</t>
  </si>
  <si>
    <t>估价对象7</t>
  </si>
  <si>
    <t>估价对象8</t>
  </si>
  <si>
    <t>估价对象9</t>
  </si>
  <si>
    <t>估价对象10</t>
  </si>
  <si>
    <r>
      <rPr>
        <b/>
        <sz val="14"/>
        <color rgb="FFFF0000"/>
        <rFont val="宋体"/>
        <charset val="134"/>
      </rPr>
      <t>估价结果（过程）</t>
    </r>
  </si>
  <si>
    <r>
      <rPr>
        <sz val="10"/>
        <color indexed="8"/>
        <rFont val="宋体"/>
        <charset val="134"/>
      </rPr>
      <t>权重确定打分评价体系</t>
    </r>
  </si>
  <si>
    <r>
      <rPr>
        <sz val="11"/>
        <color indexed="8"/>
        <rFont val="宋体"/>
        <charset val="134"/>
      </rPr>
      <t>评价因素</t>
    </r>
  </si>
  <si>
    <r>
      <rPr>
        <sz val="11"/>
        <color indexed="8"/>
        <rFont val="宋体"/>
        <charset val="134"/>
      </rPr>
      <t>标准分值</t>
    </r>
  </si>
  <si>
    <t>典型户型修正</t>
  </si>
  <si>
    <r>
      <rPr>
        <sz val="10"/>
        <color indexed="8"/>
        <rFont val="宋体"/>
        <charset val="134"/>
      </rPr>
      <t>打分考虑因素</t>
    </r>
  </si>
  <si>
    <r>
      <rPr>
        <sz val="11"/>
        <color indexed="8"/>
        <rFont val="宋体"/>
        <charset val="134"/>
      </rPr>
      <t>估价方法的代表性</t>
    </r>
  </si>
  <si>
    <r>
      <rPr>
        <sz val="10"/>
        <color indexed="8"/>
        <rFont val="Arial"/>
        <charset val="134"/>
      </rPr>
      <t>1.</t>
    </r>
    <r>
      <rPr>
        <sz val="10"/>
        <color indexed="8"/>
        <rFont val="宋体"/>
        <charset val="134"/>
      </rPr>
      <t>估价方法选取分析</t>
    </r>
    <r>
      <rPr>
        <b/>
        <sz val="10"/>
        <color indexed="8"/>
        <rFont val="宋体"/>
        <charset val="134"/>
      </rPr>
      <t>充分、合理</t>
    </r>
    <r>
      <rPr>
        <sz val="10"/>
        <color indexed="8"/>
        <rFont val="宋体"/>
        <charset val="134"/>
      </rPr>
      <t>，取</t>
    </r>
    <r>
      <rPr>
        <sz val="10"/>
        <color indexed="8"/>
        <rFont val="Arial"/>
        <charset val="134"/>
      </rPr>
      <t>20</t>
    </r>
    <r>
      <rPr>
        <sz val="10"/>
        <color indexed="8"/>
        <rFont val="宋体"/>
        <charset val="134"/>
      </rPr>
      <t>～</t>
    </r>
    <r>
      <rPr>
        <sz val="10"/>
        <color indexed="8"/>
        <rFont val="Arial"/>
        <charset val="134"/>
      </rPr>
      <t>25</t>
    </r>
    <r>
      <rPr>
        <sz val="10"/>
        <color indexed="8"/>
        <rFont val="宋体"/>
        <charset val="134"/>
      </rPr>
      <t>分；</t>
    </r>
  </si>
  <si>
    <r>
      <rPr>
        <sz val="10"/>
        <color indexed="8"/>
        <rFont val="Arial"/>
        <charset val="134"/>
      </rPr>
      <t>2.</t>
    </r>
    <r>
      <rPr>
        <sz val="10"/>
        <color indexed="8"/>
        <rFont val="宋体"/>
        <charset val="134"/>
      </rPr>
      <t>估价方法选取分析</t>
    </r>
    <r>
      <rPr>
        <b/>
        <sz val="10"/>
        <color indexed="8"/>
        <rFont val="宋体"/>
        <charset val="134"/>
      </rPr>
      <t>较充分、合理</t>
    </r>
    <r>
      <rPr>
        <sz val="10"/>
        <color indexed="8"/>
        <rFont val="宋体"/>
        <charset val="134"/>
      </rPr>
      <t>，取</t>
    </r>
    <r>
      <rPr>
        <sz val="10"/>
        <color indexed="8"/>
        <rFont val="Arial"/>
        <charset val="134"/>
      </rPr>
      <t>10</t>
    </r>
    <r>
      <rPr>
        <sz val="10"/>
        <color indexed="8"/>
        <rFont val="宋体"/>
        <charset val="134"/>
      </rPr>
      <t>～</t>
    </r>
    <r>
      <rPr>
        <sz val="10"/>
        <color indexed="8"/>
        <rFont val="Arial"/>
        <charset val="134"/>
      </rPr>
      <t>19</t>
    </r>
    <r>
      <rPr>
        <sz val="10"/>
        <color indexed="8"/>
        <rFont val="宋体"/>
        <charset val="134"/>
      </rPr>
      <t>分；</t>
    </r>
  </si>
  <si>
    <r>
      <rPr>
        <sz val="10"/>
        <color indexed="8"/>
        <rFont val="Arial"/>
        <charset val="134"/>
      </rPr>
      <t>3.</t>
    </r>
    <r>
      <rPr>
        <sz val="10"/>
        <color indexed="8"/>
        <rFont val="宋体"/>
        <charset val="134"/>
      </rPr>
      <t>估价方法选取分析</t>
    </r>
    <r>
      <rPr>
        <b/>
        <sz val="10"/>
        <color indexed="8"/>
        <rFont val="宋体"/>
        <charset val="134"/>
      </rPr>
      <t>较不充分</t>
    </r>
    <r>
      <rPr>
        <sz val="10"/>
        <color indexed="8"/>
        <rFont val="宋体"/>
        <charset val="134"/>
      </rPr>
      <t>，取</t>
    </r>
    <r>
      <rPr>
        <sz val="10"/>
        <color indexed="8"/>
        <rFont val="Arial"/>
        <charset val="134"/>
      </rPr>
      <t>0</t>
    </r>
    <r>
      <rPr>
        <sz val="10"/>
        <color indexed="8"/>
        <rFont val="宋体"/>
        <charset val="134"/>
      </rPr>
      <t>～</t>
    </r>
    <r>
      <rPr>
        <sz val="10"/>
        <color indexed="8"/>
        <rFont val="Arial"/>
        <charset val="134"/>
      </rPr>
      <t>9</t>
    </r>
    <r>
      <rPr>
        <sz val="10"/>
        <color indexed="8"/>
        <rFont val="宋体"/>
        <charset val="134"/>
      </rPr>
      <t>分；</t>
    </r>
  </si>
  <si>
    <r>
      <rPr>
        <sz val="11"/>
        <color indexed="8"/>
        <rFont val="宋体"/>
        <charset val="134"/>
      </rPr>
      <t>估价方法所要求的估价资料的完整性</t>
    </r>
  </si>
  <si>
    <r>
      <rPr>
        <sz val="10"/>
        <color indexed="8"/>
        <rFont val="Arial"/>
        <charset val="134"/>
      </rPr>
      <t>1.</t>
    </r>
    <r>
      <rPr>
        <sz val="10"/>
        <color indexed="8"/>
        <rFont val="宋体"/>
        <charset val="134"/>
      </rPr>
      <t>估价资料</t>
    </r>
    <r>
      <rPr>
        <b/>
        <sz val="10"/>
        <color indexed="8"/>
        <rFont val="宋体"/>
        <charset val="134"/>
      </rPr>
      <t>完整</t>
    </r>
    <r>
      <rPr>
        <sz val="10"/>
        <color indexed="8"/>
        <rFont val="宋体"/>
        <charset val="134"/>
      </rPr>
      <t>，来源依据充分，取</t>
    </r>
    <r>
      <rPr>
        <sz val="10"/>
        <color indexed="8"/>
        <rFont val="Arial"/>
        <charset val="134"/>
      </rPr>
      <t>10</t>
    </r>
    <r>
      <rPr>
        <sz val="10"/>
        <color indexed="8"/>
        <rFont val="宋体"/>
        <charset val="134"/>
      </rPr>
      <t>～</t>
    </r>
    <r>
      <rPr>
        <sz val="10"/>
        <color indexed="8"/>
        <rFont val="Arial"/>
        <charset val="134"/>
      </rPr>
      <t>15</t>
    </r>
    <r>
      <rPr>
        <sz val="10"/>
        <color indexed="8"/>
        <rFont val="宋体"/>
        <charset val="134"/>
      </rPr>
      <t>分；</t>
    </r>
  </si>
  <si>
    <r>
      <rPr>
        <sz val="10"/>
        <color indexed="8"/>
        <rFont val="Arial"/>
        <charset val="134"/>
      </rPr>
      <t>2.</t>
    </r>
    <r>
      <rPr>
        <sz val="10"/>
        <color indexed="8"/>
        <rFont val="宋体"/>
        <charset val="134"/>
      </rPr>
      <t>估价资料有</t>
    </r>
    <r>
      <rPr>
        <b/>
        <sz val="10"/>
        <color indexed="8"/>
        <rFont val="宋体"/>
        <charset val="134"/>
      </rPr>
      <t>欠缺</t>
    </r>
    <r>
      <rPr>
        <sz val="10"/>
        <color indexed="8"/>
        <rFont val="宋体"/>
        <charset val="134"/>
      </rPr>
      <t>，来源依据较不充分，取</t>
    </r>
    <r>
      <rPr>
        <sz val="10"/>
        <color indexed="8"/>
        <rFont val="Arial"/>
        <charset val="134"/>
      </rPr>
      <t>0</t>
    </r>
    <r>
      <rPr>
        <sz val="10"/>
        <color indexed="8"/>
        <rFont val="宋体"/>
        <charset val="134"/>
      </rPr>
      <t>～</t>
    </r>
    <r>
      <rPr>
        <sz val="10"/>
        <color indexed="8"/>
        <rFont val="Arial"/>
        <charset val="134"/>
      </rPr>
      <t>9</t>
    </r>
    <r>
      <rPr>
        <sz val="10"/>
        <color indexed="8"/>
        <rFont val="宋体"/>
        <charset val="134"/>
      </rPr>
      <t>分；</t>
    </r>
  </si>
  <si>
    <r>
      <rPr>
        <sz val="11"/>
        <color indexed="8"/>
        <rFont val="宋体"/>
        <charset val="134"/>
      </rPr>
      <t>参数选取的客观性</t>
    </r>
  </si>
  <si>
    <r>
      <rPr>
        <sz val="10"/>
        <color indexed="8"/>
        <rFont val="Arial"/>
        <charset val="134"/>
      </rPr>
      <t>1.</t>
    </r>
    <r>
      <rPr>
        <sz val="10"/>
        <color indexed="8"/>
        <rFont val="宋体"/>
        <charset val="134"/>
      </rPr>
      <t>参数从</t>
    </r>
    <r>
      <rPr>
        <b/>
        <sz val="10"/>
        <color indexed="8"/>
        <rFont val="宋体"/>
        <charset val="134"/>
      </rPr>
      <t>市场上获取</t>
    </r>
    <r>
      <rPr>
        <sz val="10"/>
        <color indexed="8"/>
        <rFont val="宋体"/>
        <charset val="134"/>
      </rPr>
      <t>，或从权威机构发布的信息上获取，取</t>
    </r>
    <r>
      <rPr>
        <sz val="10"/>
        <color indexed="8"/>
        <rFont val="Arial"/>
        <charset val="134"/>
      </rPr>
      <t>10</t>
    </r>
    <r>
      <rPr>
        <sz val="10"/>
        <color indexed="8"/>
        <rFont val="宋体"/>
        <charset val="134"/>
      </rPr>
      <t>～</t>
    </r>
    <r>
      <rPr>
        <sz val="10"/>
        <color indexed="8"/>
        <rFont val="Arial"/>
        <charset val="134"/>
      </rPr>
      <t>15</t>
    </r>
    <r>
      <rPr>
        <sz val="10"/>
        <color indexed="8"/>
        <rFont val="宋体"/>
        <charset val="134"/>
      </rPr>
      <t>分；</t>
    </r>
  </si>
  <si>
    <r>
      <rPr>
        <sz val="10"/>
        <color indexed="8"/>
        <rFont val="Arial"/>
        <charset val="134"/>
      </rPr>
      <t>2.</t>
    </r>
    <r>
      <rPr>
        <sz val="10"/>
        <color indexed="8"/>
        <rFont val="宋体"/>
        <charset val="134"/>
      </rPr>
      <t>部分参数为</t>
    </r>
    <r>
      <rPr>
        <b/>
        <sz val="10"/>
        <color indexed="8"/>
        <rFont val="宋体"/>
        <charset val="134"/>
      </rPr>
      <t>自行分析</t>
    </r>
    <r>
      <rPr>
        <sz val="10"/>
        <color indexed="8"/>
        <rFont val="宋体"/>
        <charset val="134"/>
      </rPr>
      <t>取得，理由较充分，取</t>
    </r>
    <r>
      <rPr>
        <sz val="10"/>
        <color indexed="8"/>
        <rFont val="Arial"/>
        <charset val="134"/>
      </rPr>
      <t>0</t>
    </r>
    <r>
      <rPr>
        <sz val="10"/>
        <color indexed="8"/>
        <rFont val="宋体"/>
        <charset val="134"/>
      </rPr>
      <t>～</t>
    </r>
    <r>
      <rPr>
        <sz val="10"/>
        <color indexed="8"/>
        <rFont val="Arial"/>
        <charset val="134"/>
      </rPr>
      <t>9</t>
    </r>
    <r>
      <rPr>
        <sz val="10"/>
        <color indexed="8"/>
        <rFont val="宋体"/>
        <charset val="134"/>
      </rPr>
      <t>分；</t>
    </r>
  </si>
  <si>
    <r>
      <rPr>
        <sz val="11"/>
        <color indexed="8"/>
        <rFont val="宋体"/>
        <charset val="134"/>
      </rPr>
      <t>参数确定的时效性</t>
    </r>
  </si>
  <si>
    <r>
      <rPr>
        <sz val="10"/>
        <color indexed="8"/>
        <rFont val="Arial"/>
        <charset val="134"/>
      </rPr>
      <t>1.</t>
    </r>
    <r>
      <rPr>
        <sz val="10"/>
        <color indexed="8"/>
        <rFont val="宋体"/>
        <charset val="134"/>
      </rPr>
      <t>参数在规定的时效范围内，且距估价期日</t>
    </r>
    <r>
      <rPr>
        <b/>
        <sz val="10"/>
        <color indexed="8"/>
        <rFont val="宋体"/>
        <charset val="134"/>
      </rPr>
      <t>未超过</t>
    </r>
    <r>
      <rPr>
        <b/>
        <sz val="10"/>
        <color indexed="8"/>
        <rFont val="Arial"/>
        <charset val="134"/>
      </rPr>
      <t>1</t>
    </r>
    <r>
      <rPr>
        <b/>
        <sz val="10"/>
        <color indexed="8"/>
        <rFont val="宋体"/>
        <charset val="134"/>
      </rPr>
      <t>年</t>
    </r>
    <r>
      <rPr>
        <sz val="10"/>
        <color indexed="8"/>
        <rFont val="宋体"/>
        <charset val="134"/>
      </rPr>
      <t>，取</t>
    </r>
    <r>
      <rPr>
        <sz val="10"/>
        <color indexed="8"/>
        <rFont val="Arial"/>
        <charset val="134"/>
      </rPr>
      <t>10</t>
    </r>
    <r>
      <rPr>
        <sz val="10"/>
        <color indexed="8"/>
        <rFont val="宋体"/>
        <charset val="134"/>
      </rPr>
      <t>～</t>
    </r>
    <r>
      <rPr>
        <sz val="10"/>
        <color indexed="8"/>
        <rFont val="Arial"/>
        <charset val="134"/>
      </rPr>
      <t>15</t>
    </r>
    <r>
      <rPr>
        <sz val="10"/>
        <color indexed="8"/>
        <rFont val="宋体"/>
        <charset val="134"/>
      </rPr>
      <t>分；</t>
    </r>
  </si>
  <si>
    <r>
      <rPr>
        <sz val="10"/>
        <color indexed="8"/>
        <rFont val="Arial"/>
        <charset val="134"/>
      </rPr>
      <t>2.</t>
    </r>
    <r>
      <rPr>
        <sz val="10"/>
        <color indexed="8"/>
        <rFont val="宋体"/>
        <charset val="134"/>
      </rPr>
      <t>参数在规定的时效范围内，但距估价期日</t>
    </r>
    <r>
      <rPr>
        <b/>
        <sz val="10"/>
        <color indexed="8"/>
        <rFont val="宋体"/>
        <charset val="134"/>
      </rPr>
      <t>超过</t>
    </r>
    <r>
      <rPr>
        <b/>
        <sz val="10"/>
        <color indexed="8"/>
        <rFont val="Arial"/>
        <charset val="134"/>
      </rPr>
      <t>1</t>
    </r>
    <r>
      <rPr>
        <b/>
        <sz val="10"/>
        <color indexed="8"/>
        <rFont val="宋体"/>
        <charset val="134"/>
      </rPr>
      <t>年</t>
    </r>
    <r>
      <rPr>
        <sz val="10"/>
        <color indexed="8"/>
        <rFont val="宋体"/>
        <charset val="134"/>
      </rPr>
      <t>，取</t>
    </r>
    <r>
      <rPr>
        <sz val="10"/>
        <color indexed="8"/>
        <rFont val="Arial"/>
        <charset val="134"/>
      </rPr>
      <t>0</t>
    </r>
    <r>
      <rPr>
        <sz val="10"/>
        <color indexed="8"/>
        <rFont val="宋体"/>
        <charset val="134"/>
      </rPr>
      <t>～</t>
    </r>
    <r>
      <rPr>
        <sz val="10"/>
        <color indexed="8"/>
        <rFont val="Arial"/>
        <charset val="134"/>
      </rPr>
      <t>9</t>
    </r>
    <r>
      <rPr>
        <sz val="10"/>
        <color indexed="8"/>
        <rFont val="宋体"/>
        <charset val="134"/>
      </rPr>
      <t>分；</t>
    </r>
  </si>
  <si>
    <r>
      <rPr>
        <sz val="11"/>
        <color indexed="8"/>
        <rFont val="宋体"/>
        <charset val="134"/>
      </rPr>
      <t>估价结果的现势性</t>
    </r>
  </si>
  <si>
    <r>
      <rPr>
        <sz val="10"/>
        <color indexed="8"/>
        <rFont val="Arial"/>
        <charset val="134"/>
      </rPr>
      <t>1.</t>
    </r>
    <r>
      <rPr>
        <sz val="10"/>
        <color indexed="8"/>
        <rFont val="宋体"/>
        <charset val="134"/>
      </rPr>
      <t>估价结果与同类用途房地产市场</t>
    </r>
    <r>
      <rPr>
        <b/>
        <sz val="10"/>
        <color indexed="8"/>
        <rFont val="宋体"/>
        <charset val="134"/>
      </rPr>
      <t>价格水平一致</t>
    </r>
    <r>
      <rPr>
        <sz val="10"/>
        <color indexed="8"/>
        <rFont val="宋体"/>
        <charset val="134"/>
      </rPr>
      <t>，且考虑了房地产市场发展趋势，取</t>
    </r>
    <r>
      <rPr>
        <sz val="10"/>
        <color indexed="8"/>
        <rFont val="Arial"/>
        <charset val="134"/>
      </rPr>
      <t>20</t>
    </r>
    <r>
      <rPr>
        <sz val="10"/>
        <color indexed="8"/>
        <rFont val="宋体"/>
        <charset val="134"/>
      </rPr>
      <t>～</t>
    </r>
    <r>
      <rPr>
        <sz val="10"/>
        <color indexed="8"/>
        <rFont val="Arial"/>
        <charset val="134"/>
      </rPr>
      <t>30</t>
    </r>
    <r>
      <rPr>
        <sz val="10"/>
        <color indexed="8"/>
        <rFont val="宋体"/>
        <charset val="134"/>
      </rPr>
      <t>分；</t>
    </r>
  </si>
  <si>
    <r>
      <rPr>
        <sz val="10"/>
        <color indexed="8"/>
        <rFont val="Arial"/>
        <charset val="134"/>
      </rPr>
      <t>2.</t>
    </r>
    <r>
      <rPr>
        <sz val="10"/>
        <color indexed="8"/>
        <rFont val="宋体"/>
        <charset val="134"/>
      </rPr>
      <t>估价结果与同类用途房地产价格</t>
    </r>
    <r>
      <rPr>
        <b/>
        <sz val="10"/>
        <color indexed="8"/>
        <rFont val="宋体"/>
        <charset val="134"/>
      </rPr>
      <t>水平基本一致</t>
    </r>
    <r>
      <rPr>
        <sz val="10"/>
        <color indexed="8"/>
        <rFont val="宋体"/>
        <charset val="134"/>
      </rPr>
      <t>，且适当考虑了房地产市场发展趋势，取</t>
    </r>
    <r>
      <rPr>
        <sz val="10"/>
        <color indexed="8"/>
        <rFont val="Arial"/>
        <charset val="134"/>
      </rPr>
      <t>10</t>
    </r>
    <r>
      <rPr>
        <sz val="10"/>
        <color indexed="8"/>
        <rFont val="宋体"/>
        <charset val="134"/>
      </rPr>
      <t>～</t>
    </r>
    <r>
      <rPr>
        <sz val="10"/>
        <color indexed="8"/>
        <rFont val="Arial"/>
        <charset val="134"/>
      </rPr>
      <t>19</t>
    </r>
    <r>
      <rPr>
        <sz val="10"/>
        <color indexed="8"/>
        <rFont val="宋体"/>
        <charset val="134"/>
      </rPr>
      <t>分；</t>
    </r>
  </si>
  <si>
    <r>
      <rPr>
        <sz val="10"/>
        <color indexed="8"/>
        <rFont val="Arial"/>
        <charset val="134"/>
      </rPr>
      <t>3.</t>
    </r>
    <r>
      <rPr>
        <sz val="10"/>
        <color indexed="8"/>
        <rFont val="宋体"/>
        <charset val="134"/>
      </rPr>
      <t>估价结果与同类用途房地产</t>
    </r>
    <r>
      <rPr>
        <b/>
        <sz val="10"/>
        <color indexed="8"/>
        <rFont val="宋体"/>
        <charset val="134"/>
      </rPr>
      <t>价格水平有一定差距</t>
    </r>
    <r>
      <rPr>
        <sz val="10"/>
        <color indexed="8"/>
        <rFont val="宋体"/>
        <charset val="134"/>
      </rPr>
      <t>，且适当考虑房地产市场发展趋势，取</t>
    </r>
    <r>
      <rPr>
        <sz val="10"/>
        <color indexed="8"/>
        <rFont val="Arial"/>
        <charset val="134"/>
      </rPr>
      <t>0</t>
    </r>
    <r>
      <rPr>
        <sz val="10"/>
        <color indexed="8"/>
        <rFont val="宋体"/>
        <charset val="134"/>
      </rPr>
      <t>～</t>
    </r>
    <r>
      <rPr>
        <sz val="10"/>
        <color indexed="8"/>
        <rFont val="Arial"/>
        <charset val="134"/>
      </rPr>
      <t>9</t>
    </r>
    <r>
      <rPr>
        <sz val="10"/>
        <color indexed="8"/>
        <rFont val="宋体"/>
        <charset val="134"/>
      </rPr>
      <t>分；</t>
    </r>
  </si>
  <si>
    <r>
      <rPr>
        <b/>
        <sz val="11"/>
        <color indexed="8"/>
        <rFont val="宋体"/>
        <charset val="134"/>
      </rPr>
      <t>分值</t>
    </r>
  </si>
  <si>
    <r>
      <rPr>
        <b/>
        <sz val="11"/>
        <color indexed="8"/>
        <rFont val="宋体"/>
        <charset val="134"/>
      </rPr>
      <t>权重</t>
    </r>
  </si>
  <si>
    <t>★此处仍为计算过程，权重结果非最终结果，总价和单价分别为各自权重值，无直接关联★</t>
  </si>
  <si>
    <r>
      <rPr>
        <b/>
        <sz val="11"/>
        <color indexed="8"/>
        <rFont val="宋体"/>
        <charset val="134"/>
      </rPr>
      <t>各方法结果</t>
    </r>
  </si>
  <si>
    <r>
      <rPr>
        <sz val="11"/>
        <color indexed="8"/>
        <rFont val="宋体"/>
        <charset val="134"/>
      </rPr>
      <t>总价</t>
    </r>
  </si>
  <si>
    <r>
      <rPr>
        <b/>
        <sz val="11"/>
        <color indexed="8"/>
        <rFont val="宋体"/>
        <charset val="134"/>
      </rPr>
      <t>权重结果</t>
    </r>
  </si>
  <si>
    <r>
      <rPr>
        <sz val="11"/>
        <color indexed="8"/>
        <rFont val="宋体"/>
        <charset val="134"/>
      </rPr>
      <t>楼面单价</t>
    </r>
  </si>
  <si>
    <r>
      <rPr>
        <sz val="10"/>
        <color indexed="8"/>
        <rFont val="宋体"/>
        <charset val="134"/>
      </rPr>
      <t>元</t>
    </r>
    <r>
      <rPr>
        <sz val="10"/>
        <color indexed="8"/>
        <rFont val="Arial"/>
        <charset val="134"/>
      </rPr>
      <t>/</t>
    </r>
    <r>
      <rPr>
        <sz val="10"/>
        <color indexed="8"/>
        <rFont val="宋体"/>
        <charset val="134"/>
      </rPr>
      <t>平方米</t>
    </r>
  </si>
  <si>
    <r>
      <rPr>
        <sz val="11"/>
        <color indexed="8"/>
        <rFont val="宋体"/>
        <charset val="134"/>
      </rPr>
      <t>各方法结果差值</t>
    </r>
  </si>
  <si>
    <r>
      <rPr>
        <b/>
        <sz val="11"/>
        <color indexed="8"/>
        <rFont val="宋体"/>
        <charset val="134"/>
      </rPr>
      <t>扣减项</t>
    </r>
    <r>
      <rPr>
        <b/>
        <sz val="11"/>
        <color indexed="8"/>
        <rFont val="Arial"/>
        <charset val="134"/>
      </rPr>
      <t>(</t>
    </r>
    <r>
      <rPr>
        <b/>
        <sz val="11"/>
        <color indexed="8"/>
        <rFont val="宋体"/>
        <charset val="134"/>
      </rPr>
      <t>出让金、平整费用等</t>
    </r>
    <r>
      <rPr>
        <b/>
        <sz val="11"/>
        <color indexed="8"/>
        <rFont val="Arial"/>
        <charset val="134"/>
      </rPr>
      <t>)</t>
    </r>
  </si>
  <si>
    <r>
      <rPr>
        <sz val="11"/>
        <color rgb="FFFF0000"/>
        <rFont val="宋体"/>
        <charset val="134"/>
      </rPr>
      <t>扣减项</t>
    </r>
  </si>
  <si>
    <r>
      <rPr>
        <sz val="11"/>
        <color rgb="FFFF0000"/>
        <rFont val="宋体"/>
        <charset val="134"/>
      </rPr>
      <t>面积</t>
    </r>
  </si>
  <si>
    <r>
      <rPr>
        <sz val="11"/>
        <color rgb="FFFF0000"/>
        <rFont val="宋体"/>
        <charset val="134"/>
      </rPr>
      <t>单价</t>
    </r>
  </si>
  <si>
    <r>
      <rPr>
        <sz val="11"/>
        <color rgb="FFFF0000"/>
        <rFont val="宋体"/>
        <charset val="134"/>
      </rPr>
      <t>总值</t>
    </r>
  </si>
  <si>
    <r>
      <rPr>
        <sz val="11"/>
        <color rgb="FFFF0000"/>
        <rFont val="宋体"/>
        <charset val="134"/>
      </rPr>
      <t>合计</t>
    </r>
  </si>
  <si>
    <t>★合计部分请自行录入公式，很重要，与C32结果相关★</t>
  </si>
  <si>
    <t>★此线以下显示的为最终结果★</t>
  </si>
  <si>
    <r>
      <rPr>
        <b/>
        <sz val="11"/>
        <color indexed="8"/>
        <rFont val="宋体"/>
        <charset val="134"/>
      </rPr>
      <t>房地产价值</t>
    </r>
  </si>
  <si>
    <r>
      <rPr>
        <b/>
        <sz val="11"/>
        <color indexed="8"/>
        <rFont val="宋体"/>
        <charset val="134"/>
      </rPr>
      <t>土地与建筑物价值分配原则</t>
    </r>
  </si>
  <si>
    <r>
      <rPr>
        <sz val="10"/>
        <color indexed="8"/>
        <rFont val="宋体"/>
        <charset val="134"/>
      </rPr>
      <t>自定义比例设置</t>
    </r>
  </si>
  <si>
    <r>
      <rPr>
        <sz val="11"/>
        <color indexed="8"/>
        <rFont val="宋体"/>
        <charset val="134"/>
      </rPr>
      <t>土地价值</t>
    </r>
  </si>
  <si>
    <r>
      <rPr>
        <sz val="10"/>
        <color indexed="8"/>
        <rFont val="宋体"/>
        <charset val="134"/>
      </rPr>
      <t>土地价值</t>
    </r>
  </si>
  <si>
    <r>
      <rPr>
        <sz val="11"/>
        <color indexed="8"/>
        <rFont val="宋体"/>
        <charset val="134"/>
      </rPr>
      <t>建筑物价值</t>
    </r>
  </si>
  <si>
    <r>
      <rPr>
        <sz val="10"/>
        <color indexed="8"/>
        <rFont val="宋体"/>
        <charset val="134"/>
      </rPr>
      <t>建筑物价值</t>
    </r>
  </si>
  <si>
    <r>
      <rPr>
        <b/>
        <sz val="11"/>
        <color indexed="8"/>
        <rFont val="宋体"/>
        <charset val="134"/>
      </rPr>
      <t>优先受偿情况</t>
    </r>
  </si>
  <si>
    <r>
      <rPr>
        <sz val="11"/>
        <color indexed="8"/>
        <rFont val="宋体"/>
        <charset val="134"/>
      </rPr>
      <t>已抵押担保数额</t>
    </r>
  </si>
  <si>
    <r>
      <rPr>
        <sz val="11"/>
        <color indexed="8"/>
        <rFont val="宋体"/>
        <charset val="134"/>
      </rPr>
      <t>拖欠工程款</t>
    </r>
  </si>
  <si>
    <r>
      <rPr>
        <sz val="11"/>
        <color indexed="8"/>
        <rFont val="宋体"/>
        <charset val="134"/>
      </rPr>
      <t>其他</t>
    </r>
  </si>
  <si>
    <r>
      <rPr>
        <sz val="11"/>
        <color indexed="8"/>
        <rFont val="宋体"/>
        <charset val="134"/>
      </rPr>
      <t>补交地价款</t>
    </r>
  </si>
  <si>
    <r>
      <rPr>
        <b/>
        <sz val="11"/>
        <color indexed="8"/>
        <rFont val="宋体"/>
        <charset val="134"/>
      </rPr>
      <t>补交地价款</t>
    </r>
  </si>
  <si>
    <r>
      <rPr>
        <sz val="11"/>
        <color rgb="FFFF0000"/>
        <rFont val="宋体"/>
        <charset val="134"/>
      </rPr>
      <t>税费</t>
    </r>
  </si>
  <si>
    <r>
      <rPr>
        <sz val="10"/>
        <color indexed="8"/>
        <rFont val="Arial"/>
        <charset val="134"/>
      </rPr>
      <t>(</t>
    </r>
    <r>
      <rPr>
        <sz val="10"/>
        <color indexed="8"/>
        <rFont val="宋体"/>
        <charset val="134"/>
      </rPr>
      <t>列示计算过程</t>
    </r>
    <r>
      <rPr>
        <sz val="10"/>
        <color indexed="8"/>
        <rFont val="Arial"/>
        <charset val="134"/>
      </rPr>
      <t>,</t>
    </r>
  </si>
  <si>
    <r>
      <rPr>
        <sz val="10"/>
        <color indexed="8"/>
        <rFont val="宋体"/>
        <charset val="134"/>
      </rPr>
      <t>不固定格式</t>
    </r>
    <r>
      <rPr>
        <sz val="10"/>
        <color indexed="8"/>
        <rFont val="Arial"/>
        <charset val="134"/>
      </rPr>
      <t>)</t>
    </r>
  </si>
  <si>
    <r>
      <rPr>
        <b/>
        <sz val="14"/>
        <color rgb="FFFF0000"/>
        <rFont val="宋体"/>
        <charset val="134"/>
      </rPr>
      <t>抵押净值计算</t>
    </r>
  </si>
  <si>
    <t>★净值计算中税收公式按照北京市现行政策设置，如为外省项目需核实当地税收政策★</t>
  </si>
  <si>
    <r>
      <rPr>
        <b/>
        <sz val="10"/>
        <color theme="1"/>
        <rFont val="宋体"/>
        <charset val="134"/>
      </rPr>
      <t>预计处置时需缴纳的各项地价、税费清单计算明细表</t>
    </r>
  </si>
  <si>
    <r>
      <rPr>
        <b/>
        <sz val="10"/>
        <color indexed="8"/>
        <rFont val="宋体"/>
        <charset val="134"/>
      </rPr>
      <t>净值计算基数</t>
    </r>
    <r>
      <rPr>
        <b/>
        <sz val="10"/>
        <color indexed="8"/>
        <rFont val="Arial"/>
        <charset val="134"/>
      </rPr>
      <t>“</t>
    </r>
    <r>
      <rPr>
        <b/>
        <sz val="10"/>
        <color indexed="8"/>
        <rFont val="宋体"/>
        <charset val="134"/>
      </rPr>
      <t>房地产销售收入</t>
    </r>
    <r>
      <rPr>
        <b/>
        <sz val="10"/>
        <color indexed="8"/>
        <rFont val="Arial"/>
        <charset val="134"/>
      </rPr>
      <t>”</t>
    </r>
  </si>
  <si>
    <r>
      <rPr>
        <sz val="10"/>
        <color indexed="8"/>
        <rFont val="宋体"/>
        <charset val="134"/>
      </rPr>
      <t>按评估值的</t>
    </r>
  </si>
  <si>
    <r>
      <rPr>
        <sz val="10"/>
        <color indexed="8"/>
        <rFont val="宋体"/>
        <charset val="134"/>
      </rPr>
      <t>计算</t>
    </r>
  </si>
  <si>
    <t>估价对象基本情况</t>
  </si>
  <si>
    <r>
      <rPr>
        <b/>
        <sz val="10"/>
        <color indexed="8"/>
        <rFont val="宋体"/>
        <charset val="134"/>
      </rPr>
      <t>处置时需缴纳的相关税费</t>
    </r>
  </si>
  <si>
    <r>
      <rPr>
        <b/>
        <sz val="10"/>
        <color indexed="8"/>
        <rFont val="宋体"/>
        <charset val="134"/>
      </rPr>
      <t>税（费）种</t>
    </r>
  </si>
  <si>
    <r>
      <rPr>
        <sz val="10"/>
        <color indexed="8"/>
        <rFont val="宋体"/>
        <charset val="134"/>
      </rPr>
      <t>金额</t>
    </r>
  </si>
  <si>
    <r>
      <rPr>
        <sz val="10"/>
        <color indexed="8"/>
        <rFont val="宋体"/>
        <charset val="134"/>
      </rPr>
      <t>计算方法</t>
    </r>
  </si>
  <si>
    <r>
      <rPr>
        <b/>
        <sz val="10"/>
        <color indexed="8"/>
        <rFont val="宋体"/>
        <charset val="134"/>
      </rPr>
      <t>税（费）率</t>
    </r>
  </si>
  <si>
    <r>
      <rPr>
        <sz val="10"/>
        <color indexed="8"/>
        <rFont val="宋体"/>
        <charset val="134"/>
      </rPr>
      <t>备注</t>
    </r>
  </si>
  <si>
    <t>价值时点</t>
  </si>
  <si>
    <r>
      <rPr>
        <sz val="10"/>
        <color indexed="8"/>
        <rFont val="Arial"/>
        <charset val="134"/>
      </rPr>
      <t>1.</t>
    </r>
    <r>
      <rPr>
        <sz val="10"/>
        <color indexed="8"/>
        <rFont val="宋体"/>
        <charset val="134"/>
      </rPr>
      <t>增值税及附加</t>
    </r>
  </si>
  <si>
    <r>
      <rPr>
        <sz val="10"/>
        <color indexed="10"/>
        <rFont val="宋体"/>
        <charset val="134"/>
      </rPr>
      <t>属于免缴时请录入面缴类别</t>
    </r>
  </si>
  <si>
    <r>
      <rPr>
        <sz val="10"/>
        <color indexed="8"/>
        <rFont val="宋体"/>
        <charset val="134"/>
      </rPr>
      <t>情况</t>
    </r>
    <r>
      <rPr>
        <sz val="10"/>
        <color indexed="8"/>
        <rFont val="Arial"/>
        <charset val="134"/>
      </rPr>
      <t>3</t>
    </r>
  </si>
  <si>
    <t>评估总值</t>
  </si>
  <si>
    <r>
      <rPr>
        <sz val="10"/>
        <color indexed="8"/>
        <rFont val="宋体"/>
        <charset val="134"/>
      </rPr>
      <t>情况</t>
    </r>
    <r>
      <rPr>
        <sz val="10"/>
        <color indexed="8"/>
        <rFont val="Arial"/>
        <charset val="134"/>
      </rPr>
      <t>1</t>
    </r>
    <r>
      <rPr>
        <sz val="10"/>
        <color indexed="8"/>
        <rFont val="宋体"/>
        <charset val="134"/>
      </rPr>
      <t>：</t>
    </r>
  </si>
  <si>
    <r>
      <rPr>
        <sz val="10"/>
        <color indexed="8"/>
        <rFont val="宋体"/>
        <charset val="134"/>
      </rPr>
      <t>个人购买的</t>
    </r>
    <r>
      <rPr>
        <sz val="10"/>
        <color indexed="8"/>
        <rFont val="Arial"/>
        <charset val="134"/>
      </rPr>
      <t>2</t>
    </r>
    <r>
      <rPr>
        <sz val="10"/>
        <color indexed="8"/>
        <rFont val="宋体"/>
        <charset val="134"/>
      </rPr>
      <t>年以上的普通住宅（北上广深）</t>
    </r>
  </si>
  <si>
    <r>
      <rPr>
        <sz val="10"/>
        <color indexed="8"/>
        <rFont val="宋体"/>
        <charset val="134"/>
      </rPr>
      <t>免征</t>
    </r>
  </si>
  <si>
    <t>北京普宅标准：</t>
  </si>
  <si>
    <r>
      <rPr>
        <sz val="10"/>
        <color indexed="8"/>
        <rFont val="宋体"/>
        <charset val="134"/>
      </rPr>
      <t>个人购买的</t>
    </r>
    <r>
      <rPr>
        <sz val="10"/>
        <color indexed="8"/>
        <rFont val="Arial"/>
        <charset val="134"/>
      </rPr>
      <t>2</t>
    </r>
    <r>
      <rPr>
        <sz val="10"/>
        <color indexed="8"/>
        <rFont val="宋体"/>
        <charset val="134"/>
      </rPr>
      <t>年以上的住宅（非北上广深）</t>
    </r>
  </si>
  <si>
    <r>
      <rPr>
        <sz val="10"/>
        <color indexed="8"/>
        <rFont val="Arial"/>
        <charset val="134"/>
      </rPr>
      <t>1.</t>
    </r>
    <r>
      <rPr>
        <sz val="10"/>
        <color indexed="8"/>
        <rFont val="宋体"/>
        <charset val="134"/>
      </rPr>
      <t>小区容积率</t>
    </r>
    <r>
      <rPr>
        <sz val="10"/>
        <color indexed="8"/>
        <rFont val="Arial"/>
        <charset val="134"/>
      </rPr>
      <t>1.0</t>
    </r>
    <r>
      <rPr>
        <sz val="10"/>
        <color indexed="8"/>
        <rFont val="宋体"/>
        <charset val="134"/>
      </rPr>
      <t>（含）以上</t>
    </r>
  </si>
  <si>
    <t>处置时需缴纳的相关税费</t>
  </si>
  <si>
    <r>
      <rPr>
        <sz val="10"/>
        <color indexed="8"/>
        <rFont val="宋体"/>
        <charset val="134"/>
      </rPr>
      <t>个体工商户购买的住宅</t>
    </r>
  </si>
  <si>
    <r>
      <rPr>
        <sz val="10"/>
        <color indexed="8"/>
        <rFont val="Arial"/>
        <charset val="134"/>
      </rPr>
      <t>2.</t>
    </r>
    <r>
      <rPr>
        <sz val="10"/>
        <color indexed="8"/>
        <rFont val="宋体"/>
        <charset val="134"/>
      </rPr>
      <t>单套建筑面积</t>
    </r>
    <r>
      <rPr>
        <sz val="10"/>
        <color indexed="8"/>
        <rFont val="Arial"/>
        <charset val="134"/>
      </rPr>
      <t>140M</t>
    </r>
    <r>
      <rPr>
        <vertAlign val="superscript"/>
        <sz val="10"/>
        <color indexed="8"/>
        <rFont val="Arial"/>
        <charset val="134"/>
      </rPr>
      <t>2</t>
    </r>
    <r>
      <rPr>
        <sz val="10"/>
        <color indexed="8"/>
        <rFont val="Arial"/>
        <charset val="134"/>
      </rPr>
      <t>(</t>
    </r>
    <r>
      <rPr>
        <sz val="10"/>
        <color indexed="8"/>
        <rFont val="宋体"/>
        <charset val="134"/>
      </rPr>
      <t>含</t>
    </r>
    <r>
      <rPr>
        <sz val="10"/>
        <color indexed="8"/>
        <rFont val="Arial"/>
        <charset val="134"/>
      </rPr>
      <t>)</t>
    </r>
    <r>
      <rPr>
        <sz val="10"/>
        <color indexed="8"/>
        <rFont val="宋体"/>
        <charset val="134"/>
      </rPr>
      <t>以下</t>
    </r>
  </si>
  <si>
    <t>序号</t>
  </si>
  <si>
    <t>税（费）种</t>
  </si>
  <si>
    <t>金额（元）</t>
  </si>
  <si>
    <t>计算方法</t>
  </si>
  <si>
    <t>税（费）率</t>
  </si>
  <si>
    <r>
      <rPr>
        <sz val="10"/>
        <color indexed="8"/>
        <rFont val="宋体"/>
        <charset val="134"/>
      </rPr>
      <t>情况</t>
    </r>
    <r>
      <rPr>
        <sz val="10"/>
        <color indexed="8"/>
        <rFont val="Arial"/>
        <charset val="134"/>
      </rPr>
      <t>2</t>
    </r>
    <r>
      <rPr>
        <sz val="10"/>
        <color indexed="8"/>
        <rFont val="宋体"/>
        <charset val="134"/>
      </rPr>
      <t>：</t>
    </r>
  </si>
  <si>
    <r>
      <rPr>
        <sz val="10"/>
        <color indexed="8"/>
        <rFont val="宋体"/>
        <charset val="134"/>
      </rPr>
      <t>个人购买的不足</t>
    </r>
    <r>
      <rPr>
        <sz val="10"/>
        <color indexed="8"/>
        <rFont val="Arial"/>
        <charset val="134"/>
      </rPr>
      <t>2</t>
    </r>
    <r>
      <rPr>
        <sz val="10"/>
        <color indexed="8"/>
        <rFont val="宋体"/>
        <charset val="134"/>
      </rPr>
      <t>年的住宅</t>
    </r>
  </si>
  <si>
    <r>
      <rPr>
        <sz val="10"/>
        <color indexed="8"/>
        <rFont val="宋体"/>
        <charset val="134"/>
      </rPr>
      <t>全额计税</t>
    </r>
  </si>
  <si>
    <t>增值税及附加</t>
  </si>
  <si>
    <r>
      <rPr>
        <sz val="10"/>
        <color indexed="8"/>
        <rFont val="宋体"/>
        <charset val="134"/>
      </rPr>
      <t>情况</t>
    </r>
    <r>
      <rPr>
        <sz val="10"/>
        <color indexed="8"/>
        <rFont val="Arial"/>
        <charset val="134"/>
      </rPr>
      <t>3</t>
    </r>
    <r>
      <rPr>
        <sz val="10"/>
        <color indexed="8"/>
        <rFont val="宋体"/>
        <charset val="134"/>
      </rPr>
      <t>：</t>
    </r>
  </si>
  <si>
    <r>
      <rPr>
        <sz val="10"/>
        <color indexed="8"/>
        <rFont val="宋体"/>
        <charset val="134"/>
      </rPr>
      <t>除情况</t>
    </r>
    <r>
      <rPr>
        <sz val="10"/>
        <color indexed="8"/>
        <rFont val="Arial"/>
        <charset val="134"/>
      </rPr>
      <t>1</t>
    </r>
    <r>
      <rPr>
        <sz val="10"/>
        <color indexed="8"/>
        <rFont val="宋体"/>
        <charset val="134"/>
      </rPr>
      <t>、</t>
    </r>
    <r>
      <rPr>
        <sz val="10"/>
        <color indexed="8"/>
        <rFont val="Arial"/>
        <charset val="134"/>
      </rPr>
      <t>2</t>
    </r>
    <r>
      <rPr>
        <sz val="10"/>
        <color indexed="8"/>
        <rFont val="宋体"/>
        <charset val="134"/>
      </rPr>
      <t>以外的自建房</t>
    </r>
  </si>
  <si>
    <t>印花税</t>
  </si>
  <si>
    <r>
      <rPr>
        <sz val="10"/>
        <color indexed="8"/>
        <rFont val="宋体"/>
        <charset val="134"/>
      </rPr>
      <t>情况</t>
    </r>
    <r>
      <rPr>
        <sz val="10"/>
        <color indexed="8"/>
        <rFont val="Arial"/>
        <charset val="134"/>
      </rPr>
      <t>4</t>
    </r>
    <r>
      <rPr>
        <sz val="10"/>
        <color indexed="8"/>
        <rFont val="宋体"/>
        <charset val="134"/>
      </rPr>
      <t>：</t>
    </r>
  </si>
  <si>
    <r>
      <rPr>
        <sz val="10"/>
        <color indexed="8"/>
        <rFont val="宋体"/>
        <charset val="134"/>
      </rPr>
      <t>除情况</t>
    </r>
    <r>
      <rPr>
        <sz val="10"/>
        <color indexed="8"/>
        <rFont val="Arial"/>
        <charset val="134"/>
      </rPr>
      <t>1</t>
    </r>
    <r>
      <rPr>
        <sz val="10"/>
        <color indexed="8"/>
        <rFont val="宋体"/>
        <charset val="134"/>
      </rPr>
      <t>、</t>
    </r>
    <r>
      <rPr>
        <sz val="10"/>
        <color indexed="8"/>
        <rFont val="Arial"/>
        <charset val="134"/>
      </rPr>
      <t>3</t>
    </r>
    <r>
      <rPr>
        <sz val="10"/>
        <color indexed="8"/>
        <rFont val="宋体"/>
        <charset val="134"/>
      </rPr>
      <t>以外的非自建房</t>
    </r>
  </si>
  <si>
    <r>
      <rPr>
        <sz val="10"/>
        <color indexed="8"/>
        <rFont val="宋体"/>
        <charset val="134"/>
      </rPr>
      <t>差额计税</t>
    </r>
  </si>
  <si>
    <t>土地增值税</t>
  </si>
  <si>
    <r>
      <rPr>
        <sz val="10"/>
        <color indexed="8"/>
        <rFont val="Arial"/>
        <charset val="134"/>
      </rPr>
      <t>2.</t>
    </r>
    <r>
      <rPr>
        <sz val="10"/>
        <color indexed="8"/>
        <rFont val="宋体"/>
        <charset val="134"/>
      </rPr>
      <t>印花税</t>
    </r>
  </si>
  <si>
    <r>
      <rPr>
        <sz val="10"/>
        <color indexed="8"/>
        <rFont val="宋体"/>
        <charset val="134"/>
      </rPr>
      <t>销售额</t>
    </r>
    <r>
      <rPr>
        <sz val="10"/>
        <color indexed="8"/>
        <rFont val="Arial"/>
        <charset val="134"/>
      </rPr>
      <t>×</t>
    </r>
    <r>
      <rPr>
        <sz val="10"/>
        <color indexed="8"/>
        <rFont val="宋体"/>
        <charset val="134"/>
      </rPr>
      <t>税（费）率</t>
    </r>
  </si>
  <si>
    <t>个人住宅</t>
  </si>
  <si>
    <r>
      <rPr>
        <sz val="10"/>
        <color indexed="8"/>
        <rFont val="Arial"/>
        <charset val="134"/>
      </rPr>
      <t>3.</t>
    </r>
    <r>
      <rPr>
        <sz val="10"/>
        <color indexed="8"/>
        <rFont val="宋体"/>
        <charset val="134"/>
      </rPr>
      <t>土地增值税</t>
    </r>
  </si>
  <si>
    <r>
      <rPr>
        <sz val="10"/>
        <color indexed="8"/>
        <rFont val="宋体"/>
        <charset val="134"/>
      </rPr>
      <t>增值额</t>
    </r>
    <r>
      <rPr>
        <sz val="10"/>
        <color indexed="8"/>
        <rFont val="Arial"/>
        <charset val="134"/>
      </rPr>
      <t>×</t>
    </r>
    <r>
      <rPr>
        <sz val="10"/>
        <color indexed="8"/>
        <rFont val="宋体"/>
        <charset val="134"/>
      </rPr>
      <t>税（费）率</t>
    </r>
  </si>
  <si>
    <r>
      <rPr>
        <sz val="10"/>
        <color rgb="FFFF0000"/>
        <rFont val="宋体"/>
        <charset val="134"/>
      </rPr>
      <t>属于免缴时请录入面缴类别</t>
    </r>
  </si>
  <si>
    <r>
      <rPr>
        <sz val="10"/>
        <color indexed="8"/>
        <rFont val="宋体"/>
        <charset val="134"/>
      </rPr>
      <t>个人住宅</t>
    </r>
  </si>
  <si>
    <t>小写</t>
  </si>
  <si>
    <r>
      <rPr>
        <sz val="10"/>
        <color indexed="8"/>
        <rFont val="宋体"/>
        <charset val="134"/>
      </rPr>
      <t>除情况</t>
    </r>
    <r>
      <rPr>
        <sz val="10"/>
        <color indexed="8"/>
        <rFont val="Arial"/>
        <charset val="134"/>
      </rPr>
      <t>1</t>
    </r>
    <r>
      <rPr>
        <sz val="10"/>
        <color indexed="8"/>
        <rFont val="宋体"/>
        <charset val="134"/>
      </rPr>
      <t>以外的其他情形</t>
    </r>
  </si>
  <si>
    <r>
      <rPr>
        <sz val="10"/>
        <color indexed="8"/>
        <rFont val="宋体"/>
        <charset val="134"/>
      </rPr>
      <t>自行开发建设</t>
    </r>
  </si>
  <si>
    <t>大写</t>
  </si>
  <si>
    <r>
      <rPr>
        <sz val="10"/>
        <color indexed="8"/>
        <rFont val="Arial"/>
        <charset val="134"/>
      </rPr>
      <t>4.</t>
    </r>
    <r>
      <rPr>
        <sz val="10"/>
        <color indexed="8"/>
        <rFont val="宋体"/>
        <charset val="134"/>
      </rPr>
      <t>个人所得税</t>
    </r>
  </si>
  <si>
    <t>属于免缴时请录入免缴类别</t>
  </si>
  <si>
    <t>非个人房产</t>
  </si>
  <si>
    <t>北京标准</t>
  </si>
  <si>
    <r>
      <rPr>
        <b/>
        <sz val="10"/>
        <color indexed="8"/>
        <rFont val="宋体"/>
        <charset val="134"/>
      </rPr>
      <t>销售不动产增值税及附加计算</t>
    </r>
  </si>
  <si>
    <t>抵押净值单价</t>
  </si>
  <si>
    <r>
      <rPr>
        <b/>
        <sz val="10"/>
        <rFont val="宋体"/>
        <charset val="134"/>
      </rPr>
      <t>项目</t>
    </r>
  </si>
  <si>
    <r>
      <rPr>
        <b/>
        <sz val="10"/>
        <rFont val="宋体"/>
        <charset val="134"/>
      </rPr>
      <t>系数</t>
    </r>
  </si>
  <si>
    <r>
      <rPr>
        <b/>
        <sz val="10"/>
        <rFont val="宋体"/>
        <charset val="134"/>
      </rPr>
      <t>销售额</t>
    </r>
  </si>
  <si>
    <t>其他处置费用</t>
  </si>
  <si>
    <t>律师费</t>
  </si>
  <si>
    <t>1.1</t>
  </si>
  <si>
    <r>
      <rPr>
        <sz val="10"/>
        <rFont val="宋体"/>
        <charset val="134"/>
      </rPr>
      <t>全部价款</t>
    </r>
  </si>
  <si>
    <t>诉讼费</t>
  </si>
  <si>
    <t>最低50元</t>
  </si>
  <si>
    <t>1.2</t>
  </si>
  <si>
    <r>
      <rPr>
        <sz val="10"/>
        <rFont val="宋体"/>
        <charset val="134"/>
      </rPr>
      <t>价外费用</t>
    </r>
  </si>
  <si>
    <t>执行费</t>
  </si>
  <si>
    <t>2</t>
  </si>
  <si>
    <r>
      <rPr>
        <b/>
        <sz val="10"/>
        <rFont val="宋体"/>
        <charset val="134"/>
      </rPr>
      <t>原购房价</t>
    </r>
    <r>
      <rPr>
        <b/>
        <sz val="10"/>
        <rFont val="Arial"/>
        <charset val="134"/>
      </rPr>
      <t>/</t>
    </r>
    <r>
      <rPr>
        <b/>
        <sz val="10"/>
        <rFont val="宋体"/>
        <charset val="134"/>
      </rPr>
      <t>作价</t>
    </r>
  </si>
  <si>
    <r>
      <rPr>
        <sz val="10"/>
        <color rgb="FFFF0000"/>
        <rFont val="Arial"/>
        <charset val="134"/>
      </rPr>
      <t>2016</t>
    </r>
    <r>
      <rPr>
        <sz val="10"/>
        <color rgb="FFFF0000"/>
        <rFont val="宋体"/>
        <charset val="134"/>
      </rPr>
      <t>年</t>
    </r>
    <r>
      <rPr>
        <sz val="10"/>
        <color rgb="FFFF0000"/>
        <rFont val="Arial"/>
        <charset val="134"/>
      </rPr>
      <t>5</t>
    </r>
    <r>
      <rPr>
        <sz val="10"/>
        <color rgb="FFFF0000"/>
        <rFont val="宋体"/>
        <charset val="134"/>
      </rPr>
      <t>月</t>
    </r>
    <r>
      <rPr>
        <sz val="10"/>
        <color rgb="FFFF0000"/>
        <rFont val="Arial"/>
        <charset val="134"/>
      </rPr>
      <t>1</t>
    </r>
    <r>
      <rPr>
        <sz val="10"/>
        <color rgb="FFFF0000"/>
        <rFont val="宋体"/>
        <charset val="134"/>
      </rPr>
      <t>日后购买的房地产请按原购房价</t>
    </r>
    <r>
      <rPr>
        <sz val="10"/>
        <color rgb="FFFF0000"/>
        <rFont val="Arial"/>
        <charset val="134"/>
      </rPr>
      <t>/1.05</t>
    </r>
    <r>
      <rPr>
        <sz val="10"/>
        <color rgb="FFFF0000"/>
        <rFont val="宋体"/>
        <charset val="134"/>
      </rPr>
      <t>录入</t>
    </r>
  </si>
  <si>
    <t>诉讼保全费</t>
  </si>
  <si>
    <t>最高5000元</t>
  </si>
  <si>
    <t>3</t>
  </si>
  <si>
    <r>
      <rPr>
        <b/>
        <sz val="10"/>
        <rFont val="宋体"/>
        <charset val="134"/>
      </rPr>
      <t>纳税基数</t>
    </r>
  </si>
  <si>
    <t>评估费</t>
  </si>
  <si>
    <t>4</t>
  </si>
  <si>
    <r>
      <rPr>
        <b/>
        <sz val="10"/>
        <rFont val="宋体"/>
        <charset val="134"/>
      </rPr>
      <t>纳税额</t>
    </r>
  </si>
  <si>
    <t>拍卖费</t>
  </si>
  <si>
    <r>
      <rPr>
        <b/>
        <sz val="10"/>
        <rFont val="宋体"/>
        <charset val="134"/>
      </rPr>
      <t>土地增值税（转让取得）</t>
    </r>
  </si>
  <si>
    <r>
      <rPr>
        <b/>
        <sz val="10"/>
        <rFont val="宋体"/>
        <charset val="134"/>
      </rPr>
      <t>转让收入</t>
    </r>
  </si>
  <si>
    <r>
      <rPr>
        <sz val="10"/>
        <color indexed="8"/>
        <rFont val="宋体"/>
        <charset val="134"/>
      </rPr>
      <t>应税收入，不含增值税</t>
    </r>
  </si>
  <si>
    <r>
      <rPr>
        <b/>
        <sz val="10"/>
        <color indexed="8"/>
        <rFont val="宋体"/>
        <charset val="134"/>
      </rPr>
      <t>扣除项合计</t>
    </r>
  </si>
  <si>
    <t>2.1</t>
  </si>
  <si>
    <r>
      <rPr>
        <sz val="10"/>
        <rFont val="宋体"/>
        <charset val="134"/>
      </rPr>
      <t>原购房价及相关税费</t>
    </r>
  </si>
  <si>
    <t>2.1.1</t>
  </si>
  <si>
    <r>
      <rPr>
        <sz val="10"/>
        <rFont val="宋体"/>
        <charset val="134"/>
      </rPr>
      <t>原购房价</t>
    </r>
  </si>
  <si>
    <r>
      <rPr>
        <sz val="11"/>
        <color indexed="8"/>
        <rFont val="宋体"/>
        <charset val="134"/>
      </rPr>
      <t>原购房价依据</t>
    </r>
  </si>
  <si>
    <r>
      <rPr>
        <sz val="11"/>
        <color indexed="8"/>
        <rFont val="宋体"/>
        <charset val="134"/>
      </rPr>
      <t>购房发票</t>
    </r>
  </si>
  <si>
    <r>
      <rPr>
        <sz val="11"/>
        <color indexed="8"/>
        <rFont val="宋体"/>
        <charset val="134"/>
      </rPr>
      <t>已购年限</t>
    </r>
  </si>
  <si>
    <t>2.1.2</t>
  </si>
  <si>
    <r>
      <rPr>
        <sz val="10"/>
        <rFont val="宋体"/>
        <charset val="134"/>
      </rPr>
      <t>加计扣减项</t>
    </r>
  </si>
  <si>
    <r>
      <rPr>
        <sz val="10"/>
        <color indexed="8"/>
        <rFont val="宋体"/>
        <charset val="134"/>
      </rPr>
      <t>有购房发票的可按发票所载金额并</t>
    </r>
    <r>
      <rPr>
        <b/>
        <sz val="10"/>
        <color indexed="8"/>
        <rFont val="宋体"/>
        <charset val="134"/>
      </rPr>
      <t>从购买年度起至转让年度止</t>
    </r>
    <r>
      <rPr>
        <sz val="10"/>
        <color indexed="8"/>
        <rFont val="宋体"/>
        <charset val="134"/>
      </rPr>
      <t>每年加计</t>
    </r>
    <r>
      <rPr>
        <sz val="10"/>
        <color indexed="8"/>
        <rFont val="Arial"/>
        <charset val="134"/>
      </rPr>
      <t>5%</t>
    </r>
    <r>
      <rPr>
        <sz val="10"/>
        <color indexed="8"/>
        <rFont val="宋体"/>
        <charset val="134"/>
      </rPr>
      <t>计算</t>
    </r>
  </si>
  <si>
    <t>2.1.3</t>
  </si>
  <si>
    <r>
      <rPr>
        <sz val="10"/>
        <rFont val="宋体"/>
        <charset val="134"/>
      </rPr>
      <t>相关税费</t>
    </r>
  </si>
  <si>
    <r>
      <rPr>
        <sz val="10"/>
        <color indexed="8"/>
        <rFont val="宋体"/>
        <charset val="134"/>
      </rPr>
      <t>含契税及印花税</t>
    </r>
  </si>
  <si>
    <r>
      <rPr>
        <sz val="10"/>
        <color indexed="8"/>
        <rFont val="Arial"/>
        <charset val="134"/>
      </rPr>
      <t>2016</t>
    </r>
    <r>
      <rPr>
        <sz val="10"/>
        <color indexed="8"/>
        <rFont val="宋体"/>
        <charset val="134"/>
      </rPr>
      <t>年</t>
    </r>
    <r>
      <rPr>
        <sz val="10"/>
        <color indexed="8"/>
        <rFont val="Arial"/>
        <charset val="134"/>
      </rPr>
      <t>5</t>
    </r>
    <r>
      <rPr>
        <sz val="10"/>
        <color indexed="8"/>
        <rFont val="宋体"/>
        <charset val="134"/>
      </rPr>
      <t>月</t>
    </r>
    <r>
      <rPr>
        <sz val="10"/>
        <color indexed="8"/>
        <rFont val="Arial"/>
        <charset val="134"/>
      </rPr>
      <t>1</t>
    </r>
    <r>
      <rPr>
        <sz val="10"/>
        <color indexed="8"/>
        <rFont val="宋体"/>
        <charset val="134"/>
      </rPr>
      <t>日后购买</t>
    </r>
  </si>
  <si>
    <t>2.2</t>
  </si>
  <si>
    <r>
      <rPr>
        <sz val="10"/>
        <rFont val="宋体"/>
        <charset val="134"/>
      </rPr>
      <t>转让税金支出</t>
    </r>
  </si>
  <si>
    <r>
      <rPr>
        <sz val="10"/>
        <color indexed="8"/>
        <rFont val="宋体"/>
        <charset val="134"/>
      </rPr>
      <t>不含增值税，仅附加税</t>
    </r>
  </si>
  <si>
    <r>
      <rPr>
        <b/>
        <sz val="10"/>
        <rFont val="宋体"/>
        <charset val="134"/>
      </rPr>
      <t>增值额</t>
    </r>
  </si>
  <si>
    <r>
      <rPr>
        <b/>
        <sz val="10"/>
        <rFont val="宋体"/>
        <charset val="134"/>
      </rPr>
      <t>增值额与扣除项比率</t>
    </r>
  </si>
  <si>
    <t>5</t>
  </si>
  <si>
    <r>
      <rPr>
        <b/>
        <sz val="10"/>
        <rFont val="宋体"/>
        <charset val="134"/>
      </rPr>
      <t>应纳增值税税额</t>
    </r>
  </si>
  <si>
    <r>
      <rPr>
        <b/>
        <sz val="10"/>
        <rFont val="宋体"/>
        <charset val="134"/>
      </rPr>
      <t>土地增值税（自行开发建设）</t>
    </r>
  </si>
  <si>
    <r>
      <rPr>
        <sz val="10"/>
        <rFont val="宋体"/>
        <charset val="134"/>
      </rPr>
      <t>土地取得成本</t>
    </r>
  </si>
  <si>
    <r>
      <rPr>
        <sz val="10"/>
        <rFont val="宋体"/>
        <charset val="134"/>
      </rPr>
      <t>土地取得费用</t>
    </r>
  </si>
  <si>
    <r>
      <rPr>
        <sz val="10"/>
        <color indexed="8"/>
        <rFont val="宋体"/>
        <charset val="134"/>
      </rPr>
      <t>依据出让合同</t>
    </r>
  </si>
  <si>
    <r>
      <rPr>
        <sz val="9"/>
        <color indexed="8"/>
        <rFont val="宋体"/>
        <charset val="134"/>
      </rPr>
      <t>出让价款内涵：</t>
    </r>
  </si>
  <si>
    <t>★取得土地使用权所支付的金额，是指纳税人为取得土地使用权所支付的地价款和按国家统一规定交纳的有关费用★</t>
  </si>
  <si>
    <r>
      <rPr>
        <sz val="10"/>
        <color indexed="8"/>
        <rFont val="宋体"/>
        <charset val="134"/>
      </rPr>
      <t>契税及印花税</t>
    </r>
  </si>
  <si>
    <r>
      <rPr>
        <sz val="10"/>
        <rFont val="宋体"/>
        <charset val="134"/>
      </rPr>
      <t>土地开发费</t>
    </r>
  </si>
  <si>
    <t>土地征用及拆迁补偿费</t>
  </si>
  <si>
    <t>★土地征用及拆迁补偿费，包括土地征用费、耕地占用税、劳动力安置费及有关地上、地下附着物拆迁补偿的净支出、安置动迁用房支出等★</t>
  </si>
  <si>
    <t>2.3</t>
  </si>
  <si>
    <r>
      <rPr>
        <sz val="10"/>
        <rFont val="宋体"/>
        <charset val="134"/>
      </rPr>
      <t>建造成本</t>
    </r>
  </si>
  <si>
    <r>
      <rPr>
        <sz val="10"/>
        <color indexed="8"/>
        <rFont val="宋体"/>
        <charset val="134"/>
      </rPr>
      <t>包括前期工程费、建筑安装工程费、基础设施费和公共配套费等</t>
    </r>
  </si>
  <si>
    <r>
      <rPr>
        <sz val="10"/>
        <color indexed="8"/>
        <rFont val="宋体"/>
        <charset val="134"/>
      </rPr>
      <t>企业提供（在右侧录入）</t>
    </r>
  </si>
  <si>
    <t>2.4</t>
  </si>
  <si>
    <r>
      <rPr>
        <sz val="10"/>
        <rFont val="宋体"/>
        <charset val="134"/>
      </rPr>
      <t>开发费用扣除</t>
    </r>
  </si>
  <si>
    <r>
      <rPr>
        <sz val="10"/>
        <color indexed="8"/>
        <rFont val="宋体"/>
        <charset val="134"/>
      </rPr>
      <t>凡不能按转让房地产项目计算分摊利息支出或不能提供金融机构证明的，按土地及建筑总投的</t>
    </r>
    <r>
      <rPr>
        <sz val="10"/>
        <color indexed="8"/>
        <rFont val="Arial"/>
        <charset val="134"/>
      </rPr>
      <t>10%</t>
    </r>
    <r>
      <rPr>
        <sz val="10"/>
        <color indexed="8"/>
        <rFont val="宋体"/>
        <charset val="134"/>
      </rPr>
      <t>以内；含销售、管理、财务费用</t>
    </r>
  </si>
  <si>
    <r>
      <rPr>
        <sz val="11"/>
        <color rgb="FFFF0000"/>
        <rFont val="宋体"/>
        <charset val="134"/>
      </rPr>
      <t>★根据项目情况选择计算系数，待开发土地建议取值</t>
    </r>
    <r>
      <rPr>
        <sz val="11"/>
        <color rgb="FFFF0000"/>
        <rFont val="Arial"/>
        <charset val="134"/>
      </rPr>
      <t>0</t>
    </r>
    <r>
      <rPr>
        <sz val="11"/>
        <color rgb="FFFF0000"/>
        <rFont val="宋体"/>
        <charset val="134"/>
      </rPr>
      <t>，在建及已建项目取</t>
    </r>
    <r>
      <rPr>
        <sz val="11"/>
        <color rgb="FFFF0000"/>
        <rFont val="Arial"/>
        <charset val="134"/>
      </rPr>
      <t>10%</t>
    </r>
    <r>
      <rPr>
        <sz val="11"/>
        <color rgb="FFFF0000"/>
        <rFont val="宋体"/>
        <charset val="134"/>
      </rPr>
      <t>★</t>
    </r>
  </si>
  <si>
    <t>2.5</t>
  </si>
  <si>
    <t>2.6</t>
  </si>
  <si>
    <r>
      <rPr>
        <sz val="10"/>
        <rFont val="宋体"/>
        <charset val="134"/>
      </rPr>
      <t>加计扣除金额</t>
    </r>
  </si>
  <si>
    <r>
      <rPr>
        <sz val="10"/>
        <color indexed="8"/>
        <rFont val="宋体"/>
        <charset val="134"/>
      </rPr>
      <t>对专门从事房地产开发的企业可以按</t>
    </r>
    <r>
      <rPr>
        <sz val="10"/>
        <color indexed="8"/>
        <rFont val="Arial"/>
        <charset val="134"/>
      </rPr>
      <t>20</t>
    </r>
    <r>
      <rPr>
        <sz val="10"/>
        <color indexed="8"/>
        <rFont val="宋体"/>
        <charset val="134"/>
      </rPr>
      <t>％计算扣除；如为土地，则仅将土地开发费加计</t>
    </r>
    <r>
      <rPr>
        <sz val="10"/>
        <color indexed="8"/>
        <rFont val="Arial"/>
        <charset val="134"/>
      </rPr>
      <t>20%</t>
    </r>
    <r>
      <rPr>
        <sz val="10"/>
        <color indexed="8"/>
        <rFont val="宋体"/>
        <charset val="134"/>
      </rPr>
      <t>扣减</t>
    </r>
  </si>
  <si>
    <r>
      <rPr>
        <b/>
        <sz val="14"/>
        <color rgb="FFFF0000"/>
        <rFont val="宋体"/>
        <charset val="134"/>
      </rPr>
      <t>估价结果</t>
    </r>
  </si>
  <si>
    <r>
      <rPr>
        <b/>
        <sz val="11"/>
        <color indexed="8"/>
        <rFont val="宋体"/>
        <charset val="134"/>
      </rPr>
      <t>结果表</t>
    </r>
    <r>
      <rPr>
        <b/>
        <sz val="11"/>
        <color indexed="8"/>
        <rFont val="Arial"/>
        <charset val="134"/>
      </rPr>
      <t>-1</t>
    </r>
  </si>
  <si>
    <r>
      <rPr>
        <b/>
        <sz val="12"/>
        <color indexed="8"/>
        <rFont val="宋体"/>
        <charset val="134"/>
      </rPr>
      <t>结果表</t>
    </r>
    <r>
      <rPr>
        <b/>
        <sz val="12"/>
        <color indexed="8"/>
        <rFont val="Arial"/>
        <charset val="134"/>
      </rPr>
      <t>-2</t>
    </r>
    <r>
      <rPr>
        <b/>
        <i/>
        <sz val="12"/>
        <color theme="3" tint="0.399914548173467"/>
        <rFont val="宋体"/>
        <charset val="134"/>
      </rPr>
      <t>抵押专用</t>
    </r>
  </si>
  <si>
    <r>
      <rPr>
        <sz val="12"/>
        <color rgb="FF000000"/>
        <rFont val="Arial"/>
        <charset val="134"/>
      </rPr>
      <t xml:space="preserve">                </t>
    </r>
    <r>
      <rPr>
        <sz val="12"/>
        <color rgb="FF000000"/>
        <rFont val="宋体"/>
        <charset val="134"/>
      </rPr>
      <t>估价方法相关结果</t>
    </r>
  </si>
  <si>
    <r>
      <rPr>
        <b/>
        <sz val="10"/>
        <color indexed="8"/>
        <rFont val="宋体"/>
        <charset val="134"/>
      </rPr>
      <t>抵押物名称</t>
    </r>
  </si>
  <si>
    <r>
      <rPr>
        <b/>
        <sz val="10"/>
        <color indexed="8"/>
        <rFont val="宋体"/>
        <charset val="134"/>
      </rPr>
      <t>建筑面积（平方米）</t>
    </r>
  </si>
  <si>
    <r>
      <rPr>
        <sz val="10"/>
        <color theme="1"/>
        <rFont val="宋体"/>
        <charset val="134"/>
      </rPr>
      <t>测算结果</t>
    </r>
  </si>
  <si>
    <r>
      <rPr>
        <sz val="10"/>
        <color theme="1"/>
        <rFont val="宋体"/>
        <charset val="134"/>
      </rPr>
      <t>单价（元</t>
    </r>
    <r>
      <rPr>
        <sz val="10"/>
        <color theme="1"/>
        <rFont val="Arial"/>
        <charset val="134"/>
      </rPr>
      <t>/</t>
    </r>
    <r>
      <rPr>
        <sz val="10"/>
        <color theme="1"/>
        <rFont val="宋体"/>
        <charset val="134"/>
      </rPr>
      <t>平方米）</t>
    </r>
  </si>
  <si>
    <r>
      <rPr>
        <b/>
        <sz val="10"/>
        <color indexed="8"/>
        <rFont val="Arial"/>
        <charset val="134"/>
      </rPr>
      <t>1.</t>
    </r>
    <r>
      <rPr>
        <b/>
        <sz val="10"/>
        <color indexed="8"/>
        <rFont val="宋体"/>
        <charset val="134"/>
      </rPr>
      <t>房地产价值</t>
    </r>
  </si>
  <si>
    <r>
      <rPr>
        <sz val="10"/>
        <color theme="1"/>
        <rFont val="宋体"/>
        <charset val="134"/>
      </rPr>
      <t>评估价值</t>
    </r>
  </si>
  <si>
    <r>
      <rPr>
        <b/>
        <sz val="11"/>
        <color indexed="8"/>
        <rFont val="宋体"/>
        <charset val="134"/>
      </rPr>
      <t>结果表</t>
    </r>
    <r>
      <rPr>
        <b/>
        <sz val="11"/>
        <color indexed="8"/>
        <rFont val="Arial"/>
        <charset val="134"/>
      </rPr>
      <t>-2</t>
    </r>
    <r>
      <rPr>
        <b/>
        <sz val="11"/>
        <color indexed="8"/>
        <rFont val="宋体"/>
        <charset val="134"/>
      </rPr>
      <t>（土地证版）</t>
    </r>
    <r>
      <rPr>
        <b/>
        <i/>
        <sz val="11"/>
        <color theme="3" tint="0.399914548173467"/>
        <rFont val="宋体"/>
        <charset val="134"/>
      </rPr>
      <t>抵押专用</t>
    </r>
  </si>
  <si>
    <r>
      <rPr>
        <b/>
        <sz val="10"/>
        <color indexed="8"/>
        <rFont val="Arial"/>
        <charset val="134"/>
      </rPr>
      <t>2.</t>
    </r>
    <r>
      <rPr>
        <b/>
        <sz val="10"/>
        <color indexed="8"/>
        <rFont val="宋体"/>
        <charset val="134"/>
      </rPr>
      <t>估价师所知悉的法定优先受偿款</t>
    </r>
  </si>
  <si>
    <r>
      <rPr>
        <sz val="10"/>
        <color indexed="8"/>
        <rFont val="宋体"/>
        <charset val="134"/>
      </rPr>
      <t>（</t>
    </r>
    <r>
      <rPr>
        <sz val="10"/>
        <color indexed="8"/>
        <rFont val="Arial"/>
        <charset val="134"/>
      </rPr>
      <t>1</t>
    </r>
    <r>
      <rPr>
        <sz val="10"/>
        <color indexed="8"/>
        <rFont val="宋体"/>
        <charset val="134"/>
      </rPr>
      <t>）已抵押担保的债权数额</t>
    </r>
  </si>
  <si>
    <r>
      <rPr>
        <sz val="10"/>
        <color indexed="8"/>
        <rFont val="宋体"/>
        <charset val="134"/>
      </rPr>
      <t>（</t>
    </r>
    <r>
      <rPr>
        <sz val="10"/>
        <color indexed="8"/>
        <rFont val="Arial"/>
        <charset val="134"/>
      </rPr>
      <t>2</t>
    </r>
    <r>
      <rPr>
        <sz val="10"/>
        <color indexed="8"/>
        <rFont val="宋体"/>
        <charset val="134"/>
      </rPr>
      <t>）拖欠的建设工程价款</t>
    </r>
  </si>
  <si>
    <r>
      <rPr>
        <sz val="10"/>
        <color indexed="8"/>
        <rFont val="宋体"/>
        <charset val="134"/>
      </rPr>
      <t>（</t>
    </r>
    <r>
      <rPr>
        <sz val="10"/>
        <color indexed="8"/>
        <rFont val="Arial"/>
        <charset val="134"/>
      </rPr>
      <t>3</t>
    </r>
    <r>
      <rPr>
        <sz val="10"/>
        <color indexed="8"/>
        <rFont val="宋体"/>
        <charset val="134"/>
      </rPr>
      <t>）其他法定优先受偿款</t>
    </r>
  </si>
  <si>
    <r>
      <rPr>
        <b/>
        <sz val="11"/>
        <color indexed="8"/>
        <rFont val="宋体"/>
        <charset val="134"/>
      </rPr>
      <t>结果表</t>
    </r>
    <r>
      <rPr>
        <b/>
        <sz val="11"/>
        <color indexed="8"/>
        <rFont val="Arial"/>
        <charset val="134"/>
      </rPr>
      <t>-3</t>
    </r>
    <r>
      <rPr>
        <b/>
        <i/>
        <sz val="11"/>
        <color theme="3" tint="0.399914548173467"/>
        <rFont val="宋体"/>
        <charset val="134"/>
      </rPr>
      <t>分值专用</t>
    </r>
  </si>
  <si>
    <r>
      <rPr>
        <sz val="10"/>
        <color indexed="8"/>
        <rFont val="宋体"/>
        <charset val="134"/>
      </rPr>
      <t>抵押物名称</t>
    </r>
  </si>
  <si>
    <r>
      <rPr>
        <sz val="10"/>
        <color indexed="8"/>
        <rFont val="Arial"/>
        <charset val="134"/>
      </rPr>
      <t>(</t>
    </r>
    <r>
      <rPr>
        <sz val="10"/>
        <color indexed="8"/>
        <rFont val="宋体"/>
        <charset val="134"/>
      </rPr>
      <t>分摊</t>
    </r>
    <r>
      <rPr>
        <sz val="10"/>
        <color indexed="8"/>
        <rFont val="Arial"/>
        <charset val="134"/>
      </rPr>
      <t>)</t>
    </r>
    <r>
      <rPr>
        <sz val="10"/>
        <color indexed="8"/>
        <rFont val="宋体"/>
        <charset val="134"/>
      </rPr>
      <t>土地面积</t>
    </r>
  </si>
  <si>
    <r>
      <rPr>
        <sz val="10"/>
        <color indexed="8"/>
        <rFont val="宋体"/>
        <charset val="134"/>
      </rPr>
      <t>出让国有建设用地使用权价值</t>
    </r>
  </si>
  <si>
    <r>
      <rPr>
        <sz val="10"/>
        <color indexed="8"/>
        <rFont val="宋体"/>
        <charset val="134"/>
      </rPr>
      <t>房地产价值</t>
    </r>
  </si>
  <si>
    <r>
      <rPr>
        <sz val="10"/>
        <color indexed="8"/>
        <rFont val="宋体"/>
        <charset val="134"/>
      </rPr>
      <t>总</t>
    </r>
    <r>
      <rPr>
        <sz val="10"/>
        <color indexed="8"/>
        <rFont val="Arial"/>
        <charset val="134"/>
      </rPr>
      <t xml:space="preserve"> </t>
    </r>
    <r>
      <rPr>
        <sz val="10"/>
        <color indexed="8"/>
        <rFont val="宋体"/>
        <charset val="134"/>
      </rPr>
      <t>价</t>
    </r>
  </si>
  <si>
    <r>
      <rPr>
        <sz val="10"/>
        <color indexed="8"/>
        <rFont val="宋体"/>
        <charset val="134"/>
      </rPr>
      <t>楼面单价</t>
    </r>
  </si>
  <si>
    <r>
      <rPr>
        <sz val="10"/>
        <color indexed="8"/>
        <rFont val="宋体"/>
        <charset val="134"/>
      </rPr>
      <t>大写金额</t>
    </r>
  </si>
  <si>
    <r>
      <rPr>
        <b/>
        <sz val="12"/>
        <color rgb="FFFF0000"/>
        <rFont val="宋体"/>
        <charset val="134"/>
      </rPr>
      <t>测算中的特殊事项处理</t>
    </r>
  </si>
  <si>
    <r>
      <rPr>
        <b/>
        <sz val="16"/>
        <color indexed="8"/>
        <rFont val="宋体"/>
        <charset val="134"/>
      </rPr>
      <t>无</t>
    </r>
  </si>
  <si>
    <r>
      <rPr>
        <b/>
        <sz val="10"/>
        <color indexed="8"/>
        <rFont val="宋体"/>
        <charset val="134"/>
      </rPr>
      <t>测算人员：</t>
    </r>
    <r>
      <rPr>
        <b/>
        <sz val="10"/>
        <color indexed="8"/>
        <rFont val="Arial"/>
        <charset val="134"/>
      </rPr>
      <t xml:space="preserve">      </t>
    </r>
  </si>
  <si>
    <r>
      <rPr>
        <sz val="10"/>
        <color indexed="8"/>
        <rFont val="Arial"/>
        <charset val="134"/>
      </rPr>
      <t xml:space="preserve"> </t>
    </r>
    <r>
      <rPr>
        <sz val="10"/>
        <color indexed="8"/>
        <rFont val="宋体"/>
        <charset val="134"/>
      </rPr>
      <t>日期：</t>
    </r>
    <r>
      <rPr>
        <sz val="10"/>
        <color indexed="8"/>
        <rFont val="Arial"/>
        <charset val="134"/>
      </rPr>
      <t xml:space="preserve">  </t>
    </r>
    <r>
      <rPr>
        <sz val="10"/>
        <color indexed="8"/>
        <rFont val="宋体"/>
        <charset val="134"/>
      </rPr>
      <t>年</t>
    </r>
    <r>
      <rPr>
        <sz val="10"/>
        <color indexed="8"/>
        <rFont val="Arial"/>
        <charset val="134"/>
      </rPr>
      <t xml:space="preserve">  </t>
    </r>
    <r>
      <rPr>
        <sz val="10"/>
        <color indexed="8"/>
        <rFont val="宋体"/>
        <charset val="134"/>
      </rPr>
      <t>月</t>
    </r>
    <r>
      <rPr>
        <sz val="10"/>
        <color indexed="8"/>
        <rFont val="Arial"/>
        <charset val="134"/>
      </rPr>
      <t xml:space="preserve">  </t>
    </r>
    <r>
      <rPr>
        <sz val="10"/>
        <color indexed="8"/>
        <rFont val="宋体"/>
        <charset val="134"/>
      </rPr>
      <t>日</t>
    </r>
  </si>
  <si>
    <r>
      <rPr>
        <b/>
        <sz val="10"/>
        <color indexed="8"/>
        <rFont val="宋体"/>
        <charset val="134"/>
      </rPr>
      <t>初审意见：</t>
    </r>
    <r>
      <rPr>
        <b/>
        <sz val="10"/>
        <color indexed="8"/>
        <rFont val="Arial"/>
        <charset val="134"/>
      </rPr>
      <t xml:space="preserve">      </t>
    </r>
  </si>
  <si>
    <r>
      <rPr>
        <sz val="10"/>
        <color indexed="8"/>
        <rFont val="宋体"/>
        <charset val="134"/>
      </rPr>
      <t>签字：</t>
    </r>
    <r>
      <rPr>
        <sz val="10"/>
        <color indexed="8"/>
        <rFont val="Arial"/>
        <charset val="134"/>
      </rPr>
      <t xml:space="preserve">                    </t>
    </r>
    <r>
      <rPr>
        <sz val="10"/>
        <color indexed="8"/>
        <rFont val="宋体"/>
        <charset val="134"/>
      </rPr>
      <t>日期：</t>
    </r>
    <r>
      <rPr>
        <sz val="10"/>
        <color indexed="8"/>
        <rFont val="Arial"/>
        <charset val="134"/>
      </rPr>
      <t xml:space="preserve">  </t>
    </r>
    <r>
      <rPr>
        <sz val="10"/>
        <color indexed="8"/>
        <rFont val="宋体"/>
        <charset val="134"/>
      </rPr>
      <t>年</t>
    </r>
    <r>
      <rPr>
        <sz val="10"/>
        <color indexed="8"/>
        <rFont val="Arial"/>
        <charset val="134"/>
      </rPr>
      <t xml:space="preserve">  </t>
    </r>
    <r>
      <rPr>
        <sz val="10"/>
        <color indexed="8"/>
        <rFont val="宋体"/>
        <charset val="134"/>
      </rPr>
      <t>月</t>
    </r>
    <r>
      <rPr>
        <sz val="10"/>
        <color indexed="8"/>
        <rFont val="Arial"/>
        <charset val="134"/>
      </rPr>
      <t xml:space="preserve">  </t>
    </r>
    <r>
      <rPr>
        <sz val="10"/>
        <color indexed="8"/>
        <rFont val="宋体"/>
        <charset val="134"/>
      </rPr>
      <t>日</t>
    </r>
  </si>
  <si>
    <r>
      <rPr>
        <b/>
        <sz val="10"/>
        <color indexed="8"/>
        <rFont val="宋体"/>
        <charset val="134"/>
      </rPr>
      <t>终审意见：</t>
    </r>
    <r>
      <rPr>
        <b/>
        <sz val="10"/>
        <color indexed="8"/>
        <rFont val="Arial"/>
        <charset val="134"/>
      </rPr>
      <t xml:space="preserve">      </t>
    </r>
  </si>
  <si>
    <r>
      <rPr>
        <b/>
        <u/>
        <sz val="11"/>
        <color rgb="FFFF0000"/>
        <rFont val="宋体"/>
        <charset val="134"/>
      </rPr>
      <t>典型户型权重结果</t>
    </r>
  </si>
  <si>
    <t>比较法-住宅</t>
  </si>
  <si>
    <t>收益法</t>
  </si>
  <si>
    <r>
      <rPr>
        <sz val="11"/>
        <color indexed="8"/>
        <rFont val="宋体"/>
        <charset val="134"/>
      </rPr>
      <t>标准价</t>
    </r>
  </si>
  <si>
    <r>
      <rPr>
        <b/>
        <u/>
        <sz val="11"/>
        <color rgb="FFFF0000"/>
        <rFont val="宋体"/>
        <charset val="134"/>
      </rPr>
      <t>估价对象总值</t>
    </r>
  </si>
  <si>
    <r>
      <rPr>
        <b/>
        <sz val="11"/>
        <color indexed="8"/>
        <rFont val="宋体"/>
        <charset val="134"/>
      </rPr>
      <t>基准户型楼面单价</t>
    </r>
  </si>
  <si>
    <r>
      <rPr>
        <b/>
        <sz val="11"/>
        <color indexed="8"/>
        <rFont val="宋体"/>
        <charset val="134"/>
      </rPr>
      <t>房地产总值</t>
    </r>
  </si>
  <si>
    <r>
      <rPr>
        <b/>
        <sz val="11"/>
        <color indexed="8"/>
        <rFont val="宋体"/>
        <charset val="134"/>
      </rPr>
      <t>总价</t>
    </r>
  </si>
  <si>
    <r>
      <rPr>
        <b/>
        <sz val="11"/>
        <color indexed="8"/>
        <rFont val="宋体"/>
        <charset val="134"/>
      </rPr>
      <t>平均楼面单价</t>
    </r>
  </si>
  <si>
    <r>
      <rPr>
        <b/>
        <sz val="10"/>
        <color theme="1"/>
        <rFont val="宋体"/>
        <charset val="134"/>
      </rPr>
      <t>估价对象基本情况</t>
    </r>
  </si>
  <si>
    <r>
      <rPr>
        <b/>
        <sz val="10"/>
        <color theme="1"/>
        <rFont val="宋体"/>
        <charset val="134"/>
      </rPr>
      <t>估价对象</t>
    </r>
  </si>
  <si>
    <r>
      <rPr>
        <b/>
        <sz val="10"/>
        <color theme="1"/>
        <rFont val="宋体"/>
        <charset val="134"/>
      </rPr>
      <t>价值时点</t>
    </r>
  </si>
  <si>
    <r>
      <rPr>
        <b/>
        <sz val="10"/>
        <color theme="1"/>
        <rFont val="宋体"/>
        <charset val="134"/>
      </rPr>
      <t>评估总值</t>
    </r>
  </si>
  <si>
    <t>普宅标准：</t>
  </si>
  <si>
    <r>
      <rPr>
        <b/>
        <sz val="10"/>
        <color theme="1"/>
        <rFont val="宋体"/>
        <charset val="134"/>
      </rPr>
      <t>处置时需缴纳的相关税费</t>
    </r>
  </si>
  <si>
    <r>
      <rPr>
        <b/>
        <sz val="10"/>
        <color theme="1"/>
        <rFont val="宋体"/>
        <charset val="134"/>
      </rPr>
      <t>序号</t>
    </r>
  </si>
  <si>
    <r>
      <rPr>
        <b/>
        <sz val="10"/>
        <color theme="1"/>
        <rFont val="宋体"/>
        <charset val="134"/>
      </rPr>
      <t>税（费）种</t>
    </r>
  </si>
  <si>
    <r>
      <rPr>
        <b/>
        <sz val="10"/>
        <color theme="1"/>
        <rFont val="宋体"/>
        <charset val="134"/>
      </rPr>
      <t>金额（元）</t>
    </r>
  </si>
  <si>
    <r>
      <rPr>
        <b/>
        <sz val="10"/>
        <color theme="1"/>
        <rFont val="宋体"/>
        <charset val="134"/>
      </rPr>
      <t>计算方法</t>
    </r>
  </si>
  <si>
    <r>
      <rPr>
        <b/>
        <sz val="10"/>
        <color theme="1"/>
        <rFont val="宋体"/>
        <charset val="134"/>
      </rPr>
      <t>税（费）率</t>
    </r>
  </si>
  <si>
    <r>
      <rPr>
        <sz val="10"/>
        <color theme="1"/>
        <rFont val="宋体"/>
        <charset val="134"/>
      </rPr>
      <t>增值税及附加</t>
    </r>
  </si>
  <si>
    <r>
      <rPr>
        <sz val="10"/>
        <color theme="1"/>
        <rFont val="宋体"/>
        <charset val="134"/>
      </rPr>
      <t>印花税</t>
    </r>
  </si>
  <si>
    <r>
      <rPr>
        <sz val="10"/>
        <color theme="1"/>
        <rFont val="宋体"/>
        <charset val="134"/>
      </rPr>
      <t>土地增值税</t>
    </r>
  </si>
  <si>
    <r>
      <rPr>
        <sz val="10"/>
        <color indexed="8"/>
        <rFont val="宋体"/>
        <charset val="134"/>
      </rPr>
      <t>正常</t>
    </r>
  </si>
  <si>
    <r>
      <rPr>
        <sz val="10"/>
        <color theme="1"/>
        <rFont val="宋体"/>
        <charset val="134"/>
      </rPr>
      <t>合计</t>
    </r>
  </si>
  <si>
    <r>
      <rPr>
        <sz val="10"/>
        <color theme="1"/>
        <rFont val="宋体"/>
        <charset val="134"/>
      </rPr>
      <t>小写</t>
    </r>
  </si>
  <si>
    <r>
      <rPr>
        <sz val="10"/>
        <color theme="1"/>
        <rFont val="宋体"/>
        <charset val="134"/>
      </rPr>
      <t>大写</t>
    </r>
  </si>
  <si>
    <t>个人其他（无凭证）</t>
  </si>
  <si>
    <r>
      <rPr>
        <sz val="10"/>
        <color theme="1"/>
        <rFont val="宋体"/>
        <charset val="134"/>
      </rPr>
      <t>抵押净值</t>
    </r>
  </si>
  <si>
    <r>
      <rPr>
        <sz val="10"/>
        <color theme="1"/>
        <rFont val="宋体"/>
        <charset val="134"/>
      </rPr>
      <t>抵押净值单价</t>
    </r>
  </si>
  <si>
    <r>
      <rPr>
        <sz val="10"/>
        <color rgb="FF000000"/>
        <rFont val="宋体"/>
        <charset val="134"/>
      </rPr>
      <t>其他处置费用</t>
    </r>
  </si>
  <si>
    <r>
      <rPr>
        <sz val="10"/>
        <color rgb="FF000000"/>
        <rFont val="宋体"/>
        <charset val="134"/>
      </rPr>
      <t>律师费</t>
    </r>
  </si>
  <si>
    <r>
      <rPr>
        <sz val="10"/>
        <color rgb="FF000000"/>
        <rFont val="宋体"/>
        <charset val="134"/>
      </rPr>
      <t>诉讼费</t>
    </r>
  </si>
  <si>
    <r>
      <rPr>
        <sz val="10"/>
        <color indexed="8"/>
        <rFont val="宋体"/>
        <charset val="134"/>
      </rPr>
      <t>最低</t>
    </r>
    <r>
      <rPr>
        <sz val="10"/>
        <color indexed="8"/>
        <rFont val="Arial"/>
        <charset val="134"/>
      </rPr>
      <t>50</t>
    </r>
    <r>
      <rPr>
        <sz val="10"/>
        <color indexed="8"/>
        <rFont val="宋体"/>
        <charset val="134"/>
      </rPr>
      <t>元</t>
    </r>
  </si>
  <si>
    <r>
      <rPr>
        <sz val="10"/>
        <color rgb="FF000000"/>
        <rFont val="宋体"/>
        <charset val="134"/>
      </rPr>
      <t>执行费</t>
    </r>
  </si>
  <si>
    <r>
      <rPr>
        <sz val="10"/>
        <color rgb="FF000000"/>
        <rFont val="宋体"/>
        <charset val="134"/>
      </rPr>
      <t>诉讼保全费</t>
    </r>
  </si>
  <si>
    <r>
      <rPr>
        <sz val="10"/>
        <color indexed="8"/>
        <rFont val="宋体"/>
        <charset val="134"/>
      </rPr>
      <t>最高</t>
    </r>
    <r>
      <rPr>
        <sz val="10"/>
        <color indexed="8"/>
        <rFont val="Arial"/>
        <charset val="134"/>
      </rPr>
      <t>5000</t>
    </r>
    <r>
      <rPr>
        <sz val="10"/>
        <color indexed="8"/>
        <rFont val="宋体"/>
        <charset val="134"/>
      </rPr>
      <t>元</t>
    </r>
  </si>
  <si>
    <r>
      <rPr>
        <sz val="10"/>
        <color rgb="FF000000"/>
        <rFont val="宋体"/>
        <charset val="134"/>
      </rPr>
      <t>评估费</t>
    </r>
  </si>
  <si>
    <r>
      <rPr>
        <sz val="10"/>
        <color rgb="FF000000"/>
        <rFont val="宋体"/>
        <charset val="134"/>
      </rPr>
      <t>拍卖费</t>
    </r>
  </si>
  <si>
    <r>
      <rPr>
        <sz val="10"/>
        <color rgb="FF000000"/>
        <rFont val="宋体"/>
        <charset val="134"/>
      </rPr>
      <t>小计</t>
    </r>
  </si>
  <si>
    <r>
      <rPr>
        <b/>
        <sz val="11"/>
        <color indexed="8"/>
        <rFont val="宋体"/>
        <charset val="134"/>
      </rPr>
      <t>结果表</t>
    </r>
    <r>
      <rPr>
        <b/>
        <sz val="11"/>
        <color indexed="8"/>
        <rFont val="Arial"/>
        <charset val="134"/>
      </rPr>
      <t>-2</t>
    </r>
    <r>
      <rPr>
        <b/>
        <i/>
        <sz val="11"/>
        <color theme="3" tint="0.399914548173467"/>
        <rFont val="宋体"/>
        <charset val="134"/>
      </rPr>
      <t>抵押专用</t>
    </r>
  </si>
  <si>
    <r>
      <rPr>
        <sz val="10"/>
        <color theme="1"/>
        <rFont val="宋体"/>
        <charset val="134"/>
      </rPr>
      <t>测算结果（典型户型）</t>
    </r>
  </si>
  <si>
    <r>
      <rPr>
        <sz val="10"/>
        <color theme="1"/>
        <rFont val="宋体"/>
        <charset val="134"/>
      </rPr>
      <t>评估价值（典型户型）</t>
    </r>
  </si>
  <si>
    <r>
      <rPr>
        <sz val="10"/>
        <color theme="1"/>
        <rFont val="宋体"/>
        <charset val="134"/>
      </rPr>
      <t>评估总值</t>
    </r>
  </si>
  <si>
    <r>
      <rPr>
        <b/>
        <sz val="10"/>
        <color indexed="8"/>
        <rFont val="Arial"/>
        <charset val="134"/>
      </rPr>
      <t>1</t>
    </r>
    <r>
      <rPr>
        <b/>
        <sz val="10"/>
        <color indexed="8"/>
        <rFont val="宋体"/>
        <charset val="134"/>
      </rPr>
      <t>房地产价值</t>
    </r>
  </si>
  <si>
    <r>
      <rPr>
        <b/>
        <sz val="16"/>
        <color indexed="10"/>
        <rFont val="宋体"/>
        <charset val="134"/>
      </rPr>
      <t>成本法</t>
    </r>
  </si>
  <si>
    <r>
      <rPr>
        <b/>
        <sz val="12"/>
        <rFont val="宋体"/>
        <charset val="134"/>
      </rPr>
      <t>总价</t>
    </r>
  </si>
  <si>
    <r>
      <rPr>
        <b/>
        <sz val="12"/>
        <rFont val="宋体"/>
        <charset val="134"/>
      </rPr>
      <t>楼面单价</t>
    </r>
  </si>
  <si>
    <r>
      <rPr>
        <b/>
        <sz val="12"/>
        <rFont val="宋体"/>
        <charset val="134"/>
      </rPr>
      <t>元</t>
    </r>
    <r>
      <rPr>
        <b/>
        <sz val="12"/>
        <rFont val="Arial"/>
        <charset val="134"/>
      </rPr>
      <t>/</t>
    </r>
    <r>
      <rPr>
        <b/>
        <sz val="12"/>
        <rFont val="宋体"/>
        <charset val="134"/>
      </rPr>
      <t>平方米</t>
    </r>
  </si>
  <si>
    <r>
      <rPr>
        <b/>
        <sz val="12"/>
        <rFont val="Arial"/>
        <charset val="134"/>
      </rPr>
      <t>1.</t>
    </r>
    <r>
      <rPr>
        <b/>
        <sz val="12"/>
        <rFont val="宋体"/>
        <charset val="134"/>
      </rPr>
      <t>土地价值</t>
    </r>
  </si>
  <si>
    <r>
      <rPr>
        <b/>
        <sz val="10"/>
        <rFont val="宋体"/>
        <charset val="134"/>
      </rPr>
      <t>（</t>
    </r>
    <r>
      <rPr>
        <b/>
        <sz val="10"/>
        <rFont val="Arial"/>
        <charset val="134"/>
      </rPr>
      <t>1</t>
    </r>
    <r>
      <rPr>
        <b/>
        <sz val="10"/>
        <rFont val="宋体"/>
        <charset val="134"/>
      </rPr>
      <t>）</t>
    </r>
  </si>
  <si>
    <r>
      <rPr>
        <b/>
        <sz val="10"/>
        <rFont val="宋体"/>
        <charset val="134"/>
      </rPr>
      <t>土地取得成本</t>
    </r>
  </si>
  <si>
    <r>
      <rPr>
        <b/>
        <sz val="10"/>
        <rFont val="宋体"/>
        <charset val="134"/>
      </rPr>
      <t>面积</t>
    </r>
  </si>
  <si>
    <r>
      <rPr>
        <b/>
        <sz val="10"/>
        <rFont val="宋体"/>
        <charset val="134"/>
      </rPr>
      <t>单价</t>
    </r>
  </si>
  <si>
    <r>
      <rPr>
        <sz val="10"/>
        <rFont val="Arial"/>
        <charset val="134"/>
      </rPr>
      <t>1</t>
    </r>
    <r>
      <rPr>
        <sz val="10"/>
        <rFont val="宋体"/>
        <charset val="134"/>
      </rPr>
      <t>）</t>
    </r>
  </si>
  <si>
    <r>
      <rPr>
        <sz val="10"/>
        <rFont val="宋体"/>
        <charset val="134"/>
      </rPr>
      <t>土地购买价格</t>
    </r>
  </si>
  <si>
    <r>
      <rPr>
        <sz val="10"/>
        <rFont val="Arial"/>
        <charset val="134"/>
      </rPr>
      <t>2</t>
    </r>
    <r>
      <rPr>
        <sz val="10"/>
        <rFont val="宋体"/>
        <charset val="134"/>
      </rPr>
      <t>）</t>
    </r>
  </si>
  <si>
    <r>
      <rPr>
        <sz val="10"/>
        <rFont val="宋体"/>
        <charset val="134"/>
      </rPr>
      <t>土地取得税费</t>
    </r>
  </si>
  <si>
    <r>
      <rPr>
        <sz val="10"/>
        <rFont val="Arial"/>
        <charset val="134"/>
      </rPr>
      <t>3</t>
    </r>
    <r>
      <rPr>
        <sz val="10"/>
        <rFont val="宋体"/>
        <charset val="134"/>
      </rPr>
      <t>）</t>
    </r>
  </si>
  <si>
    <r>
      <rPr>
        <sz val="10"/>
        <rFont val="宋体"/>
        <charset val="134"/>
      </rPr>
      <t>城市基础设施建设费（行政收费）</t>
    </r>
  </si>
  <si>
    <t>A.</t>
  </si>
  <si>
    <r>
      <rPr>
        <i/>
        <sz val="10"/>
        <rFont val="宋体"/>
        <charset val="134"/>
      </rPr>
      <t>住宅</t>
    </r>
  </si>
  <si>
    <t>B.</t>
  </si>
  <si>
    <r>
      <rPr>
        <i/>
        <sz val="10"/>
        <rFont val="宋体"/>
        <charset val="134"/>
      </rPr>
      <t>非住宅</t>
    </r>
  </si>
  <si>
    <t>1-2.1</t>
  </si>
  <si>
    <r>
      <rPr>
        <sz val="10"/>
        <rFont val="宋体"/>
        <charset val="134"/>
      </rPr>
      <t>土地使用权出让金</t>
    </r>
  </si>
  <si>
    <t>1-2.2</t>
  </si>
  <si>
    <t>1-2.3</t>
  </si>
  <si>
    <r>
      <rPr>
        <sz val="10"/>
        <rFont val="宋体"/>
        <charset val="134"/>
      </rPr>
      <t>征地补偿安置费及其相关税费</t>
    </r>
  </si>
  <si>
    <t>1-2.4</t>
  </si>
  <si>
    <r>
      <rPr>
        <sz val="10"/>
        <rFont val="宋体"/>
        <charset val="134"/>
      </rPr>
      <t>以建筑面积为计算基数，按各区发文标准</t>
    </r>
  </si>
  <si>
    <t>1-3.1</t>
  </si>
  <si>
    <r>
      <rPr>
        <sz val="10"/>
        <rFont val="宋体"/>
        <charset val="134"/>
      </rPr>
      <t>出让金</t>
    </r>
  </si>
  <si>
    <r>
      <rPr>
        <sz val="10"/>
        <rFont val="宋体"/>
        <charset val="134"/>
      </rPr>
      <t>采用比较法求取</t>
    </r>
  </si>
  <si>
    <t>1-3.2</t>
  </si>
  <si>
    <t>1-3.3</t>
  </si>
  <si>
    <r>
      <rPr>
        <sz val="10"/>
        <rFont val="宋体"/>
        <charset val="134"/>
      </rPr>
      <t>开发补偿费用</t>
    </r>
  </si>
  <si>
    <t>1-3.4</t>
  </si>
  <si>
    <r>
      <rPr>
        <sz val="10"/>
        <rFont val="宋体"/>
        <charset val="134"/>
      </rPr>
      <t>契税及印花税</t>
    </r>
  </si>
  <si>
    <r>
      <rPr>
        <sz val="10"/>
        <rFont val="宋体"/>
        <charset val="134"/>
      </rPr>
      <t>以上述三项为基数计算</t>
    </r>
  </si>
  <si>
    <r>
      <rPr>
        <b/>
        <sz val="10"/>
        <rFont val="宋体"/>
        <charset val="134"/>
      </rPr>
      <t>（</t>
    </r>
    <r>
      <rPr>
        <b/>
        <sz val="10"/>
        <rFont val="Arial"/>
        <charset val="134"/>
      </rPr>
      <t>2</t>
    </r>
    <r>
      <rPr>
        <b/>
        <sz val="10"/>
        <rFont val="宋体"/>
        <charset val="134"/>
      </rPr>
      <t>）</t>
    </r>
  </si>
  <si>
    <r>
      <rPr>
        <b/>
        <sz val="10"/>
        <rFont val="宋体"/>
        <charset val="134"/>
      </rPr>
      <t>土地开发费用</t>
    </r>
    <r>
      <rPr>
        <b/>
        <sz val="10"/>
        <rFont val="Arial"/>
        <charset val="134"/>
      </rPr>
      <t>-</t>
    </r>
    <r>
      <rPr>
        <b/>
        <sz val="10"/>
        <rFont val="宋体"/>
        <charset val="134"/>
      </rPr>
      <t>红线外</t>
    </r>
  </si>
  <si>
    <r>
      <rPr>
        <b/>
        <sz val="10"/>
        <rFont val="宋体"/>
        <charset val="134"/>
      </rPr>
      <t>（</t>
    </r>
    <r>
      <rPr>
        <b/>
        <sz val="10"/>
        <rFont val="Arial"/>
        <charset val="134"/>
      </rPr>
      <t>3</t>
    </r>
    <r>
      <rPr>
        <b/>
        <sz val="10"/>
        <rFont val="宋体"/>
        <charset val="134"/>
      </rPr>
      <t>）</t>
    </r>
  </si>
  <si>
    <r>
      <rPr>
        <b/>
        <sz val="10"/>
        <rFont val="宋体"/>
        <charset val="134"/>
      </rPr>
      <t>管理费用</t>
    </r>
  </si>
  <si>
    <r>
      <rPr>
        <b/>
        <sz val="10"/>
        <rFont val="宋体"/>
        <charset val="134"/>
      </rPr>
      <t>以（</t>
    </r>
    <r>
      <rPr>
        <b/>
        <sz val="10"/>
        <rFont val="Arial"/>
        <charset val="134"/>
      </rPr>
      <t>1</t>
    </r>
    <r>
      <rPr>
        <b/>
        <sz val="10"/>
        <rFont val="宋体"/>
        <charset val="134"/>
      </rPr>
      <t>）、（</t>
    </r>
    <r>
      <rPr>
        <b/>
        <sz val="10"/>
        <rFont val="Arial"/>
        <charset val="134"/>
      </rPr>
      <t>2</t>
    </r>
    <r>
      <rPr>
        <b/>
        <sz val="10"/>
        <rFont val="宋体"/>
        <charset val="134"/>
      </rPr>
      <t>）项为基数</t>
    </r>
  </si>
  <si>
    <r>
      <rPr>
        <b/>
        <sz val="10"/>
        <rFont val="宋体"/>
        <charset val="134"/>
      </rPr>
      <t>（</t>
    </r>
    <r>
      <rPr>
        <b/>
        <sz val="10"/>
        <rFont val="Arial"/>
        <charset val="134"/>
      </rPr>
      <t>4</t>
    </r>
    <r>
      <rPr>
        <b/>
        <sz val="10"/>
        <rFont val="宋体"/>
        <charset val="134"/>
      </rPr>
      <t>）</t>
    </r>
  </si>
  <si>
    <r>
      <rPr>
        <b/>
        <sz val="10"/>
        <rFont val="宋体"/>
        <charset val="134"/>
      </rPr>
      <t>销售费用</t>
    </r>
  </si>
  <si>
    <r>
      <rPr>
        <b/>
        <sz val="10"/>
        <rFont val="Arial"/>
        <charset val="134"/>
      </rPr>
      <t>V</t>
    </r>
    <r>
      <rPr>
        <b/>
        <vertAlign val="subscript"/>
        <sz val="10"/>
        <rFont val="宋体"/>
        <charset val="134"/>
      </rPr>
      <t>土</t>
    </r>
  </si>
  <si>
    <r>
      <rPr>
        <b/>
        <sz val="10"/>
        <rFont val="宋体"/>
        <charset val="134"/>
      </rPr>
      <t>以土地价值为基数</t>
    </r>
  </si>
  <si>
    <r>
      <rPr>
        <b/>
        <sz val="10"/>
        <rFont val="宋体"/>
        <charset val="134"/>
      </rPr>
      <t>（</t>
    </r>
    <r>
      <rPr>
        <b/>
        <sz val="10"/>
        <rFont val="Arial"/>
        <charset val="134"/>
      </rPr>
      <t>5</t>
    </r>
    <r>
      <rPr>
        <b/>
        <sz val="10"/>
        <rFont val="宋体"/>
        <charset val="134"/>
      </rPr>
      <t>）</t>
    </r>
  </si>
  <si>
    <r>
      <rPr>
        <b/>
        <sz val="10"/>
        <rFont val="宋体"/>
        <charset val="134"/>
      </rPr>
      <t>贷款利息</t>
    </r>
  </si>
  <si>
    <r>
      <rPr>
        <sz val="10"/>
        <rFont val="宋体"/>
        <charset val="134"/>
      </rPr>
      <t>（</t>
    </r>
    <r>
      <rPr>
        <sz val="10"/>
        <rFont val="Arial"/>
        <charset val="134"/>
      </rPr>
      <t>1</t>
    </r>
    <r>
      <rPr>
        <sz val="10"/>
        <rFont val="宋体"/>
        <charset val="134"/>
      </rPr>
      <t>）项产生的利息</t>
    </r>
  </si>
  <si>
    <r>
      <rPr>
        <sz val="10"/>
        <rFont val="宋体"/>
        <charset val="134"/>
      </rPr>
      <t>计项目已运行全期</t>
    </r>
  </si>
  <si>
    <r>
      <rPr>
        <sz val="10"/>
        <rFont val="宋体"/>
        <charset val="134"/>
      </rPr>
      <t>（</t>
    </r>
    <r>
      <rPr>
        <sz val="10"/>
        <rFont val="Arial"/>
        <charset val="134"/>
      </rPr>
      <t>2</t>
    </r>
    <r>
      <rPr>
        <sz val="10"/>
        <rFont val="宋体"/>
        <charset val="134"/>
      </rPr>
      <t>）项产生的利息</t>
    </r>
  </si>
  <si>
    <r>
      <rPr>
        <sz val="10"/>
        <rFont val="宋体"/>
        <charset val="134"/>
      </rPr>
      <t>土地开发期均匀投入、已建工期计全期</t>
    </r>
  </si>
  <si>
    <r>
      <rPr>
        <sz val="10"/>
        <rFont val="宋体"/>
        <charset val="134"/>
      </rPr>
      <t>（</t>
    </r>
    <r>
      <rPr>
        <sz val="10"/>
        <rFont val="Arial"/>
        <charset val="134"/>
      </rPr>
      <t>3</t>
    </r>
    <r>
      <rPr>
        <sz val="10"/>
        <rFont val="宋体"/>
        <charset val="134"/>
      </rPr>
      <t>）项产生的利息</t>
    </r>
  </si>
  <si>
    <r>
      <rPr>
        <sz val="10"/>
        <rFont val="宋体"/>
        <charset val="134"/>
      </rPr>
      <t>管理费用及销售费用于项目已运行期内均匀投入</t>
    </r>
  </si>
  <si>
    <r>
      <rPr>
        <sz val="10"/>
        <rFont val="Arial"/>
        <charset val="134"/>
      </rPr>
      <t>4</t>
    </r>
    <r>
      <rPr>
        <sz val="10"/>
        <rFont val="宋体"/>
        <charset val="134"/>
      </rPr>
      <t>）</t>
    </r>
  </si>
  <si>
    <r>
      <rPr>
        <sz val="10"/>
        <rFont val="宋体"/>
        <charset val="134"/>
      </rPr>
      <t>（</t>
    </r>
    <r>
      <rPr>
        <sz val="10"/>
        <rFont val="Arial"/>
        <charset val="134"/>
      </rPr>
      <t>4</t>
    </r>
    <r>
      <rPr>
        <sz val="10"/>
        <rFont val="宋体"/>
        <charset val="134"/>
      </rPr>
      <t>）项产生的利息</t>
    </r>
  </si>
  <si>
    <r>
      <rPr>
        <b/>
        <sz val="10"/>
        <rFont val="宋体"/>
        <charset val="134"/>
      </rPr>
      <t>（</t>
    </r>
    <r>
      <rPr>
        <b/>
        <sz val="10"/>
        <rFont val="Arial"/>
        <charset val="134"/>
      </rPr>
      <t>6</t>
    </r>
    <r>
      <rPr>
        <b/>
        <sz val="10"/>
        <rFont val="宋体"/>
        <charset val="134"/>
      </rPr>
      <t>）</t>
    </r>
  </si>
  <si>
    <r>
      <rPr>
        <b/>
        <sz val="10"/>
        <rFont val="宋体"/>
        <charset val="134"/>
      </rPr>
      <t>利润</t>
    </r>
  </si>
  <si>
    <r>
      <rPr>
        <b/>
        <sz val="10"/>
        <rFont val="宋体"/>
        <charset val="134"/>
      </rPr>
      <t>前述（</t>
    </r>
    <r>
      <rPr>
        <b/>
        <sz val="10"/>
        <rFont val="Arial"/>
        <charset val="134"/>
      </rPr>
      <t>1</t>
    </r>
    <r>
      <rPr>
        <b/>
        <sz val="10"/>
        <rFont val="宋体"/>
        <charset val="134"/>
      </rPr>
      <t>）</t>
    </r>
    <r>
      <rPr>
        <b/>
        <sz val="10"/>
        <rFont val="Arial"/>
        <charset val="134"/>
      </rPr>
      <t>-</t>
    </r>
    <r>
      <rPr>
        <b/>
        <sz val="10"/>
        <rFont val="宋体"/>
        <charset val="134"/>
      </rPr>
      <t>（</t>
    </r>
    <r>
      <rPr>
        <b/>
        <sz val="10"/>
        <rFont val="Arial"/>
        <charset val="134"/>
      </rPr>
      <t>4</t>
    </r>
    <r>
      <rPr>
        <b/>
        <sz val="10"/>
        <rFont val="宋体"/>
        <charset val="134"/>
      </rPr>
      <t>）项之和</t>
    </r>
    <r>
      <rPr>
        <b/>
        <sz val="10"/>
        <rFont val="Arial"/>
        <charset val="134"/>
      </rPr>
      <t>*</t>
    </r>
    <r>
      <rPr>
        <b/>
        <sz val="10"/>
        <rFont val="宋体"/>
        <charset val="134"/>
      </rPr>
      <t>利润率</t>
    </r>
    <r>
      <rPr>
        <b/>
        <sz val="10"/>
        <rFont val="Arial"/>
        <charset val="134"/>
      </rPr>
      <t>*</t>
    </r>
    <r>
      <rPr>
        <b/>
        <sz val="10"/>
        <rFont val="宋体"/>
        <charset val="134"/>
      </rPr>
      <t>已建工期</t>
    </r>
    <r>
      <rPr>
        <b/>
        <sz val="10"/>
        <rFont val="Arial"/>
        <charset val="134"/>
      </rPr>
      <t>/</t>
    </r>
    <r>
      <rPr>
        <b/>
        <sz val="10"/>
        <rFont val="宋体"/>
        <charset val="134"/>
      </rPr>
      <t>建设期</t>
    </r>
  </si>
  <si>
    <r>
      <rPr>
        <sz val="10"/>
        <rFont val="宋体"/>
        <charset val="134"/>
      </rPr>
      <t>（</t>
    </r>
    <r>
      <rPr>
        <sz val="10"/>
        <rFont val="Arial"/>
        <charset val="134"/>
      </rPr>
      <t>1</t>
    </r>
    <r>
      <rPr>
        <sz val="10"/>
        <rFont val="宋体"/>
        <charset val="134"/>
      </rPr>
      <t>）</t>
    </r>
    <r>
      <rPr>
        <sz val="10"/>
        <rFont val="Arial"/>
        <charset val="134"/>
      </rPr>
      <t>-</t>
    </r>
    <r>
      <rPr>
        <sz val="10"/>
        <rFont val="宋体"/>
        <charset val="134"/>
      </rPr>
      <t>（</t>
    </r>
    <r>
      <rPr>
        <sz val="10"/>
        <rFont val="Arial"/>
        <charset val="134"/>
      </rPr>
      <t>3</t>
    </r>
    <r>
      <rPr>
        <sz val="10"/>
        <rFont val="宋体"/>
        <charset val="134"/>
      </rPr>
      <t>）项产生的利润</t>
    </r>
  </si>
  <si>
    <r>
      <rPr>
        <sz val="10"/>
        <rFont val="宋体"/>
        <charset val="134"/>
      </rPr>
      <t>（</t>
    </r>
    <r>
      <rPr>
        <sz val="10"/>
        <rFont val="Arial"/>
        <charset val="134"/>
      </rPr>
      <t>4</t>
    </r>
    <r>
      <rPr>
        <sz val="10"/>
        <rFont val="宋体"/>
        <charset val="134"/>
      </rPr>
      <t>）项产生的利润</t>
    </r>
  </si>
  <si>
    <r>
      <rPr>
        <b/>
        <sz val="10"/>
        <rFont val="宋体"/>
        <charset val="134"/>
      </rPr>
      <t>（</t>
    </r>
    <r>
      <rPr>
        <b/>
        <sz val="10"/>
        <rFont val="Arial"/>
        <charset val="134"/>
      </rPr>
      <t>7</t>
    </r>
    <r>
      <rPr>
        <b/>
        <sz val="10"/>
        <rFont val="宋体"/>
        <charset val="134"/>
      </rPr>
      <t>）</t>
    </r>
  </si>
  <si>
    <r>
      <rPr>
        <b/>
        <sz val="10"/>
        <rFont val="宋体"/>
        <charset val="134"/>
      </rPr>
      <t>销售税费</t>
    </r>
  </si>
  <si>
    <r>
      <rPr>
        <b/>
        <sz val="10"/>
        <rFont val="宋体"/>
        <charset val="134"/>
      </rPr>
      <t>以房地产价值</t>
    </r>
    <r>
      <rPr>
        <b/>
        <sz val="10"/>
        <rFont val="Arial"/>
        <charset val="134"/>
      </rPr>
      <t>/(1+5%)</t>
    </r>
    <r>
      <rPr>
        <b/>
        <sz val="10"/>
        <rFont val="宋体"/>
        <charset val="134"/>
      </rPr>
      <t>为基数</t>
    </r>
  </si>
  <si>
    <r>
      <rPr>
        <b/>
        <sz val="10"/>
        <rFont val="宋体"/>
        <charset val="134"/>
      </rPr>
      <t>土地价值</t>
    </r>
    <r>
      <rPr>
        <b/>
        <sz val="10"/>
        <rFont val="Arial"/>
        <charset val="134"/>
      </rPr>
      <t>(V</t>
    </r>
    <r>
      <rPr>
        <b/>
        <vertAlign val="subscript"/>
        <sz val="10"/>
        <rFont val="宋体"/>
        <charset val="134"/>
      </rPr>
      <t>土</t>
    </r>
    <r>
      <rPr>
        <b/>
        <sz val="10"/>
        <rFont val="Arial"/>
        <charset val="134"/>
      </rPr>
      <t>)</t>
    </r>
  </si>
  <si>
    <r>
      <rPr>
        <b/>
        <sz val="10"/>
        <rFont val="宋体"/>
        <charset val="134"/>
      </rPr>
      <t>前述</t>
    </r>
    <r>
      <rPr>
        <b/>
        <sz val="10"/>
        <rFont val="Arial"/>
        <charset val="134"/>
      </rPr>
      <t>7</t>
    </r>
    <r>
      <rPr>
        <b/>
        <sz val="10"/>
        <rFont val="宋体"/>
        <charset val="134"/>
      </rPr>
      <t>项相加</t>
    </r>
  </si>
  <si>
    <r>
      <rPr>
        <b/>
        <sz val="12"/>
        <rFont val="Arial"/>
        <charset val="134"/>
      </rPr>
      <t>2.</t>
    </r>
    <r>
      <rPr>
        <b/>
        <sz val="12"/>
        <rFont val="宋体"/>
        <charset val="134"/>
      </rPr>
      <t>建筑物</t>
    </r>
    <r>
      <rPr>
        <b/>
        <sz val="12"/>
        <rFont val="Arial"/>
        <charset val="134"/>
      </rPr>
      <t>/</t>
    </r>
    <r>
      <rPr>
        <b/>
        <sz val="12"/>
        <rFont val="宋体"/>
        <charset val="134"/>
      </rPr>
      <t>在建工程价值</t>
    </r>
  </si>
  <si>
    <r>
      <rPr>
        <b/>
        <sz val="10"/>
        <rFont val="宋体"/>
        <charset val="134"/>
      </rPr>
      <t>建筑物建造</t>
    </r>
    <r>
      <rPr>
        <b/>
        <sz val="10"/>
        <rFont val="Arial"/>
        <charset val="134"/>
      </rPr>
      <t>/</t>
    </r>
    <r>
      <rPr>
        <b/>
        <sz val="10"/>
        <rFont val="宋体"/>
        <charset val="134"/>
      </rPr>
      <t>已建成本</t>
    </r>
  </si>
  <si>
    <r>
      <rPr>
        <sz val="10"/>
        <rFont val="宋体"/>
        <charset val="134"/>
      </rPr>
      <t>建安费用</t>
    </r>
  </si>
  <si>
    <r>
      <rPr>
        <sz val="10"/>
        <rFont val="宋体"/>
        <charset val="134"/>
      </rPr>
      <t>勘察设计和前期工程费</t>
    </r>
  </si>
  <si>
    <r>
      <rPr>
        <sz val="10"/>
        <rFont val="宋体"/>
        <charset val="134"/>
      </rPr>
      <t>以建安费用为基数计取</t>
    </r>
  </si>
  <si>
    <r>
      <rPr>
        <sz val="10"/>
        <rFont val="宋体"/>
        <charset val="134"/>
      </rPr>
      <t>公共配套设施费用</t>
    </r>
  </si>
  <si>
    <r>
      <rPr>
        <sz val="10"/>
        <rFont val="宋体"/>
        <charset val="134"/>
      </rPr>
      <t>以住宅用房建安费用为基数计取或直接等于公共配套建安费</t>
    </r>
  </si>
  <si>
    <r>
      <rPr>
        <sz val="10"/>
        <rFont val="宋体"/>
        <charset val="134"/>
      </rPr>
      <t>红线内市政费用</t>
    </r>
  </si>
  <si>
    <r>
      <rPr>
        <sz val="10"/>
        <rFont val="宋体"/>
        <charset val="134"/>
      </rPr>
      <t>按工程进度计取或按实际情况计取</t>
    </r>
  </si>
  <si>
    <r>
      <rPr>
        <sz val="10"/>
        <rFont val="Arial"/>
        <charset val="134"/>
      </rPr>
      <t>5</t>
    </r>
    <r>
      <rPr>
        <sz val="10"/>
        <rFont val="宋体"/>
        <charset val="134"/>
      </rPr>
      <t>）</t>
    </r>
  </si>
  <si>
    <r>
      <rPr>
        <b/>
        <sz val="10"/>
        <rFont val="宋体"/>
        <charset val="134"/>
      </rPr>
      <t>以（</t>
    </r>
    <r>
      <rPr>
        <b/>
        <sz val="10"/>
        <rFont val="Arial"/>
        <charset val="134"/>
      </rPr>
      <t>1</t>
    </r>
    <r>
      <rPr>
        <b/>
        <sz val="10"/>
        <rFont val="宋体"/>
        <charset val="134"/>
      </rPr>
      <t>）项为基数</t>
    </r>
  </si>
  <si>
    <r>
      <rPr>
        <b/>
        <sz val="10"/>
        <rFont val="Arial"/>
        <charset val="134"/>
      </rPr>
      <t>V</t>
    </r>
    <r>
      <rPr>
        <b/>
        <vertAlign val="subscript"/>
        <sz val="10"/>
        <rFont val="宋体"/>
        <charset val="134"/>
      </rPr>
      <t>建</t>
    </r>
  </si>
  <si>
    <r>
      <rPr>
        <b/>
        <sz val="10"/>
        <rFont val="宋体"/>
        <charset val="134"/>
      </rPr>
      <t>以</t>
    </r>
    <r>
      <rPr>
        <b/>
        <sz val="10"/>
        <rFont val="Arial"/>
        <charset val="134"/>
      </rPr>
      <t>V</t>
    </r>
    <r>
      <rPr>
        <b/>
        <sz val="10"/>
        <rFont val="宋体"/>
        <charset val="134"/>
      </rPr>
      <t>建为基数</t>
    </r>
  </si>
  <si>
    <r>
      <rPr>
        <sz val="10"/>
        <rFont val="宋体"/>
        <charset val="134"/>
      </rPr>
      <t>已建工期均匀投入</t>
    </r>
  </si>
  <si>
    <r>
      <rPr>
        <b/>
        <sz val="10"/>
        <rFont val="宋体"/>
        <charset val="134"/>
      </rPr>
      <t>（</t>
    </r>
    <r>
      <rPr>
        <b/>
        <sz val="10"/>
        <rFont val="Arial"/>
        <charset val="134"/>
      </rPr>
      <t>1</t>
    </r>
    <r>
      <rPr>
        <b/>
        <sz val="10"/>
        <rFont val="宋体"/>
        <charset val="134"/>
      </rPr>
      <t>）</t>
    </r>
    <r>
      <rPr>
        <b/>
        <sz val="10"/>
        <rFont val="Arial"/>
        <charset val="134"/>
      </rPr>
      <t>-</t>
    </r>
    <r>
      <rPr>
        <b/>
        <sz val="10"/>
        <rFont val="宋体"/>
        <charset val="134"/>
      </rPr>
      <t>（</t>
    </r>
    <r>
      <rPr>
        <b/>
        <sz val="10"/>
        <rFont val="Arial"/>
        <charset val="134"/>
      </rPr>
      <t>3</t>
    </r>
    <r>
      <rPr>
        <b/>
        <sz val="10"/>
        <rFont val="宋体"/>
        <charset val="134"/>
      </rPr>
      <t>）项乘利润率</t>
    </r>
  </si>
  <si>
    <r>
      <rPr>
        <sz val="10"/>
        <rFont val="宋体"/>
        <charset val="134"/>
      </rPr>
      <t>（</t>
    </r>
    <r>
      <rPr>
        <sz val="10"/>
        <rFont val="Arial"/>
        <charset val="134"/>
      </rPr>
      <t>1</t>
    </r>
    <r>
      <rPr>
        <sz val="10"/>
        <rFont val="宋体"/>
        <charset val="134"/>
      </rPr>
      <t>）、（</t>
    </r>
    <r>
      <rPr>
        <sz val="10"/>
        <rFont val="Arial"/>
        <charset val="134"/>
      </rPr>
      <t>2</t>
    </r>
    <r>
      <rPr>
        <sz val="10"/>
        <rFont val="宋体"/>
        <charset val="134"/>
      </rPr>
      <t>）项产生的利润</t>
    </r>
  </si>
  <si>
    <r>
      <rPr>
        <sz val="10"/>
        <rFont val="宋体"/>
        <charset val="134"/>
      </rPr>
      <t>（</t>
    </r>
    <r>
      <rPr>
        <sz val="10"/>
        <rFont val="Arial"/>
        <charset val="134"/>
      </rPr>
      <t>3</t>
    </r>
    <r>
      <rPr>
        <sz val="10"/>
        <rFont val="宋体"/>
        <charset val="134"/>
      </rPr>
      <t>）项产生的利润</t>
    </r>
  </si>
  <si>
    <r>
      <rPr>
        <b/>
        <sz val="10"/>
        <rFont val="宋体"/>
        <charset val="134"/>
      </rPr>
      <t>以成本价值</t>
    </r>
    <r>
      <rPr>
        <b/>
        <sz val="10"/>
        <rFont val="Arial"/>
        <charset val="134"/>
      </rPr>
      <t>/(1+5%)</t>
    </r>
    <r>
      <rPr>
        <b/>
        <sz val="10"/>
        <rFont val="宋体"/>
        <charset val="134"/>
      </rPr>
      <t>为基数</t>
    </r>
  </si>
  <si>
    <r>
      <rPr>
        <b/>
        <sz val="10"/>
        <rFont val="宋体"/>
        <charset val="134"/>
      </rPr>
      <t>建筑物重置价值（</t>
    </r>
    <r>
      <rPr>
        <b/>
        <sz val="10"/>
        <rFont val="Arial"/>
        <charset val="134"/>
      </rPr>
      <t>V</t>
    </r>
    <r>
      <rPr>
        <b/>
        <vertAlign val="subscript"/>
        <sz val="10"/>
        <rFont val="宋体"/>
        <charset val="134"/>
      </rPr>
      <t>建</t>
    </r>
    <r>
      <rPr>
        <b/>
        <vertAlign val="subscript"/>
        <sz val="10"/>
        <rFont val="Arial"/>
        <charset val="134"/>
      </rPr>
      <t>1</t>
    </r>
    <r>
      <rPr>
        <b/>
        <sz val="10"/>
        <rFont val="宋体"/>
        <charset val="134"/>
      </rPr>
      <t>）</t>
    </r>
  </si>
  <si>
    <r>
      <rPr>
        <b/>
        <sz val="10"/>
        <rFont val="宋体"/>
        <charset val="134"/>
      </rPr>
      <t>前述</t>
    </r>
    <r>
      <rPr>
        <b/>
        <sz val="10"/>
        <rFont val="Arial"/>
        <charset val="134"/>
      </rPr>
      <t>6</t>
    </r>
    <r>
      <rPr>
        <b/>
        <sz val="10"/>
        <rFont val="宋体"/>
        <charset val="134"/>
      </rPr>
      <t>项相加</t>
    </r>
  </si>
  <si>
    <r>
      <rPr>
        <b/>
        <sz val="10"/>
        <rFont val="宋体"/>
        <charset val="134"/>
      </rPr>
      <t>（</t>
    </r>
    <r>
      <rPr>
        <b/>
        <sz val="10"/>
        <rFont val="Arial"/>
        <charset val="134"/>
      </rPr>
      <t>8</t>
    </r>
    <r>
      <rPr>
        <b/>
        <sz val="10"/>
        <rFont val="宋体"/>
        <charset val="134"/>
      </rPr>
      <t>）</t>
    </r>
  </si>
  <si>
    <r>
      <rPr>
        <b/>
        <sz val="10"/>
        <rFont val="宋体"/>
        <charset val="134"/>
      </rPr>
      <t>成新率</t>
    </r>
  </si>
  <si>
    <r>
      <rPr>
        <b/>
        <sz val="10"/>
        <rFont val="宋体"/>
        <charset val="134"/>
      </rPr>
      <t>现房为成新率，在建依实际情况（停工）记取</t>
    </r>
  </si>
  <si>
    <r>
      <rPr>
        <b/>
        <sz val="10"/>
        <rFont val="宋体"/>
        <charset val="134"/>
      </rPr>
      <t>（</t>
    </r>
    <r>
      <rPr>
        <b/>
        <sz val="10"/>
        <rFont val="Arial"/>
        <charset val="134"/>
      </rPr>
      <t>9</t>
    </r>
    <r>
      <rPr>
        <b/>
        <sz val="10"/>
        <rFont val="宋体"/>
        <charset val="134"/>
      </rPr>
      <t>）</t>
    </r>
  </si>
  <si>
    <r>
      <rPr>
        <b/>
        <sz val="10"/>
        <rFont val="宋体"/>
        <charset val="134"/>
      </rPr>
      <t>建筑物现值（</t>
    </r>
    <r>
      <rPr>
        <b/>
        <sz val="10"/>
        <rFont val="Arial"/>
        <charset val="134"/>
      </rPr>
      <t>V</t>
    </r>
    <r>
      <rPr>
        <b/>
        <vertAlign val="subscript"/>
        <sz val="10"/>
        <rFont val="宋体"/>
        <charset val="134"/>
      </rPr>
      <t>建</t>
    </r>
    <r>
      <rPr>
        <b/>
        <vertAlign val="subscript"/>
        <sz val="10"/>
        <rFont val="Arial"/>
        <charset val="134"/>
      </rPr>
      <t>2</t>
    </r>
    <r>
      <rPr>
        <b/>
        <sz val="10"/>
        <rFont val="宋体"/>
        <charset val="134"/>
      </rPr>
      <t>）</t>
    </r>
  </si>
  <si>
    <r>
      <rPr>
        <b/>
        <sz val="10"/>
        <rFont val="宋体"/>
        <charset val="134"/>
      </rPr>
      <t>重置价值</t>
    </r>
    <r>
      <rPr>
        <b/>
        <sz val="10"/>
        <rFont val="Arial"/>
        <charset val="134"/>
      </rPr>
      <t>×</t>
    </r>
    <r>
      <rPr>
        <b/>
        <sz val="10"/>
        <rFont val="宋体"/>
        <charset val="134"/>
      </rPr>
      <t>成新率</t>
    </r>
  </si>
  <si>
    <r>
      <rPr>
        <b/>
        <sz val="12"/>
        <rFont val="Arial"/>
        <charset val="134"/>
      </rPr>
      <t>3.</t>
    </r>
    <r>
      <rPr>
        <b/>
        <sz val="12"/>
        <rFont val="宋体"/>
        <charset val="134"/>
      </rPr>
      <t>成本价值</t>
    </r>
  </si>
  <si>
    <r>
      <rPr>
        <b/>
        <sz val="10"/>
        <color indexed="10"/>
        <rFont val="宋体"/>
        <charset val="134"/>
      </rPr>
      <t>成本比率</t>
    </r>
  </si>
  <si>
    <r>
      <rPr>
        <sz val="10"/>
        <color indexed="8"/>
        <rFont val="宋体"/>
        <charset val="134"/>
      </rPr>
      <t>建筑物价值比率</t>
    </r>
  </si>
  <si>
    <r>
      <rPr>
        <sz val="10"/>
        <color indexed="8"/>
        <rFont val="宋体"/>
        <charset val="134"/>
      </rPr>
      <t>土地价值比率</t>
    </r>
  </si>
  <si>
    <r>
      <rPr>
        <b/>
        <sz val="16"/>
        <color indexed="10"/>
        <rFont val="宋体"/>
        <charset val="134"/>
      </rPr>
      <t>假设开发法</t>
    </r>
  </si>
  <si>
    <r>
      <rPr>
        <b/>
        <sz val="12"/>
        <rFont val="宋体"/>
        <charset val="134"/>
      </rPr>
      <t>仅计算典型户型</t>
    </r>
  </si>
  <si>
    <r>
      <rPr>
        <b/>
        <sz val="12"/>
        <color indexed="8"/>
        <rFont val="宋体"/>
        <charset val="134"/>
      </rPr>
      <t>元</t>
    </r>
    <r>
      <rPr>
        <b/>
        <sz val="12"/>
        <color indexed="8"/>
        <rFont val="Arial"/>
        <charset val="134"/>
      </rPr>
      <t>/</t>
    </r>
    <r>
      <rPr>
        <b/>
        <sz val="12"/>
        <color indexed="8"/>
        <rFont val="宋体"/>
        <charset val="134"/>
      </rPr>
      <t>平方米</t>
    </r>
  </si>
  <si>
    <r>
      <rPr>
        <b/>
        <sz val="12"/>
        <color indexed="8"/>
        <rFont val="Arial"/>
        <charset val="134"/>
      </rPr>
      <t>1.</t>
    </r>
    <r>
      <rPr>
        <b/>
        <sz val="12"/>
        <color indexed="8"/>
        <rFont val="宋体"/>
        <charset val="134"/>
      </rPr>
      <t>开发完成后房地产价值</t>
    </r>
  </si>
  <si>
    <r>
      <rPr>
        <b/>
        <sz val="11"/>
        <color indexed="8"/>
        <rFont val="宋体"/>
        <charset val="134"/>
      </rPr>
      <t>序号</t>
    </r>
  </si>
  <si>
    <r>
      <rPr>
        <b/>
        <sz val="11"/>
        <color indexed="8"/>
        <rFont val="宋体"/>
        <charset val="134"/>
      </rPr>
      <t>项目名称</t>
    </r>
  </si>
  <si>
    <r>
      <rPr>
        <sz val="10"/>
        <color indexed="8"/>
        <rFont val="宋体"/>
        <charset val="134"/>
      </rPr>
      <t>（</t>
    </r>
    <r>
      <rPr>
        <sz val="10"/>
        <color indexed="8"/>
        <rFont val="Arial"/>
        <charset val="134"/>
      </rPr>
      <t>1</t>
    </r>
    <r>
      <rPr>
        <sz val="10"/>
        <color indexed="8"/>
        <rFont val="宋体"/>
        <charset val="134"/>
      </rPr>
      <t>）</t>
    </r>
  </si>
  <si>
    <r>
      <rPr>
        <sz val="10"/>
        <color indexed="8"/>
        <rFont val="宋体"/>
        <charset val="134"/>
      </rPr>
      <t>（</t>
    </r>
    <r>
      <rPr>
        <sz val="10"/>
        <color indexed="8"/>
        <rFont val="Arial"/>
        <charset val="134"/>
      </rPr>
      <t>2</t>
    </r>
    <r>
      <rPr>
        <sz val="10"/>
        <color indexed="8"/>
        <rFont val="宋体"/>
        <charset val="134"/>
      </rPr>
      <t>）</t>
    </r>
  </si>
  <si>
    <r>
      <rPr>
        <sz val="10"/>
        <color indexed="8"/>
        <rFont val="宋体"/>
        <charset val="134"/>
      </rPr>
      <t>（</t>
    </r>
    <r>
      <rPr>
        <sz val="10"/>
        <color indexed="8"/>
        <rFont val="Arial"/>
        <charset val="134"/>
      </rPr>
      <t>3</t>
    </r>
    <r>
      <rPr>
        <sz val="10"/>
        <color indexed="8"/>
        <rFont val="宋体"/>
        <charset val="134"/>
      </rPr>
      <t>）</t>
    </r>
  </si>
  <si>
    <r>
      <rPr>
        <sz val="10"/>
        <color indexed="8"/>
        <rFont val="宋体"/>
        <charset val="134"/>
      </rPr>
      <t>总额</t>
    </r>
  </si>
  <si>
    <r>
      <rPr>
        <b/>
        <sz val="12"/>
        <color indexed="8"/>
        <rFont val="Arial"/>
        <charset val="134"/>
      </rPr>
      <t>2.</t>
    </r>
    <r>
      <rPr>
        <b/>
        <sz val="12"/>
        <color indexed="8"/>
        <rFont val="宋体"/>
        <charset val="134"/>
      </rPr>
      <t>扣减项</t>
    </r>
  </si>
  <si>
    <r>
      <rPr>
        <b/>
        <sz val="11"/>
        <color indexed="8"/>
        <rFont val="宋体"/>
        <charset val="134"/>
      </rPr>
      <t>总额</t>
    </r>
  </si>
  <si>
    <r>
      <rPr>
        <b/>
        <sz val="11"/>
        <color indexed="8"/>
        <rFont val="宋体"/>
        <charset val="134"/>
      </rPr>
      <t>面积</t>
    </r>
  </si>
  <si>
    <r>
      <rPr>
        <b/>
        <sz val="11"/>
        <color indexed="8"/>
        <rFont val="宋体"/>
        <charset val="134"/>
      </rPr>
      <t>单价</t>
    </r>
  </si>
  <si>
    <r>
      <rPr>
        <b/>
        <sz val="11"/>
        <color indexed="8"/>
        <rFont val="宋体"/>
        <charset val="134"/>
      </rPr>
      <t>相关系数</t>
    </r>
  </si>
  <si>
    <t>A</t>
  </si>
  <si>
    <r>
      <rPr>
        <sz val="10"/>
        <color indexed="8"/>
        <rFont val="宋体"/>
        <charset val="134"/>
      </rPr>
      <t>续建建安</t>
    </r>
  </si>
  <si>
    <t>B</t>
  </si>
  <si>
    <r>
      <rPr>
        <sz val="10"/>
        <color indexed="8"/>
        <rFont val="宋体"/>
        <charset val="134"/>
      </rPr>
      <t>勘察设计和前期工程费</t>
    </r>
  </si>
  <si>
    <r>
      <rPr>
        <b/>
        <sz val="11"/>
        <color indexed="8"/>
        <rFont val="宋体"/>
        <charset val="134"/>
      </rPr>
      <t>以建安费用为基数计取</t>
    </r>
  </si>
  <si>
    <t>C</t>
  </si>
  <si>
    <r>
      <rPr>
        <sz val="10"/>
        <color indexed="8"/>
        <rFont val="宋体"/>
        <charset val="134"/>
      </rPr>
      <t>公共配套设施费用</t>
    </r>
  </si>
  <si>
    <r>
      <rPr>
        <b/>
        <sz val="11"/>
        <color indexed="8"/>
        <rFont val="宋体"/>
        <charset val="134"/>
      </rPr>
      <t>以住宅用房建安费用为基数计取</t>
    </r>
  </si>
  <si>
    <t>D</t>
  </si>
  <si>
    <r>
      <rPr>
        <sz val="10"/>
        <color indexed="8"/>
        <rFont val="宋体"/>
        <charset val="134"/>
      </rPr>
      <t>红线内市政费用</t>
    </r>
  </si>
  <si>
    <r>
      <rPr>
        <b/>
        <sz val="11"/>
        <color indexed="8"/>
        <rFont val="宋体"/>
        <charset val="134"/>
      </rPr>
      <t>按工程进度计取或按实际情况计取</t>
    </r>
  </si>
  <si>
    <t>E</t>
  </si>
  <si>
    <r>
      <rPr>
        <sz val="10"/>
        <color indexed="8"/>
        <rFont val="宋体"/>
        <charset val="134"/>
      </rPr>
      <t>相关税费</t>
    </r>
  </si>
  <si>
    <r>
      <rPr>
        <sz val="10"/>
        <color indexed="8"/>
        <rFont val="宋体"/>
        <charset val="134"/>
      </rPr>
      <t>以建安费用为基数计取</t>
    </r>
  </si>
  <si>
    <r>
      <rPr>
        <sz val="10"/>
        <color indexed="8"/>
        <rFont val="Arial"/>
        <charset val="134"/>
      </rPr>
      <t>1</t>
    </r>
    <r>
      <rPr>
        <sz val="10"/>
        <color indexed="8"/>
        <rFont val="宋体"/>
        <charset val="134"/>
      </rPr>
      <t>）</t>
    </r>
  </si>
  <si>
    <r>
      <rPr>
        <sz val="10"/>
        <color indexed="8"/>
        <rFont val="宋体"/>
        <charset val="134"/>
      </rPr>
      <t>续建成本</t>
    </r>
  </si>
  <si>
    <r>
      <rPr>
        <sz val="10"/>
        <color indexed="8"/>
        <rFont val="Arial"/>
        <charset val="134"/>
      </rPr>
      <t>2</t>
    </r>
    <r>
      <rPr>
        <sz val="10"/>
        <color indexed="8"/>
        <rFont val="宋体"/>
        <charset val="134"/>
      </rPr>
      <t>）</t>
    </r>
  </si>
  <si>
    <r>
      <rPr>
        <sz val="10"/>
        <color indexed="8"/>
        <rFont val="宋体"/>
        <charset val="134"/>
      </rPr>
      <t>红线外市政费用（待完成）</t>
    </r>
  </si>
  <si>
    <r>
      <rPr>
        <sz val="10"/>
        <color indexed="8"/>
        <rFont val="宋体"/>
        <charset val="134"/>
      </rPr>
      <t>按实际情况计取</t>
    </r>
  </si>
  <si>
    <r>
      <rPr>
        <sz val="10"/>
        <color indexed="8"/>
        <rFont val="Arial"/>
        <charset val="134"/>
      </rPr>
      <t>3</t>
    </r>
    <r>
      <rPr>
        <sz val="10"/>
        <color indexed="8"/>
        <rFont val="宋体"/>
        <charset val="134"/>
      </rPr>
      <t>）</t>
    </r>
  </si>
  <si>
    <r>
      <rPr>
        <sz val="10"/>
        <color indexed="8"/>
        <rFont val="宋体"/>
        <charset val="134"/>
      </rPr>
      <t>城市基础设施建设费（行政收费）</t>
    </r>
  </si>
  <si>
    <r>
      <rPr>
        <sz val="10"/>
        <color indexed="8"/>
        <rFont val="宋体"/>
        <charset val="134"/>
      </rPr>
      <t>按实际未缴纳金额</t>
    </r>
  </si>
  <si>
    <r>
      <rPr>
        <sz val="10"/>
        <color indexed="8"/>
        <rFont val="宋体"/>
        <charset val="134"/>
      </rPr>
      <t>住宅</t>
    </r>
  </si>
  <si>
    <r>
      <rPr>
        <sz val="10"/>
        <color indexed="8"/>
        <rFont val="宋体"/>
        <charset val="134"/>
      </rPr>
      <t>非住宅</t>
    </r>
  </si>
  <si>
    <r>
      <rPr>
        <b/>
        <sz val="11"/>
        <color indexed="8"/>
        <rFont val="宋体"/>
        <charset val="134"/>
      </rPr>
      <t>后续开发成本</t>
    </r>
  </si>
  <si>
    <r>
      <rPr>
        <sz val="10"/>
        <color indexed="8"/>
        <rFont val="Arial"/>
        <charset val="134"/>
      </rPr>
      <t>1</t>
    </r>
    <r>
      <rPr>
        <sz val="10"/>
        <color indexed="8"/>
        <rFont val="宋体"/>
        <charset val="134"/>
      </rPr>
      <t>）</t>
    </r>
    <r>
      <rPr>
        <sz val="10"/>
        <color indexed="8"/>
        <rFont val="Arial"/>
        <charset val="134"/>
      </rPr>
      <t>-3</t>
    </r>
    <r>
      <rPr>
        <sz val="10"/>
        <color indexed="8"/>
        <rFont val="宋体"/>
        <charset val="134"/>
      </rPr>
      <t>）项之和</t>
    </r>
  </si>
  <si>
    <r>
      <rPr>
        <b/>
        <sz val="11"/>
        <color indexed="8"/>
        <rFont val="宋体"/>
        <charset val="134"/>
      </rPr>
      <t>管理费用</t>
    </r>
  </si>
  <si>
    <r>
      <rPr>
        <b/>
        <sz val="11"/>
        <color indexed="8"/>
        <rFont val="宋体"/>
        <charset val="134"/>
      </rPr>
      <t>以续建成本为基数计算</t>
    </r>
  </si>
  <si>
    <r>
      <rPr>
        <b/>
        <sz val="11"/>
        <color indexed="8"/>
        <rFont val="宋体"/>
        <charset val="134"/>
      </rPr>
      <t>销售费用</t>
    </r>
  </si>
  <si>
    <r>
      <rPr>
        <b/>
        <sz val="11"/>
        <color indexed="8"/>
        <rFont val="宋体"/>
        <charset val="134"/>
      </rPr>
      <t>以</t>
    </r>
    <r>
      <rPr>
        <b/>
        <sz val="11"/>
        <color indexed="8"/>
        <rFont val="Arial"/>
        <charset val="134"/>
      </rPr>
      <t>“1”</t>
    </r>
    <r>
      <rPr>
        <b/>
        <sz val="11"/>
        <color indexed="8"/>
        <rFont val="宋体"/>
        <charset val="134"/>
      </rPr>
      <t>为基数按一定比例及续建进度计取</t>
    </r>
  </si>
  <si>
    <r>
      <rPr>
        <sz val="10"/>
        <color indexed="8"/>
        <rFont val="宋体"/>
        <charset val="134"/>
      </rPr>
      <t>（</t>
    </r>
    <r>
      <rPr>
        <sz val="10"/>
        <color indexed="8"/>
        <rFont val="Arial"/>
        <charset val="134"/>
      </rPr>
      <t>4</t>
    </r>
    <r>
      <rPr>
        <sz val="10"/>
        <color indexed="8"/>
        <rFont val="宋体"/>
        <charset val="134"/>
      </rPr>
      <t>）</t>
    </r>
  </si>
  <si>
    <r>
      <rPr>
        <b/>
        <sz val="11"/>
        <color indexed="8"/>
        <rFont val="宋体"/>
        <charset val="134"/>
      </rPr>
      <t>取得税费</t>
    </r>
  </si>
  <si>
    <t>v</t>
  </si>
  <si>
    <r>
      <rPr>
        <b/>
        <sz val="11"/>
        <color indexed="8"/>
        <rFont val="宋体"/>
        <charset val="134"/>
      </rPr>
      <t>以开发价值</t>
    </r>
    <r>
      <rPr>
        <b/>
        <sz val="11"/>
        <color indexed="8"/>
        <rFont val="Arial"/>
        <charset val="134"/>
      </rPr>
      <t>/</t>
    </r>
    <r>
      <rPr>
        <b/>
        <sz val="11"/>
        <color indexed="8"/>
        <rFont val="宋体"/>
        <charset val="134"/>
      </rPr>
      <t>（</t>
    </r>
    <r>
      <rPr>
        <b/>
        <sz val="11"/>
        <color indexed="8"/>
        <rFont val="Arial"/>
        <charset val="134"/>
      </rPr>
      <t>1+5%</t>
    </r>
    <r>
      <rPr>
        <b/>
        <sz val="11"/>
        <color indexed="8"/>
        <rFont val="宋体"/>
        <charset val="134"/>
      </rPr>
      <t>）为基数</t>
    </r>
  </si>
  <si>
    <r>
      <rPr>
        <sz val="10"/>
        <color indexed="8"/>
        <rFont val="宋体"/>
        <charset val="134"/>
      </rPr>
      <t>（</t>
    </r>
    <r>
      <rPr>
        <sz val="10"/>
        <color indexed="8"/>
        <rFont val="Arial"/>
        <charset val="134"/>
      </rPr>
      <t>5</t>
    </r>
    <r>
      <rPr>
        <sz val="10"/>
        <color indexed="8"/>
        <rFont val="宋体"/>
        <charset val="134"/>
      </rPr>
      <t>）</t>
    </r>
  </si>
  <si>
    <r>
      <rPr>
        <b/>
        <sz val="11"/>
        <color indexed="8"/>
        <rFont val="宋体"/>
        <charset val="134"/>
      </rPr>
      <t>利息</t>
    </r>
  </si>
  <si>
    <r>
      <rPr>
        <sz val="10"/>
        <color indexed="8"/>
        <rFont val="宋体"/>
        <charset val="134"/>
      </rPr>
      <t>后续开发成本、管理费用及销售费用产生的利息。</t>
    </r>
  </si>
  <si>
    <r>
      <rPr>
        <sz val="10"/>
        <color indexed="8"/>
        <rFont val="宋体"/>
        <charset val="134"/>
      </rPr>
      <t>估价对象及取得税费产生的利息</t>
    </r>
  </si>
  <si>
    <r>
      <rPr>
        <sz val="10"/>
        <color indexed="8"/>
        <rFont val="宋体"/>
        <charset val="134"/>
      </rPr>
      <t>续建部分（</t>
    </r>
    <r>
      <rPr>
        <sz val="10"/>
        <color indexed="8"/>
        <rFont val="Arial"/>
        <charset val="134"/>
      </rPr>
      <t>1-3</t>
    </r>
    <r>
      <rPr>
        <sz val="10"/>
        <color indexed="8"/>
        <rFont val="宋体"/>
        <charset val="134"/>
      </rPr>
      <t>项）产生的利息</t>
    </r>
  </si>
  <si>
    <r>
      <rPr>
        <sz val="10"/>
        <color indexed="8"/>
        <rFont val="Arial"/>
        <charset val="134"/>
      </rPr>
      <t>2.1-2.3</t>
    </r>
    <r>
      <rPr>
        <sz val="10"/>
        <color indexed="8"/>
        <rFont val="宋体"/>
        <charset val="134"/>
      </rPr>
      <t>项</t>
    </r>
    <r>
      <rPr>
        <sz val="10"/>
        <color indexed="8"/>
        <rFont val="Arial"/>
        <charset val="134"/>
      </rPr>
      <t>×</t>
    </r>
    <r>
      <rPr>
        <sz val="10"/>
        <color indexed="8"/>
        <rFont val="宋体"/>
        <charset val="134"/>
      </rPr>
      <t>年利率</t>
    </r>
    <r>
      <rPr>
        <sz val="10"/>
        <color indexed="8"/>
        <rFont val="Arial"/>
        <charset val="134"/>
      </rPr>
      <t>×</t>
    </r>
    <r>
      <rPr>
        <sz val="10"/>
        <color indexed="8"/>
        <rFont val="宋体"/>
        <charset val="134"/>
      </rPr>
      <t>续建工期</t>
    </r>
    <r>
      <rPr>
        <sz val="10"/>
        <color indexed="8"/>
        <rFont val="Arial"/>
        <charset val="134"/>
      </rPr>
      <t>÷2</t>
    </r>
  </si>
  <si>
    <r>
      <rPr>
        <sz val="10"/>
        <color indexed="8"/>
        <rFont val="宋体"/>
        <charset val="134"/>
      </rPr>
      <t>（</t>
    </r>
    <r>
      <rPr>
        <sz val="10"/>
        <color indexed="8"/>
        <rFont val="Arial"/>
        <charset val="134"/>
      </rPr>
      <t>6</t>
    </r>
    <r>
      <rPr>
        <sz val="10"/>
        <color indexed="8"/>
        <rFont val="宋体"/>
        <charset val="134"/>
      </rPr>
      <t>）</t>
    </r>
  </si>
  <si>
    <r>
      <rPr>
        <b/>
        <sz val="11"/>
        <color indexed="8"/>
        <rFont val="宋体"/>
        <charset val="134"/>
      </rPr>
      <t>利润</t>
    </r>
  </si>
  <si>
    <r>
      <rPr>
        <sz val="10"/>
        <color indexed="8"/>
        <rFont val="宋体"/>
        <charset val="134"/>
      </rPr>
      <t>估价对象及取得税费应计的利润</t>
    </r>
  </si>
  <si>
    <r>
      <rPr>
        <sz val="10"/>
        <color indexed="8"/>
        <rFont val="宋体"/>
        <charset val="134"/>
      </rPr>
      <t>（</t>
    </r>
    <r>
      <rPr>
        <sz val="10"/>
        <color indexed="8"/>
        <rFont val="Arial"/>
        <charset val="134"/>
      </rPr>
      <t>V+V*</t>
    </r>
    <r>
      <rPr>
        <sz val="10"/>
        <color indexed="8"/>
        <rFont val="宋体"/>
        <charset val="134"/>
      </rPr>
      <t>取得税费）</t>
    </r>
    <r>
      <rPr>
        <sz val="10"/>
        <color indexed="8"/>
        <rFont val="Arial"/>
        <charset val="134"/>
      </rPr>
      <t>*</t>
    </r>
    <r>
      <rPr>
        <sz val="10"/>
        <color indexed="8"/>
        <rFont val="宋体"/>
        <charset val="134"/>
      </rPr>
      <t>利润率</t>
    </r>
    <r>
      <rPr>
        <sz val="10"/>
        <color indexed="8"/>
        <rFont val="Arial"/>
        <charset val="134"/>
      </rPr>
      <t>*</t>
    </r>
    <r>
      <rPr>
        <sz val="10"/>
        <color indexed="8"/>
        <rFont val="宋体"/>
        <charset val="134"/>
      </rPr>
      <t>续建工期</t>
    </r>
    <r>
      <rPr>
        <sz val="10"/>
        <color indexed="8"/>
        <rFont val="Arial"/>
        <charset val="134"/>
      </rPr>
      <t>/</t>
    </r>
    <r>
      <rPr>
        <sz val="10"/>
        <color indexed="8"/>
        <rFont val="宋体"/>
        <charset val="134"/>
      </rPr>
      <t>建设期</t>
    </r>
  </si>
  <si>
    <r>
      <rPr>
        <sz val="10"/>
        <color indexed="8"/>
        <rFont val="宋体"/>
        <charset val="134"/>
      </rPr>
      <t>续建部分（</t>
    </r>
    <r>
      <rPr>
        <sz val="10"/>
        <color indexed="8"/>
        <rFont val="Arial"/>
        <charset val="134"/>
      </rPr>
      <t>1-3</t>
    </r>
    <r>
      <rPr>
        <sz val="10"/>
        <color indexed="8"/>
        <rFont val="宋体"/>
        <charset val="134"/>
      </rPr>
      <t>项）应计的利润</t>
    </r>
  </si>
  <si>
    <r>
      <rPr>
        <sz val="10"/>
        <color indexed="8"/>
        <rFont val="宋体"/>
        <charset val="134"/>
      </rPr>
      <t>（</t>
    </r>
    <r>
      <rPr>
        <sz val="10"/>
        <color indexed="8"/>
        <rFont val="Arial"/>
        <charset val="134"/>
      </rPr>
      <t>7</t>
    </r>
    <r>
      <rPr>
        <sz val="10"/>
        <color indexed="8"/>
        <rFont val="宋体"/>
        <charset val="134"/>
      </rPr>
      <t>）</t>
    </r>
  </si>
  <si>
    <r>
      <rPr>
        <b/>
        <sz val="11"/>
        <color indexed="8"/>
        <rFont val="宋体"/>
        <charset val="134"/>
      </rPr>
      <t>销售税费</t>
    </r>
  </si>
  <si>
    <r>
      <rPr>
        <b/>
        <sz val="11"/>
        <color indexed="8"/>
        <rFont val="宋体"/>
        <charset val="134"/>
      </rPr>
      <t>以</t>
    </r>
    <r>
      <rPr>
        <b/>
        <sz val="11"/>
        <color indexed="8"/>
        <rFont val="Arial"/>
        <charset val="134"/>
      </rPr>
      <t>“</t>
    </r>
    <r>
      <rPr>
        <b/>
        <sz val="11"/>
        <color indexed="8"/>
        <rFont val="宋体"/>
        <charset val="134"/>
      </rPr>
      <t>开发完成后价值</t>
    </r>
    <r>
      <rPr>
        <b/>
        <sz val="11"/>
        <color indexed="8"/>
        <rFont val="Arial"/>
        <charset val="134"/>
      </rPr>
      <t>/</t>
    </r>
    <r>
      <rPr>
        <b/>
        <sz val="11"/>
        <color indexed="8"/>
        <rFont val="宋体"/>
        <charset val="134"/>
      </rPr>
      <t>（</t>
    </r>
    <r>
      <rPr>
        <b/>
        <sz val="11"/>
        <color indexed="8"/>
        <rFont val="Arial"/>
        <charset val="134"/>
      </rPr>
      <t>1+5%</t>
    </r>
    <r>
      <rPr>
        <b/>
        <sz val="11"/>
        <color indexed="8"/>
        <rFont val="宋体"/>
        <charset val="134"/>
      </rPr>
      <t>）</t>
    </r>
    <r>
      <rPr>
        <b/>
        <sz val="11"/>
        <color indexed="8"/>
        <rFont val="Arial"/>
        <charset val="134"/>
      </rPr>
      <t>”</t>
    </r>
    <r>
      <rPr>
        <b/>
        <sz val="11"/>
        <color indexed="8"/>
        <rFont val="宋体"/>
        <charset val="134"/>
      </rPr>
      <t>为基数计取</t>
    </r>
  </si>
  <si>
    <r>
      <rPr>
        <b/>
        <sz val="11"/>
        <color indexed="8"/>
        <rFont val="Arial"/>
        <charset val="134"/>
      </rPr>
      <t>3</t>
    </r>
    <r>
      <rPr>
        <b/>
        <sz val="11"/>
        <color indexed="8"/>
        <rFont val="宋体"/>
        <charset val="134"/>
      </rPr>
      <t>、开发价值</t>
    </r>
  </si>
  <si>
    <r>
      <rPr>
        <b/>
        <sz val="12"/>
        <color indexed="8"/>
        <rFont val="宋体"/>
        <charset val="134"/>
      </rPr>
      <t>估价对象价值</t>
    </r>
    <r>
      <rPr>
        <b/>
        <sz val="12"/>
        <color indexed="8"/>
        <rFont val="Arial"/>
        <charset val="134"/>
      </rPr>
      <t>=1-2</t>
    </r>
  </si>
  <si>
    <r>
      <rPr>
        <b/>
        <sz val="16"/>
        <color rgb="FFFF0000"/>
        <rFont val="宋体"/>
        <charset val="134"/>
      </rPr>
      <t>比较法</t>
    </r>
  </si>
  <si>
    <r>
      <rPr>
        <b/>
        <sz val="16"/>
        <rFont val="宋体"/>
        <charset val="134"/>
      </rPr>
      <t>住宅</t>
    </r>
  </si>
  <si>
    <t>仅计算典型户型</t>
  </si>
  <si>
    <t>售价</t>
  </si>
  <si>
    <r>
      <rPr>
        <b/>
        <sz val="16"/>
        <color indexed="10"/>
        <rFont val="宋体"/>
        <charset val="134"/>
      </rPr>
      <t>录入顺序：主表的空白区域</t>
    </r>
    <r>
      <rPr>
        <b/>
        <sz val="16"/>
        <color indexed="10"/>
        <rFont val="Arial"/>
        <charset val="134"/>
      </rPr>
      <t>-</t>
    </r>
    <r>
      <rPr>
        <b/>
        <sz val="16"/>
        <color indexed="10"/>
        <rFont val="宋体"/>
        <charset val="134"/>
      </rPr>
      <t>因素表空白区域</t>
    </r>
    <r>
      <rPr>
        <b/>
        <sz val="16"/>
        <color indexed="10"/>
        <rFont val="Arial"/>
        <charset val="134"/>
      </rPr>
      <t>-</t>
    </r>
    <r>
      <rPr>
        <b/>
        <sz val="16"/>
        <color indexed="10"/>
        <rFont val="宋体"/>
        <charset val="134"/>
      </rPr>
      <t>主表黄色选项区域</t>
    </r>
    <r>
      <rPr>
        <b/>
        <sz val="16"/>
        <color indexed="10"/>
        <rFont val="Arial"/>
        <charset val="134"/>
      </rPr>
      <t>-</t>
    </r>
    <r>
      <rPr>
        <b/>
        <sz val="16"/>
        <color indexed="10"/>
        <rFont val="宋体"/>
        <charset val="134"/>
      </rPr>
      <t>调节修正幅度</t>
    </r>
    <r>
      <rPr>
        <b/>
        <sz val="16"/>
        <color indexed="10"/>
        <rFont val="Arial"/>
        <charset val="134"/>
      </rPr>
      <t>-</t>
    </r>
    <r>
      <rPr>
        <b/>
        <sz val="16"/>
        <color indexed="10"/>
        <rFont val="宋体"/>
        <charset val="134"/>
      </rPr>
      <t>完成</t>
    </r>
  </si>
  <si>
    <r>
      <rPr>
        <b/>
        <sz val="12"/>
        <rFont val="宋体"/>
        <charset val="134"/>
      </rPr>
      <t>建筑面积</t>
    </r>
  </si>
  <si>
    <r>
      <rPr>
        <b/>
        <sz val="11"/>
        <rFont val="宋体"/>
        <charset val="134"/>
      </rPr>
      <t>比较因素</t>
    </r>
  </si>
  <si>
    <r>
      <rPr>
        <sz val="11"/>
        <rFont val="宋体"/>
        <charset val="134"/>
      </rPr>
      <t>估价对象</t>
    </r>
  </si>
  <si>
    <r>
      <rPr>
        <sz val="11"/>
        <rFont val="宋体"/>
        <charset val="134"/>
      </rPr>
      <t>案例</t>
    </r>
    <r>
      <rPr>
        <sz val="11"/>
        <rFont val="Arial"/>
        <charset val="134"/>
      </rPr>
      <t>A</t>
    </r>
  </si>
  <si>
    <r>
      <rPr>
        <sz val="11"/>
        <rFont val="宋体"/>
        <charset val="134"/>
      </rPr>
      <t>案例</t>
    </r>
    <r>
      <rPr>
        <sz val="11"/>
        <rFont val="Arial"/>
        <charset val="134"/>
      </rPr>
      <t>B</t>
    </r>
  </si>
  <si>
    <r>
      <rPr>
        <sz val="11"/>
        <rFont val="宋体"/>
        <charset val="134"/>
      </rPr>
      <t>案例</t>
    </r>
    <r>
      <rPr>
        <sz val="11"/>
        <rFont val="Arial"/>
        <charset val="134"/>
      </rPr>
      <t>C</t>
    </r>
  </si>
  <si>
    <r>
      <rPr>
        <sz val="11"/>
        <color indexed="8"/>
        <rFont val="宋体"/>
        <charset val="134"/>
      </rPr>
      <t>修正幅度</t>
    </r>
  </si>
  <si>
    <r>
      <rPr>
        <sz val="11"/>
        <rFont val="宋体"/>
        <charset val="134"/>
      </rPr>
      <t>比较因素</t>
    </r>
  </si>
  <si>
    <r>
      <rPr>
        <sz val="11"/>
        <color theme="9" tint="-0.249977111117893"/>
        <rFont val="宋体"/>
        <charset val="134"/>
      </rPr>
      <t>估价对象名称</t>
    </r>
  </si>
  <si>
    <t>倚林佳园</t>
  </si>
  <si>
    <r>
      <rPr>
        <sz val="11"/>
        <color theme="9" tint="-0.249977111117893"/>
        <rFont val="宋体"/>
        <charset val="134"/>
      </rPr>
      <t>项目位置</t>
    </r>
  </si>
  <si>
    <r>
      <rPr>
        <sz val="11"/>
        <color indexed="8"/>
        <rFont val="宋体"/>
        <charset val="134"/>
      </rPr>
      <t>系数</t>
    </r>
    <r>
      <rPr>
        <sz val="11"/>
        <color indexed="8"/>
        <rFont val="Arial"/>
        <charset val="134"/>
      </rPr>
      <t>%</t>
    </r>
  </si>
  <si>
    <r>
      <rPr>
        <b/>
        <sz val="11"/>
        <color indexed="8"/>
        <rFont val="宋体"/>
        <charset val="134"/>
      </rPr>
      <t>交易时间</t>
    </r>
  </si>
  <si>
    <r>
      <rPr>
        <sz val="11"/>
        <color indexed="8"/>
        <rFont val="宋体"/>
        <charset val="134"/>
      </rPr>
      <t>交易时间</t>
    </r>
  </si>
  <si>
    <t>100/</t>
  </si>
  <si>
    <r>
      <rPr>
        <b/>
        <sz val="11"/>
        <color indexed="8"/>
        <rFont val="宋体"/>
        <charset val="134"/>
      </rPr>
      <t>交易情况</t>
    </r>
  </si>
  <si>
    <r>
      <rPr>
        <sz val="11"/>
        <color indexed="8"/>
        <rFont val="宋体"/>
        <charset val="134"/>
      </rPr>
      <t>正常</t>
    </r>
  </si>
  <si>
    <t>正常</t>
  </si>
  <si>
    <r>
      <rPr>
        <sz val="11"/>
        <color indexed="8"/>
        <rFont val="宋体"/>
        <charset val="134"/>
      </rPr>
      <t>交易情况</t>
    </r>
  </si>
  <si>
    <r>
      <rPr>
        <b/>
        <sz val="11"/>
        <color indexed="8"/>
        <rFont val="宋体"/>
        <charset val="134"/>
      </rPr>
      <t>权益状况</t>
    </r>
  </si>
  <si>
    <r>
      <rPr>
        <sz val="11"/>
        <color indexed="8"/>
        <rFont val="宋体"/>
        <charset val="134"/>
      </rPr>
      <t>用途</t>
    </r>
  </si>
  <si>
    <r>
      <rPr>
        <sz val="11"/>
        <rFont val="宋体"/>
        <charset val="134"/>
      </rPr>
      <t>权益状况</t>
    </r>
  </si>
  <si>
    <r>
      <rPr>
        <sz val="11"/>
        <color indexed="8"/>
        <rFont val="宋体"/>
        <charset val="134"/>
      </rPr>
      <t>权益状况</t>
    </r>
  </si>
  <si>
    <r>
      <rPr>
        <sz val="11"/>
        <color indexed="8"/>
        <rFont val="宋体"/>
        <charset val="134"/>
      </rPr>
      <t>土地使用年限（年）</t>
    </r>
  </si>
  <si>
    <t>40-50（含）</t>
  </si>
  <si>
    <r>
      <rPr>
        <sz val="11"/>
        <color indexed="8"/>
        <rFont val="宋体"/>
        <charset val="134"/>
      </rPr>
      <t>容积率</t>
    </r>
  </si>
  <si>
    <r>
      <rPr>
        <b/>
        <sz val="11"/>
        <rFont val="宋体"/>
        <charset val="134"/>
      </rPr>
      <t>区位状况</t>
    </r>
  </si>
  <si>
    <r>
      <rPr>
        <sz val="11"/>
        <rFont val="宋体"/>
        <charset val="134"/>
      </rPr>
      <t>区位状况</t>
    </r>
  </si>
  <si>
    <t>较好</t>
  </si>
  <si>
    <t>好</t>
  </si>
  <si>
    <t>七通</t>
  </si>
  <si>
    <r>
      <rPr>
        <sz val="11"/>
        <color indexed="8"/>
        <rFont val="宋体"/>
        <charset val="134"/>
      </rPr>
      <t>自然及人文环境</t>
    </r>
  </si>
  <si>
    <r>
      <rPr>
        <sz val="11"/>
        <color indexed="8"/>
        <rFont val="宋体"/>
        <charset val="134"/>
      </rPr>
      <t>楼层</t>
    </r>
    <r>
      <rPr>
        <sz val="11"/>
        <color indexed="8"/>
        <rFont val="Arial"/>
        <charset val="134"/>
      </rPr>
      <t>-1</t>
    </r>
  </si>
  <si>
    <r>
      <rPr>
        <sz val="11"/>
        <color indexed="8"/>
        <rFont val="宋体"/>
        <charset val="134"/>
      </rPr>
      <t>朝向</t>
    </r>
  </si>
  <si>
    <t>南北</t>
  </si>
  <si>
    <t>南北西</t>
  </si>
  <si>
    <t>楼层</t>
  </si>
  <si>
    <t>3-5层</t>
  </si>
  <si>
    <r>
      <rPr>
        <sz val="11"/>
        <color rgb="FF000000"/>
        <rFont val="Arial"/>
        <charset val="134"/>
      </rPr>
      <t>3-5</t>
    </r>
    <r>
      <rPr>
        <sz val="11"/>
        <color rgb="FF000000"/>
        <rFont val="宋体"/>
        <charset val="134"/>
      </rPr>
      <t>层</t>
    </r>
  </si>
  <si>
    <r>
      <rPr>
        <b/>
        <sz val="11"/>
        <rFont val="宋体"/>
        <charset val="134"/>
      </rPr>
      <t>实物状况</t>
    </r>
  </si>
  <si>
    <r>
      <rPr>
        <sz val="11"/>
        <color indexed="8"/>
        <rFont val="宋体"/>
        <charset val="134"/>
      </rPr>
      <t>建筑类型</t>
    </r>
  </si>
  <si>
    <t>叠墅</t>
  </si>
  <si>
    <r>
      <rPr>
        <sz val="11"/>
        <rFont val="宋体"/>
        <charset val="134"/>
      </rPr>
      <t>实物状况</t>
    </r>
  </si>
  <si>
    <r>
      <rPr>
        <sz val="11"/>
        <color indexed="8"/>
        <rFont val="宋体"/>
        <charset val="134"/>
      </rPr>
      <t>项目建筑规模</t>
    </r>
  </si>
  <si>
    <r>
      <rPr>
        <sz val="11"/>
        <color indexed="8"/>
        <rFont val="宋体"/>
        <charset val="134"/>
      </rPr>
      <t>建筑结构</t>
    </r>
  </si>
  <si>
    <r>
      <rPr>
        <sz val="11"/>
        <color indexed="8"/>
        <rFont val="宋体"/>
        <charset val="134"/>
      </rPr>
      <t>建筑品质</t>
    </r>
  </si>
  <si>
    <r>
      <rPr>
        <sz val="11"/>
        <color indexed="8"/>
        <rFont val="宋体"/>
        <charset val="134"/>
      </rPr>
      <t>公共部分装修</t>
    </r>
  </si>
  <si>
    <r>
      <rPr>
        <sz val="11"/>
        <color indexed="8"/>
        <rFont val="宋体"/>
        <charset val="134"/>
      </rPr>
      <t>成新度</t>
    </r>
  </si>
  <si>
    <r>
      <rPr>
        <sz val="11"/>
        <color indexed="8"/>
        <rFont val="宋体"/>
        <charset val="134"/>
      </rPr>
      <t>物业管理</t>
    </r>
  </si>
  <si>
    <r>
      <rPr>
        <sz val="11"/>
        <color indexed="8"/>
        <rFont val="宋体"/>
        <charset val="134"/>
      </rPr>
      <t>市政基础设施</t>
    </r>
  </si>
  <si>
    <r>
      <rPr>
        <sz val="11"/>
        <color indexed="8"/>
        <rFont val="宋体"/>
        <charset val="134"/>
      </rPr>
      <t>房型</t>
    </r>
  </si>
  <si>
    <r>
      <rPr>
        <sz val="11"/>
        <color indexed="8"/>
        <rFont val="宋体"/>
        <charset val="134"/>
      </rPr>
      <t>单套</t>
    </r>
    <r>
      <rPr>
        <sz val="11"/>
        <color indexed="8"/>
        <rFont val="Arial"/>
        <charset val="134"/>
      </rPr>
      <t>/</t>
    </r>
    <r>
      <rPr>
        <sz val="11"/>
        <color indexed="8"/>
        <rFont val="宋体"/>
        <charset val="134"/>
      </rPr>
      <t>主力户型建筑面积</t>
    </r>
  </si>
  <si>
    <r>
      <rPr>
        <sz val="11"/>
        <color indexed="8"/>
        <rFont val="宋体"/>
        <charset val="134"/>
      </rPr>
      <t>内部装修</t>
    </r>
  </si>
  <si>
    <t>普通装修</t>
  </si>
  <si>
    <t>简单装修</t>
  </si>
  <si>
    <t>精装修</t>
  </si>
  <si>
    <r>
      <rPr>
        <b/>
        <sz val="11"/>
        <rFont val="宋体"/>
        <charset val="134"/>
      </rPr>
      <t>成交单价（元</t>
    </r>
    <r>
      <rPr>
        <b/>
        <sz val="11"/>
        <rFont val="Arial"/>
        <charset val="134"/>
      </rPr>
      <t>/</t>
    </r>
    <r>
      <rPr>
        <b/>
        <sz val="11"/>
        <rFont val="宋体"/>
        <charset val="134"/>
      </rPr>
      <t>平方米）</t>
    </r>
  </si>
  <si>
    <r>
      <rPr>
        <b/>
        <sz val="11"/>
        <rFont val="宋体"/>
        <charset val="134"/>
      </rPr>
      <t>比较价值（元</t>
    </r>
    <r>
      <rPr>
        <b/>
        <sz val="11"/>
        <rFont val="Arial"/>
        <charset val="134"/>
      </rPr>
      <t>/</t>
    </r>
    <r>
      <rPr>
        <b/>
        <sz val="11"/>
        <rFont val="宋体"/>
        <charset val="134"/>
      </rPr>
      <t>平方米）</t>
    </r>
  </si>
  <si>
    <t>简单平均</t>
  </si>
  <si>
    <r>
      <rPr>
        <b/>
        <sz val="11"/>
        <rFont val="宋体"/>
        <charset val="134"/>
      </rPr>
      <t>估价对象</t>
    </r>
    <r>
      <rPr>
        <b/>
        <sz val="11"/>
        <color theme="9" tint="-0.249977111117893"/>
        <rFont val="Arial"/>
        <charset val="134"/>
      </rPr>
      <t>XX</t>
    </r>
    <r>
      <rPr>
        <b/>
        <sz val="11"/>
        <color theme="9" tint="-0.249977111117893"/>
        <rFont val="宋体"/>
        <charset val="134"/>
      </rPr>
      <t>用房的</t>
    </r>
    <r>
      <rPr>
        <b/>
        <sz val="11"/>
        <rFont val="宋体"/>
        <charset val="134"/>
      </rPr>
      <t>比较价值（楼面单价，元</t>
    </r>
    <r>
      <rPr>
        <b/>
        <sz val="11"/>
        <rFont val="Arial"/>
        <charset val="134"/>
      </rPr>
      <t>/</t>
    </r>
    <r>
      <rPr>
        <b/>
        <sz val="11"/>
        <rFont val="宋体"/>
        <charset val="134"/>
      </rPr>
      <t>平方米）</t>
    </r>
  </si>
  <si>
    <r>
      <rPr>
        <b/>
        <sz val="11"/>
        <rFont val="宋体"/>
        <charset val="134"/>
      </rPr>
      <t>总修正幅度不超过</t>
    </r>
    <r>
      <rPr>
        <b/>
        <sz val="11"/>
        <color indexed="10"/>
        <rFont val="Arial"/>
        <charset val="134"/>
      </rPr>
      <t>30%</t>
    </r>
  </si>
  <si>
    <r>
      <rPr>
        <b/>
        <sz val="11"/>
        <rFont val="宋体"/>
        <charset val="134"/>
      </rPr>
      <t>各修正结果之间不超过</t>
    </r>
    <r>
      <rPr>
        <b/>
        <sz val="11"/>
        <color indexed="10"/>
        <rFont val="Arial"/>
        <charset val="134"/>
      </rPr>
      <t>20%</t>
    </r>
  </si>
  <si>
    <r>
      <rPr>
        <b/>
        <sz val="11"/>
        <rFont val="宋体"/>
        <charset val="134"/>
      </rPr>
      <t>各案例间不超过</t>
    </r>
    <r>
      <rPr>
        <b/>
        <sz val="11"/>
        <color indexed="10"/>
        <rFont val="Arial"/>
        <charset val="134"/>
      </rPr>
      <t>30%</t>
    </r>
  </si>
  <si>
    <r>
      <rPr>
        <b/>
        <sz val="16"/>
        <color indexed="8"/>
        <rFont val="宋体"/>
        <charset val="134"/>
      </rPr>
      <t>各因素等级说明（</t>
    </r>
    <r>
      <rPr>
        <b/>
        <sz val="16"/>
        <color indexed="10"/>
        <rFont val="宋体"/>
        <charset val="134"/>
      </rPr>
      <t>手工录入的系数取值除建筑面积外，均应自高至低排序</t>
    </r>
    <r>
      <rPr>
        <b/>
        <sz val="16"/>
        <color indexed="8"/>
        <rFont val="宋体"/>
        <charset val="134"/>
      </rPr>
      <t>）</t>
    </r>
  </si>
  <si>
    <r>
      <rPr>
        <b/>
        <sz val="11"/>
        <color indexed="8"/>
        <rFont val="宋体"/>
        <charset val="134"/>
      </rPr>
      <t>官方公布的价格指数</t>
    </r>
    <r>
      <rPr>
        <b/>
        <sz val="11"/>
        <color indexed="8"/>
        <rFont val="Arial"/>
        <charset val="134"/>
      </rPr>
      <t>/</t>
    </r>
    <r>
      <rPr>
        <b/>
        <sz val="11"/>
        <color indexed="8"/>
        <rFont val="宋体"/>
        <charset val="134"/>
      </rPr>
      <t>增幅</t>
    </r>
  </si>
  <si>
    <r>
      <rPr>
        <b/>
        <sz val="11"/>
        <rFont val="宋体"/>
        <charset val="134"/>
      </rPr>
      <t>权益状况</t>
    </r>
  </si>
  <si>
    <r>
      <rPr>
        <sz val="11"/>
        <rFont val="Arial"/>
        <charset val="134"/>
      </rPr>
      <t>60-70</t>
    </r>
    <r>
      <rPr>
        <sz val="11"/>
        <rFont val="宋体"/>
        <charset val="134"/>
      </rPr>
      <t>（含）</t>
    </r>
  </si>
  <si>
    <r>
      <rPr>
        <sz val="11"/>
        <rFont val="Arial"/>
        <charset val="134"/>
      </rPr>
      <t>50-60</t>
    </r>
    <r>
      <rPr>
        <sz val="11"/>
        <rFont val="宋体"/>
        <charset val="134"/>
      </rPr>
      <t>（含）</t>
    </r>
  </si>
  <si>
    <r>
      <rPr>
        <sz val="11"/>
        <rFont val="Arial"/>
        <charset val="134"/>
      </rPr>
      <t>40-50</t>
    </r>
    <r>
      <rPr>
        <sz val="11"/>
        <rFont val="宋体"/>
        <charset val="134"/>
      </rPr>
      <t>（含）</t>
    </r>
  </si>
  <si>
    <r>
      <rPr>
        <sz val="11"/>
        <rFont val="Arial"/>
        <charset val="134"/>
      </rPr>
      <t>30-40</t>
    </r>
    <r>
      <rPr>
        <sz val="11"/>
        <rFont val="宋体"/>
        <charset val="134"/>
      </rPr>
      <t>（含）</t>
    </r>
  </si>
  <si>
    <r>
      <rPr>
        <sz val="11"/>
        <rFont val="Arial"/>
        <charset val="134"/>
      </rPr>
      <t>20-30</t>
    </r>
    <r>
      <rPr>
        <sz val="11"/>
        <rFont val="宋体"/>
        <charset val="134"/>
      </rPr>
      <t>（含）</t>
    </r>
  </si>
  <si>
    <r>
      <rPr>
        <sz val="11"/>
        <rFont val="Arial"/>
        <charset val="134"/>
      </rPr>
      <t>10-20</t>
    </r>
    <r>
      <rPr>
        <sz val="11"/>
        <rFont val="宋体"/>
        <charset val="134"/>
      </rPr>
      <t>（含）</t>
    </r>
  </si>
  <si>
    <r>
      <rPr>
        <sz val="11"/>
        <rFont val="Arial"/>
        <charset val="134"/>
      </rPr>
      <t>0-10</t>
    </r>
    <r>
      <rPr>
        <sz val="11"/>
        <rFont val="宋体"/>
        <charset val="134"/>
      </rPr>
      <t>（含）</t>
    </r>
  </si>
  <si>
    <r>
      <rPr>
        <sz val="11"/>
        <rFont val="宋体"/>
        <charset val="134"/>
      </rPr>
      <t>七通</t>
    </r>
  </si>
  <si>
    <r>
      <rPr>
        <sz val="11"/>
        <rFont val="宋体"/>
        <charset val="134"/>
      </rPr>
      <t>六通</t>
    </r>
  </si>
  <si>
    <r>
      <rPr>
        <sz val="11"/>
        <rFont val="宋体"/>
        <charset val="134"/>
      </rPr>
      <t>五通</t>
    </r>
  </si>
  <si>
    <r>
      <rPr>
        <sz val="11"/>
        <rFont val="宋体"/>
        <charset val="134"/>
      </rPr>
      <t>四通</t>
    </r>
  </si>
  <si>
    <r>
      <rPr>
        <sz val="11"/>
        <rFont val="宋体"/>
        <charset val="134"/>
      </rPr>
      <t>三通</t>
    </r>
  </si>
  <si>
    <r>
      <rPr>
        <sz val="11"/>
        <color rgb="FF000000"/>
        <rFont val="Arial"/>
        <charset val="134"/>
      </rPr>
      <t>2-5</t>
    </r>
    <r>
      <rPr>
        <sz val="11"/>
        <color rgb="FF000000"/>
        <rFont val="宋体"/>
        <charset val="134"/>
      </rPr>
      <t>层</t>
    </r>
  </si>
  <si>
    <t>钢混</t>
  </si>
  <si>
    <t>专业物业管理</t>
  </si>
  <si>
    <t>毛坯</t>
  </si>
  <si>
    <r>
      <rPr>
        <sz val="11"/>
        <color rgb="FFFF0000"/>
        <rFont val="宋体"/>
        <charset val="134"/>
      </rPr>
      <t>楼层修正</t>
    </r>
    <r>
      <rPr>
        <sz val="11"/>
        <color rgb="FFFF0000"/>
        <rFont val="Arial"/>
        <charset val="134"/>
      </rPr>
      <t>-2</t>
    </r>
    <r>
      <rPr>
        <sz val="11"/>
        <color rgb="FFFF0000"/>
        <rFont val="宋体"/>
        <charset val="134"/>
      </rPr>
      <t>：多层及高层同时修正时的处理，以普通无电梯多层为基准</t>
    </r>
  </si>
  <si>
    <r>
      <rPr>
        <sz val="11"/>
        <color theme="1"/>
        <rFont val="宋体"/>
        <charset val="134"/>
      </rPr>
      <t>多层</t>
    </r>
  </si>
  <si>
    <r>
      <rPr>
        <sz val="11"/>
        <color theme="1"/>
        <rFont val="宋体"/>
        <charset val="134"/>
      </rPr>
      <t>高层</t>
    </r>
  </si>
  <si>
    <r>
      <rPr>
        <sz val="11"/>
        <color theme="1"/>
        <rFont val="宋体"/>
        <charset val="134"/>
      </rPr>
      <t>无电梯</t>
    </r>
  </si>
  <si>
    <r>
      <rPr>
        <sz val="11"/>
        <color theme="1"/>
        <rFont val="宋体"/>
        <charset val="134"/>
      </rPr>
      <t>增值项</t>
    </r>
  </si>
  <si>
    <r>
      <rPr>
        <sz val="11"/>
        <color theme="1"/>
        <rFont val="宋体"/>
        <charset val="134"/>
      </rPr>
      <t>系数</t>
    </r>
  </si>
  <si>
    <r>
      <rPr>
        <sz val="11"/>
        <color theme="1"/>
        <rFont val="宋体"/>
        <charset val="134"/>
      </rPr>
      <t>有电梯</t>
    </r>
  </si>
  <si>
    <r>
      <rPr>
        <sz val="11"/>
        <color theme="1"/>
        <rFont val="宋体"/>
        <charset val="134"/>
      </rPr>
      <t>楼层数</t>
    </r>
    <r>
      <rPr>
        <sz val="11"/>
        <color theme="1"/>
        <rFont val="Arial"/>
        <charset val="134"/>
      </rPr>
      <t>/</t>
    </r>
    <r>
      <rPr>
        <sz val="11"/>
        <color theme="1"/>
        <rFont val="宋体"/>
        <charset val="134"/>
      </rPr>
      <t>位置</t>
    </r>
  </si>
  <si>
    <r>
      <rPr>
        <sz val="11"/>
        <color theme="1"/>
        <rFont val="宋体"/>
        <charset val="134"/>
      </rPr>
      <t>层差</t>
    </r>
    <r>
      <rPr>
        <sz val="11"/>
        <color theme="1"/>
        <rFont val="Arial"/>
        <charset val="134"/>
      </rPr>
      <t>/</t>
    </r>
    <r>
      <rPr>
        <sz val="11"/>
        <color theme="1"/>
        <rFont val="宋体"/>
        <charset val="134"/>
      </rPr>
      <t>系数</t>
    </r>
  </si>
  <si>
    <r>
      <rPr>
        <sz val="11"/>
        <color theme="1"/>
        <rFont val="宋体"/>
        <charset val="134"/>
      </rPr>
      <t>露台</t>
    </r>
  </si>
  <si>
    <r>
      <rPr>
        <sz val="11"/>
        <color theme="1"/>
        <rFont val="宋体"/>
        <charset val="134"/>
      </rPr>
      <t>总层数</t>
    </r>
  </si>
  <si>
    <r>
      <rPr>
        <sz val="11"/>
        <color theme="1"/>
        <rFont val="宋体"/>
        <charset val="134"/>
      </rPr>
      <t>中间层</t>
    </r>
  </si>
  <si>
    <r>
      <rPr>
        <sz val="11"/>
        <color theme="1"/>
        <rFont val="宋体"/>
        <charset val="134"/>
      </rPr>
      <t>首层</t>
    </r>
  </si>
  <si>
    <r>
      <rPr>
        <sz val="11"/>
        <color theme="1"/>
        <rFont val="宋体"/>
        <charset val="134"/>
      </rPr>
      <t>顶层</t>
    </r>
  </si>
  <si>
    <r>
      <rPr>
        <sz val="11"/>
        <color theme="1"/>
        <rFont val="宋体"/>
        <charset val="134"/>
      </rPr>
      <t>所在楼层</t>
    </r>
  </si>
  <si>
    <r>
      <rPr>
        <sz val="11"/>
        <color theme="1"/>
        <rFont val="宋体"/>
        <charset val="134"/>
      </rPr>
      <t>花园</t>
    </r>
  </si>
  <si>
    <r>
      <rPr>
        <sz val="11"/>
        <color theme="1"/>
        <rFont val="宋体"/>
        <charset val="134"/>
      </rPr>
      <t>最高最低差</t>
    </r>
  </si>
  <si>
    <r>
      <rPr>
        <sz val="12"/>
        <rFont val="宋体"/>
        <charset val="134"/>
      </rPr>
      <t>注意于无电梯多层的价值匹配</t>
    </r>
  </si>
  <si>
    <r>
      <rPr>
        <sz val="11"/>
        <color rgb="FFFF0000"/>
        <rFont val="宋体"/>
        <charset val="134"/>
      </rPr>
      <t>修正体系描述方式：</t>
    </r>
  </si>
  <si>
    <r>
      <rPr>
        <sz val="11"/>
        <color rgb="FFFF0000"/>
        <rFont val="宋体"/>
        <charset val="134"/>
      </rPr>
      <t>估价对象及比较案例的建筑类型不同，分别为多层及高层。本次评估楼层修正中，多层建筑的各层修正系数如下表，高层建筑的各楼层修正系数以多层建筑的最高最低层差系数为基准进行平均分配。</t>
    </r>
  </si>
  <si>
    <r>
      <rPr>
        <b/>
        <sz val="16"/>
        <color indexed="10"/>
        <rFont val="宋体"/>
        <charset val="134"/>
      </rPr>
      <t>收益法</t>
    </r>
    <r>
      <rPr>
        <b/>
        <sz val="12"/>
        <rFont val="宋体"/>
        <charset val="134"/>
      </rPr>
      <t>（无租约及租期内）</t>
    </r>
  </si>
  <si>
    <r>
      <rPr>
        <sz val="12"/>
        <rFont val="宋体"/>
        <charset val="134"/>
      </rPr>
      <t>元</t>
    </r>
    <r>
      <rPr>
        <sz val="12"/>
        <rFont val="Arial"/>
        <charset val="134"/>
      </rPr>
      <t>/</t>
    </r>
    <r>
      <rPr>
        <sz val="12"/>
        <rFont val="宋体"/>
        <charset val="134"/>
      </rPr>
      <t>平方米</t>
    </r>
  </si>
  <si>
    <r>
      <rPr>
        <b/>
        <sz val="16"/>
        <rFont val="宋体"/>
        <charset val="134"/>
      </rPr>
      <t>租约外</t>
    </r>
  </si>
  <si>
    <r>
      <rPr>
        <sz val="10"/>
        <color indexed="8"/>
        <rFont val="宋体"/>
        <charset val="134"/>
      </rPr>
      <t>序号</t>
    </r>
  </si>
  <si>
    <r>
      <rPr>
        <sz val="10"/>
        <color indexed="8"/>
        <rFont val="宋体"/>
        <charset val="134"/>
      </rPr>
      <t>项目</t>
    </r>
  </si>
  <si>
    <r>
      <rPr>
        <sz val="10"/>
        <color indexed="8"/>
        <rFont val="宋体"/>
        <charset val="134"/>
      </rPr>
      <t>数额</t>
    </r>
  </si>
  <si>
    <r>
      <rPr>
        <sz val="10"/>
        <color indexed="8"/>
        <rFont val="宋体"/>
        <charset val="134"/>
      </rPr>
      <t>计算公式</t>
    </r>
  </si>
  <si>
    <r>
      <rPr>
        <sz val="10"/>
        <color indexed="8"/>
        <rFont val="宋体"/>
        <charset val="134"/>
      </rPr>
      <t>取费标准</t>
    </r>
  </si>
  <si>
    <r>
      <rPr>
        <b/>
        <sz val="10"/>
        <color indexed="8"/>
        <rFont val="宋体"/>
        <charset val="134"/>
      </rPr>
      <t>未来第一年年总收益</t>
    </r>
  </si>
  <si>
    <t>（1）-（3）项合</t>
  </si>
  <si>
    <r>
      <rPr>
        <sz val="12"/>
        <rFont val="宋体"/>
        <charset val="134"/>
      </rPr>
      <t>年租金收入</t>
    </r>
    <r>
      <rPr>
        <sz val="12"/>
        <rFont val="Arial"/>
        <charset val="134"/>
      </rPr>
      <t>+</t>
    </r>
    <r>
      <rPr>
        <sz val="12"/>
        <rFont val="宋体"/>
        <charset val="134"/>
      </rPr>
      <t>押金利息收入</t>
    </r>
    <r>
      <rPr>
        <sz val="12"/>
        <rFont val="Arial"/>
        <charset val="134"/>
      </rPr>
      <t>+</t>
    </r>
    <r>
      <rPr>
        <sz val="12"/>
        <rFont val="宋体"/>
        <charset val="134"/>
      </rPr>
      <t>其他收入</t>
    </r>
  </si>
  <si>
    <r>
      <rPr>
        <sz val="10"/>
        <color indexed="8"/>
        <rFont val="宋体"/>
        <charset val="134"/>
      </rPr>
      <t>年租金收入（年经营收入）</t>
    </r>
  </si>
  <si>
    <r>
      <rPr>
        <sz val="10"/>
        <color indexed="8"/>
        <rFont val="宋体"/>
        <charset val="134"/>
      </rPr>
      <t>租金</t>
    </r>
    <r>
      <rPr>
        <sz val="10"/>
        <color indexed="8"/>
        <rFont val="Arial"/>
        <charset val="134"/>
      </rPr>
      <t>×</t>
    </r>
    <r>
      <rPr>
        <sz val="10"/>
        <color indexed="8"/>
        <rFont val="宋体"/>
        <charset val="134"/>
      </rPr>
      <t>天数</t>
    </r>
    <r>
      <rPr>
        <sz val="10"/>
        <color indexed="8"/>
        <rFont val="Arial"/>
        <charset val="134"/>
      </rPr>
      <t>×</t>
    </r>
    <r>
      <rPr>
        <sz val="10"/>
        <color indexed="8"/>
        <rFont val="宋体"/>
        <charset val="134"/>
      </rPr>
      <t>建筑面积</t>
    </r>
    <r>
      <rPr>
        <sz val="10"/>
        <color indexed="8"/>
        <rFont val="Arial"/>
        <charset val="134"/>
      </rPr>
      <t>×</t>
    </r>
    <r>
      <rPr>
        <sz val="10"/>
        <color indexed="8"/>
        <rFont val="宋体"/>
        <charset val="134"/>
      </rPr>
      <t>（</t>
    </r>
    <r>
      <rPr>
        <sz val="10"/>
        <color indexed="8"/>
        <rFont val="Arial"/>
        <charset val="134"/>
      </rPr>
      <t>1-</t>
    </r>
    <r>
      <rPr>
        <sz val="10"/>
        <color indexed="8"/>
        <rFont val="宋体"/>
        <charset val="134"/>
      </rPr>
      <t>空置率）</t>
    </r>
  </si>
  <si>
    <r>
      <rPr>
        <sz val="10"/>
        <color indexed="8"/>
        <rFont val="宋体"/>
        <charset val="134"/>
      </rPr>
      <t>租金</t>
    </r>
  </si>
  <si>
    <r>
      <rPr>
        <sz val="10"/>
        <color indexed="8"/>
        <rFont val="宋体"/>
        <charset val="134"/>
      </rPr>
      <t>面积</t>
    </r>
    <r>
      <rPr>
        <sz val="10"/>
        <color indexed="8"/>
        <rFont val="Arial"/>
        <charset val="134"/>
      </rPr>
      <t>/</t>
    </r>
    <r>
      <rPr>
        <sz val="10"/>
        <color indexed="8"/>
        <rFont val="宋体"/>
        <charset val="134"/>
      </rPr>
      <t>个数</t>
    </r>
  </si>
  <si>
    <r>
      <rPr>
        <sz val="10"/>
        <color indexed="8"/>
        <rFont val="宋体"/>
        <charset val="134"/>
      </rPr>
      <t>日</t>
    </r>
    <r>
      <rPr>
        <sz val="10"/>
        <color indexed="8"/>
        <rFont val="Arial"/>
        <charset val="134"/>
      </rPr>
      <t>/</t>
    </r>
    <r>
      <rPr>
        <sz val="10"/>
        <color indexed="8"/>
        <rFont val="宋体"/>
        <charset val="134"/>
      </rPr>
      <t>月</t>
    </r>
    <r>
      <rPr>
        <sz val="10"/>
        <color indexed="8"/>
        <rFont val="Arial"/>
        <charset val="134"/>
      </rPr>
      <t>/</t>
    </r>
    <r>
      <rPr>
        <sz val="10"/>
        <color indexed="8"/>
        <rFont val="宋体"/>
        <charset val="134"/>
      </rPr>
      <t>年</t>
    </r>
  </si>
  <si>
    <r>
      <rPr>
        <sz val="10"/>
        <color indexed="8"/>
        <rFont val="宋体"/>
        <charset val="134"/>
      </rPr>
      <t>天</t>
    </r>
    <r>
      <rPr>
        <sz val="10"/>
        <color indexed="8"/>
        <rFont val="Arial"/>
        <charset val="134"/>
      </rPr>
      <t>/</t>
    </r>
    <r>
      <rPr>
        <sz val="10"/>
        <color indexed="8"/>
        <rFont val="宋体"/>
        <charset val="134"/>
      </rPr>
      <t>月</t>
    </r>
  </si>
  <si>
    <r>
      <rPr>
        <sz val="10"/>
        <color indexed="8"/>
        <rFont val="宋体"/>
        <charset val="134"/>
      </rPr>
      <t>空置率（</t>
    </r>
    <r>
      <rPr>
        <sz val="10"/>
        <color indexed="8"/>
        <rFont val="Arial"/>
        <charset val="134"/>
      </rPr>
      <t>%</t>
    </r>
    <r>
      <rPr>
        <sz val="10"/>
        <color indexed="8"/>
        <rFont val="宋体"/>
        <charset val="134"/>
      </rPr>
      <t>）</t>
    </r>
  </si>
  <si>
    <r>
      <rPr>
        <sz val="10"/>
        <color indexed="8"/>
        <rFont val="宋体"/>
        <charset val="134"/>
      </rPr>
      <t>押金利息收入</t>
    </r>
  </si>
  <si>
    <r>
      <rPr>
        <sz val="10"/>
        <color indexed="8"/>
        <rFont val="宋体"/>
        <charset val="134"/>
      </rPr>
      <t>押金</t>
    </r>
    <r>
      <rPr>
        <sz val="10"/>
        <color indexed="8"/>
        <rFont val="Arial"/>
        <charset val="134"/>
      </rPr>
      <t>×</t>
    </r>
    <r>
      <rPr>
        <sz val="10"/>
        <color indexed="8"/>
        <rFont val="宋体"/>
        <charset val="134"/>
      </rPr>
      <t>一年期存款利率</t>
    </r>
  </si>
  <si>
    <r>
      <rPr>
        <sz val="10"/>
        <color indexed="8"/>
        <rFont val="宋体"/>
        <charset val="134"/>
      </rPr>
      <t>押金方式</t>
    </r>
  </si>
  <si>
    <r>
      <rPr>
        <sz val="12"/>
        <rFont val="宋体"/>
        <charset val="134"/>
      </rPr>
      <t>押一</t>
    </r>
  </si>
  <si>
    <r>
      <rPr>
        <i/>
        <sz val="10"/>
        <color indexed="8"/>
        <rFont val="宋体"/>
        <charset val="134"/>
      </rPr>
      <t>（合同押金）</t>
    </r>
  </si>
  <si>
    <r>
      <rPr>
        <sz val="10"/>
        <color indexed="8"/>
        <rFont val="宋体"/>
        <charset val="134"/>
      </rPr>
      <t>一年期存款利率</t>
    </r>
  </si>
  <si>
    <r>
      <rPr>
        <i/>
        <sz val="10"/>
        <color indexed="8"/>
        <rFont val="宋体"/>
        <charset val="134"/>
      </rPr>
      <t>自定义押金</t>
    </r>
  </si>
  <si>
    <r>
      <rPr>
        <sz val="10"/>
        <color indexed="8"/>
        <rFont val="宋体"/>
        <charset val="134"/>
      </rPr>
      <t>其他收入</t>
    </r>
  </si>
  <si>
    <r>
      <rPr>
        <b/>
        <sz val="10"/>
        <color indexed="8"/>
        <rFont val="宋体"/>
        <charset val="134"/>
      </rPr>
      <t>建筑物现值</t>
    </r>
  </si>
  <si>
    <r>
      <rPr>
        <sz val="10"/>
        <color indexed="8"/>
        <rFont val="宋体"/>
        <charset val="134"/>
      </rPr>
      <t>建筑物重置价值</t>
    </r>
    <r>
      <rPr>
        <sz val="10"/>
        <color indexed="8"/>
        <rFont val="Arial"/>
        <charset val="134"/>
      </rPr>
      <t>×</t>
    </r>
    <r>
      <rPr>
        <sz val="10"/>
        <color indexed="8"/>
        <rFont val="宋体"/>
        <charset val="134"/>
      </rPr>
      <t>成新度</t>
    </r>
  </si>
  <si>
    <r>
      <rPr>
        <sz val="10"/>
        <color indexed="8"/>
        <rFont val="宋体"/>
        <charset val="134"/>
      </rPr>
      <t>成新度（</t>
    </r>
    <r>
      <rPr>
        <sz val="10"/>
        <color indexed="8"/>
        <rFont val="Arial"/>
        <charset val="134"/>
      </rPr>
      <t>%</t>
    </r>
    <r>
      <rPr>
        <sz val="10"/>
        <color indexed="8"/>
        <rFont val="宋体"/>
        <charset val="134"/>
      </rPr>
      <t>）</t>
    </r>
  </si>
  <si>
    <r>
      <rPr>
        <sz val="10"/>
        <color indexed="8"/>
        <rFont val="宋体"/>
        <charset val="134"/>
      </rPr>
      <t>建安费用</t>
    </r>
  </si>
  <si>
    <r>
      <rPr>
        <sz val="10"/>
        <color indexed="8"/>
        <rFont val="宋体"/>
        <charset val="134"/>
      </rPr>
      <t>建安单价</t>
    </r>
    <r>
      <rPr>
        <sz val="10"/>
        <color indexed="8"/>
        <rFont val="Arial"/>
        <charset val="134"/>
      </rPr>
      <t>×</t>
    </r>
    <r>
      <rPr>
        <sz val="10"/>
        <color indexed="8"/>
        <rFont val="宋体"/>
        <charset val="134"/>
      </rPr>
      <t>建筑面积</t>
    </r>
  </si>
  <si>
    <r>
      <rPr>
        <sz val="10"/>
        <color indexed="8"/>
        <rFont val="宋体"/>
        <charset val="134"/>
      </rPr>
      <t>建筑物重置价值</t>
    </r>
  </si>
  <si>
    <r>
      <rPr>
        <sz val="10"/>
        <color indexed="8"/>
        <rFont val="宋体"/>
        <charset val="134"/>
      </rPr>
      <t>建安费用</t>
    </r>
    <r>
      <rPr>
        <sz val="10"/>
        <color indexed="8"/>
        <rFont val="Arial"/>
        <charset val="134"/>
      </rPr>
      <t>×</t>
    </r>
    <r>
      <rPr>
        <sz val="10"/>
        <color indexed="8"/>
        <rFont val="宋体"/>
        <charset val="134"/>
      </rPr>
      <t>费率</t>
    </r>
  </si>
  <si>
    <r>
      <rPr>
        <sz val="10"/>
        <color indexed="8"/>
        <rFont val="宋体"/>
        <charset val="134"/>
      </rPr>
      <t>费率（</t>
    </r>
    <r>
      <rPr>
        <sz val="10"/>
        <color indexed="8"/>
        <rFont val="Arial"/>
        <charset val="134"/>
      </rPr>
      <t>%</t>
    </r>
    <r>
      <rPr>
        <sz val="10"/>
        <color indexed="8"/>
        <rFont val="宋体"/>
        <charset val="134"/>
      </rPr>
      <t>）</t>
    </r>
  </si>
  <si>
    <r>
      <rPr>
        <b/>
        <sz val="10"/>
        <color indexed="8"/>
        <rFont val="宋体"/>
        <charset val="134"/>
      </rPr>
      <t>年经营费用</t>
    </r>
  </si>
  <si>
    <r>
      <rPr>
        <sz val="10"/>
        <color indexed="8"/>
        <rFont val="宋体"/>
        <charset val="134"/>
      </rPr>
      <t>税费</t>
    </r>
    <r>
      <rPr>
        <sz val="10"/>
        <color indexed="8"/>
        <rFont val="Arial"/>
        <charset val="134"/>
      </rPr>
      <t>+</t>
    </r>
    <r>
      <rPr>
        <sz val="10"/>
        <color indexed="8"/>
        <rFont val="宋体"/>
        <charset val="134"/>
      </rPr>
      <t>维修费</t>
    </r>
    <r>
      <rPr>
        <sz val="10"/>
        <color indexed="8"/>
        <rFont val="Arial"/>
        <charset val="134"/>
      </rPr>
      <t>+</t>
    </r>
    <r>
      <rPr>
        <sz val="10"/>
        <color indexed="8"/>
        <rFont val="宋体"/>
        <charset val="134"/>
      </rPr>
      <t>保险费</t>
    </r>
    <r>
      <rPr>
        <sz val="10"/>
        <color indexed="8"/>
        <rFont val="Arial"/>
        <charset val="134"/>
      </rPr>
      <t>+</t>
    </r>
    <r>
      <rPr>
        <sz val="10"/>
        <color indexed="8"/>
        <rFont val="宋体"/>
        <charset val="134"/>
      </rPr>
      <t>管理费</t>
    </r>
  </si>
  <si>
    <r>
      <rPr>
        <sz val="10"/>
        <color indexed="8"/>
        <rFont val="Arial"/>
        <charset val="134"/>
      </rPr>
      <t>4</t>
    </r>
    <r>
      <rPr>
        <sz val="10"/>
        <color indexed="8"/>
        <rFont val="宋体"/>
        <charset val="134"/>
      </rPr>
      <t>）</t>
    </r>
  </si>
  <si>
    <r>
      <rPr>
        <sz val="10"/>
        <color indexed="8"/>
        <rFont val="宋体"/>
        <charset val="134"/>
      </rPr>
      <t>基础设施建设费</t>
    </r>
  </si>
  <si>
    <r>
      <rPr>
        <sz val="10"/>
        <color indexed="8"/>
        <rFont val="宋体"/>
        <charset val="134"/>
      </rPr>
      <t>建筑面积</t>
    </r>
    <r>
      <rPr>
        <sz val="10"/>
        <color indexed="8"/>
        <rFont val="Arial"/>
        <charset val="134"/>
      </rPr>
      <t>×</t>
    </r>
    <r>
      <rPr>
        <sz val="10"/>
        <color indexed="8"/>
        <rFont val="宋体"/>
        <charset val="134"/>
      </rPr>
      <t>取费标准</t>
    </r>
  </si>
  <si>
    <r>
      <rPr>
        <sz val="10"/>
        <color indexed="8"/>
        <rFont val="宋体"/>
        <charset val="134"/>
      </rPr>
      <t>市政费用（元</t>
    </r>
    <r>
      <rPr>
        <sz val="10"/>
        <color indexed="8"/>
        <rFont val="Arial"/>
        <charset val="134"/>
      </rPr>
      <t>/</t>
    </r>
    <r>
      <rPr>
        <sz val="10"/>
        <color indexed="8"/>
        <rFont val="宋体"/>
        <charset val="134"/>
      </rPr>
      <t>㎡）</t>
    </r>
  </si>
  <si>
    <r>
      <rPr>
        <sz val="10"/>
        <color indexed="8"/>
        <rFont val="宋体"/>
        <charset val="134"/>
      </rPr>
      <t>税</t>
    </r>
    <r>
      <rPr>
        <sz val="10"/>
        <color indexed="8"/>
        <rFont val="Arial"/>
        <charset val="134"/>
      </rPr>
      <t xml:space="preserve">  </t>
    </r>
    <r>
      <rPr>
        <sz val="10"/>
        <color indexed="8"/>
        <rFont val="宋体"/>
        <charset val="134"/>
      </rPr>
      <t>费</t>
    </r>
  </si>
  <si>
    <r>
      <rPr>
        <sz val="10"/>
        <color indexed="8"/>
        <rFont val="宋体"/>
        <charset val="134"/>
      </rPr>
      <t>两税一费</t>
    </r>
    <r>
      <rPr>
        <sz val="10"/>
        <color indexed="8"/>
        <rFont val="Arial"/>
        <charset val="134"/>
      </rPr>
      <t>+</t>
    </r>
    <r>
      <rPr>
        <sz val="10"/>
        <color indexed="8"/>
        <rFont val="宋体"/>
        <charset val="134"/>
      </rPr>
      <t>房产税</t>
    </r>
    <r>
      <rPr>
        <sz val="10"/>
        <color indexed="8"/>
        <rFont val="Arial"/>
        <charset val="134"/>
      </rPr>
      <t>+</t>
    </r>
    <r>
      <rPr>
        <sz val="10"/>
        <color indexed="8"/>
        <rFont val="宋体"/>
        <charset val="134"/>
      </rPr>
      <t>城镇土地使用税</t>
    </r>
  </si>
  <si>
    <r>
      <rPr>
        <sz val="10"/>
        <color indexed="8"/>
        <rFont val="宋体"/>
        <charset val="134"/>
      </rPr>
      <t>综合税率</t>
    </r>
  </si>
  <si>
    <r>
      <rPr>
        <sz val="10"/>
        <color indexed="8"/>
        <rFont val="Arial"/>
        <charset val="134"/>
      </rPr>
      <t>5</t>
    </r>
    <r>
      <rPr>
        <sz val="10"/>
        <color indexed="8"/>
        <rFont val="宋体"/>
        <charset val="134"/>
      </rPr>
      <t>）</t>
    </r>
  </si>
  <si>
    <r>
      <rPr>
        <sz val="10"/>
        <color indexed="8"/>
        <rFont val="宋体"/>
        <charset val="134"/>
      </rPr>
      <t>两税两费</t>
    </r>
  </si>
  <si>
    <r>
      <rPr>
        <sz val="10"/>
        <color indexed="8"/>
        <rFont val="宋体"/>
        <charset val="134"/>
      </rPr>
      <t>年租金收入</t>
    </r>
    <r>
      <rPr>
        <sz val="10"/>
        <color indexed="8"/>
        <rFont val="Arial"/>
        <charset val="134"/>
      </rPr>
      <t>×</t>
    </r>
    <r>
      <rPr>
        <sz val="10"/>
        <color indexed="8"/>
        <rFont val="宋体"/>
        <charset val="134"/>
      </rPr>
      <t>费率</t>
    </r>
    <r>
      <rPr>
        <sz val="10"/>
        <color indexed="8"/>
        <rFont val="Arial"/>
        <charset val="134"/>
      </rPr>
      <t>/(1+5%)</t>
    </r>
  </si>
  <si>
    <r>
      <rPr>
        <sz val="10"/>
        <color indexed="8"/>
        <rFont val="宋体"/>
        <charset val="134"/>
      </rPr>
      <t>建造成本</t>
    </r>
  </si>
  <si>
    <r>
      <rPr>
        <sz val="10"/>
        <color indexed="8"/>
        <rFont val="宋体"/>
        <charset val="134"/>
      </rPr>
      <t>建安费用</t>
    </r>
    <r>
      <rPr>
        <sz val="10"/>
        <color indexed="8"/>
        <rFont val="Arial"/>
        <charset val="134"/>
      </rPr>
      <t>+</t>
    </r>
    <r>
      <rPr>
        <sz val="10"/>
        <color indexed="8"/>
        <rFont val="宋体"/>
        <charset val="134"/>
      </rPr>
      <t>公共配套设施费用</t>
    </r>
    <r>
      <rPr>
        <sz val="10"/>
        <color indexed="8"/>
        <rFont val="Arial"/>
        <charset val="134"/>
      </rPr>
      <t>+</t>
    </r>
    <r>
      <rPr>
        <sz val="10"/>
        <color indexed="8"/>
        <rFont val="宋体"/>
        <charset val="134"/>
      </rPr>
      <t>基础设施建设费</t>
    </r>
    <r>
      <rPr>
        <sz val="10"/>
        <color indexed="8"/>
        <rFont val="Arial"/>
        <charset val="134"/>
      </rPr>
      <t>+</t>
    </r>
    <r>
      <rPr>
        <sz val="10"/>
        <color indexed="8"/>
        <rFont val="宋体"/>
        <charset val="134"/>
      </rPr>
      <t>相关税费</t>
    </r>
  </si>
  <si>
    <r>
      <rPr>
        <sz val="10"/>
        <color indexed="8"/>
        <rFont val="宋体"/>
        <charset val="134"/>
      </rPr>
      <t>房产税</t>
    </r>
  </si>
  <si>
    <r>
      <rPr>
        <sz val="10"/>
        <color indexed="8"/>
        <rFont val="宋体"/>
        <charset val="134"/>
      </rPr>
      <t>管理费用</t>
    </r>
  </si>
  <si>
    <r>
      <rPr>
        <sz val="10"/>
        <color indexed="8"/>
        <rFont val="宋体"/>
        <charset val="134"/>
      </rPr>
      <t>建造成本</t>
    </r>
    <r>
      <rPr>
        <sz val="10"/>
        <color indexed="8"/>
        <rFont val="Arial"/>
        <charset val="134"/>
      </rPr>
      <t>×</t>
    </r>
    <r>
      <rPr>
        <sz val="10"/>
        <color indexed="8"/>
        <rFont val="宋体"/>
        <charset val="134"/>
      </rPr>
      <t>费率</t>
    </r>
  </si>
  <si>
    <r>
      <rPr>
        <sz val="10"/>
        <color indexed="8"/>
        <rFont val="宋体"/>
        <charset val="134"/>
      </rPr>
      <t>城镇土地使用税</t>
    </r>
  </si>
  <si>
    <r>
      <rPr>
        <sz val="10"/>
        <color indexed="8"/>
        <rFont val="宋体"/>
        <charset val="134"/>
      </rPr>
      <t>土地面积</t>
    </r>
    <r>
      <rPr>
        <sz val="10"/>
        <color indexed="8"/>
        <rFont val="Arial"/>
        <charset val="134"/>
      </rPr>
      <t>×</t>
    </r>
    <r>
      <rPr>
        <sz val="10"/>
        <color indexed="8"/>
        <rFont val="宋体"/>
        <charset val="134"/>
      </rPr>
      <t>取费标准</t>
    </r>
  </si>
  <si>
    <r>
      <rPr>
        <sz val="10"/>
        <color indexed="8"/>
        <rFont val="宋体"/>
        <charset val="134"/>
      </rPr>
      <t>纳税标准（元</t>
    </r>
    <r>
      <rPr>
        <sz val="10"/>
        <color indexed="8"/>
        <rFont val="Arial"/>
        <charset val="134"/>
      </rPr>
      <t>/</t>
    </r>
    <r>
      <rPr>
        <sz val="10"/>
        <color indexed="8"/>
        <rFont val="宋体"/>
        <charset val="134"/>
      </rPr>
      <t>㎡）</t>
    </r>
  </si>
  <si>
    <r>
      <rPr>
        <sz val="10"/>
        <color indexed="8"/>
        <rFont val="宋体"/>
        <charset val="134"/>
      </rPr>
      <t>销售费用</t>
    </r>
  </si>
  <si>
    <r>
      <rPr>
        <sz val="10"/>
        <color indexed="8"/>
        <rFont val="宋体"/>
        <charset val="134"/>
      </rPr>
      <t>建筑物重置价值</t>
    </r>
    <r>
      <rPr>
        <sz val="10"/>
        <color indexed="8"/>
        <rFont val="Arial"/>
        <charset val="134"/>
      </rPr>
      <t>×</t>
    </r>
    <r>
      <rPr>
        <sz val="10"/>
        <color indexed="8"/>
        <rFont val="宋体"/>
        <charset val="134"/>
      </rPr>
      <t>费率</t>
    </r>
  </si>
  <si>
    <r>
      <rPr>
        <sz val="10"/>
        <color indexed="8"/>
        <rFont val="宋体"/>
        <charset val="134"/>
      </rPr>
      <t>销售费率（</t>
    </r>
    <r>
      <rPr>
        <sz val="10"/>
        <color indexed="8"/>
        <rFont val="Arial"/>
        <charset val="134"/>
      </rPr>
      <t>%</t>
    </r>
    <r>
      <rPr>
        <sz val="10"/>
        <color indexed="8"/>
        <rFont val="宋体"/>
        <charset val="134"/>
      </rPr>
      <t>）</t>
    </r>
  </si>
  <si>
    <r>
      <rPr>
        <sz val="10"/>
        <color indexed="8"/>
        <rFont val="宋体"/>
        <charset val="134"/>
      </rPr>
      <t>土地面积（㎡）</t>
    </r>
  </si>
  <si>
    <r>
      <rPr>
        <sz val="10"/>
        <color indexed="8"/>
        <rFont val="宋体"/>
        <charset val="134"/>
      </rPr>
      <t>贷款利息</t>
    </r>
  </si>
  <si>
    <r>
      <rPr>
        <sz val="10"/>
        <color indexed="8"/>
        <rFont val="宋体"/>
        <charset val="134"/>
      </rPr>
      <t>维修费</t>
    </r>
  </si>
  <si>
    <r>
      <rPr>
        <sz val="10"/>
        <color indexed="8"/>
        <rFont val="宋体"/>
        <charset val="134"/>
      </rPr>
      <t>建筑物重置价值</t>
    </r>
    <r>
      <rPr>
        <sz val="10"/>
        <color indexed="8"/>
        <rFont val="Arial"/>
        <charset val="134"/>
      </rPr>
      <t>×</t>
    </r>
    <r>
      <rPr>
        <sz val="10"/>
        <color indexed="8"/>
        <rFont val="宋体"/>
        <charset val="134"/>
      </rPr>
      <t>维修费率</t>
    </r>
  </si>
  <si>
    <r>
      <rPr>
        <sz val="10"/>
        <color indexed="8"/>
        <rFont val="宋体"/>
        <charset val="134"/>
      </rPr>
      <t>（</t>
    </r>
    <r>
      <rPr>
        <sz val="10"/>
        <color indexed="8"/>
        <rFont val="Arial"/>
        <charset val="134"/>
      </rPr>
      <t>1</t>
    </r>
    <r>
      <rPr>
        <sz val="10"/>
        <color indexed="8"/>
        <rFont val="宋体"/>
        <charset val="134"/>
      </rPr>
      <t>）、（</t>
    </r>
    <r>
      <rPr>
        <sz val="10"/>
        <color indexed="8"/>
        <rFont val="Arial"/>
        <charset val="134"/>
      </rPr>
      <t>2</t>
    </r>
    <r>
      <rPr>
        <sz val="10"/>
        <color indexed="8"/>
        <rFont val="宋体"/>
        <charset val="134"/>
      </rPr>
      <t>）项产生的利息</t>
    </r>
  </si>
  <si>
    <r>
      <rPr>
        <sz val="10"/>
        <color indexed="8"/>
        <rFont val="宋体"/>
        <charset val="134"/>
      </rPr>
      <t>建设周期（年）</t>
    </r>
  </si>
  <si>
    <r>
      <rPr>
        <sz val="10"/>
        <color indexed="8"/>
        <rFont val="宋体"/>
        <charset val="134"/>
      </rPr>
      <t>保险费</t>
    </r>
  </si>
  <si>
    <r>
      <rPr>
        <sz val="10"/>
        <color indexed="8"/>
        <rFont val="宋体"/>
        <charset val="134"/>
      </rPr>
      <t>现值</t>
    </r>
    <r>
      <rPr>
        <sz val="10"/>
        <color indexed="8"/>
        <rFont val="Arial"/>
        <charset val="134"/>
      </rPr>
      <t>×</t>
    </r>
    <r>
      <rPr>
        <sz val="10"/>
        <color indexed="8"/>
        <rFont val="宋体"/>
        <charset val="134"/>
      </rPr>
      <t>保险费率</t>
    </r>
  </si>
  <si>
    <r>
      <rPr>
        <sz val="10"/>
        <color indexed="8"/>
        <rFont val="宋体"/>
        <charset val="134"/>
      </rPr>
      <t>销售费用产生的利息</t>
    </r>
  </si>
  <si>
    <r>
      <rPr>
        <sz val="10"/>
        <color indexed="8"/>
        <rFont val="宋体"/>
        <charset val="134"/>
      </rPr>
      <t>利息（</t>
    </r>
    <r>
      <rPr>
        <sz val="10"/>
        <color indexed="8"/>
        <rFont val="Arial"/>
        <charset val="134"/>
      </rPr>
      <t>%</t>
    </r>
    <r>
      <rPr>
        <sz val="10"/>
        <color indexed="8"/>
        <rFont val="宋体"/>
        <charset val="134"/>
      </rPr>
      <t>）</t>
    </r>
  </si>
  <si>
    <r>
      <rPr>
        <sz val="10"/>
        <color indexed="8"/>
        <rFont val="宋体"/>
        <charset val="134"/>
      </rPr>
      <t>年总收益</t>
    </r>
    <r>
      <rPr>
        <sz val="10"/>
        <color indexed="8"/>
        <rFont val="Arial"/>
        <charset val="134"/>
      </rPr>
      <t>×</t>
    </r>
    <r>
      <rPr>
        <sz val="10"/>
        <color indexed="8"/>
        <rFont val="宋体"/>
        <charset val="134"/>
      </rPr>
      <t>费率</t>
    </r>
  </si>
  <si>
    <r>
      <rPr>
        <sz val="10"/>
        <color indexed="8"/>
        <rFont val="宋体"/>
        <charset val="134"/>
      </rPr>
      <t>利润</t>
    </r>
  </si>
  <si>
    <r>
      <rPr>
        <sz val="10"/>
        <color indexed="8"/>
        <rFont val="宋体"/>
        <charset val="134"/>
      </rPr>
      <t>（建造成本</t>
    </r>
    <r>
      <rPr>
        <sz val="10"/>
        <color indexed="8"/>
        <rFont val="Arial"/>
        <charset val="134"/>
      </rPr>
      <t>+</t>
    </r>
    <r>
      <rPr>
        <sz val="10"/>
        <color indexed="8"/>
        <rFont val="宋体"/>
        <charset val="134"/>
      </rPr>
      <t>管理费用</t>
    </r>
    <r>
      <rPr>
        <sz val="10"/>
        <color indexed="8"/>
        <rFont val="Arial"/>
        <charset val="134"/>
      </rPr>
      <t>+</t>
    </r>
    <r>
      <rPr>
        <sz val="10"/>
        <color indexed="8"/>
        <rFont val="宋体"/>
        <charset val="134"/>
      </rPr>
      <t>销售费用）</t>
    </r>
    <r>
      <rPr>
        <sz val="10"/>
        <color indexed="8"/>
        <rFont val="Arial"/>
        <charset val="134"/>
      </rPr>
      <t>×</t>
    </r>
    <r>
      <rPr>
        <sz val="10"/>
        <color indexed="8"/>
        <rFont val="宋体"/>
        <charset val="134"/>
      </rPr>
      <t>利润率</t>
    </r>
  </si>
  <si>
    <r>
      <rPr>
        <b/>
        <sz val="10"/>
        <color indexed="8"/>
        <rFont val="宋体"/>
        <charset val="134"/>
      </rPr>
      <t>房地产未来第一年净收益</t>
    </r>
  </si>
  <si>
    <r>
      <rPr>
        <sz val="10"/>
        <color indexed="8"/>
        <rFont val="宋体"/>
        <charset val="134"/>
      </rPr>
      <t>年总收益</t>
    </r>
    <r>
      <rPr>
        <sz val="10"/>
        <color indexed="8"/>
        <rFont val="Arial"/>
        <charset val="134"/>
      </rPr>
      <t>-</t>
    </r>
    <r>
      <rPr>
        <sz val="10"/>
        <color indexed="8"/>
        <rFont val="宋体"/>
        <charset val="134"/>
      </rPr>
      <t>年经营费用</t>
    </r>
  </si>
  <si>
    <r>
      <rPr>
        <sz val="10"/>
        <color indexed="8"/>
        <rFont val="宋体"/>
        <charset val="134"/>
      </rPr>
      <t>（</t>
    </r>
    <r>
      <rPr>
        <sz val="10"/>
        <color indexed="8"/>
        <rFont val="Arial"/>
        <charset val="134"/>
      </rPr>
      <t>1</t>
    </r>
    <r>
      <rPr>
        <sz val="10"/>
        <color indexed="8"/>
        <rFont val="宋体"/>
        <charset val="134"/>
      </rPr>
      <t>）、（</t>
    </r>
    <r>
      <rPr>
        <sz val="10"/>
        <color indexed="8"/>
        <rFont val="Arial"/>
        <charset val="134"/>
      </rPr>
      <t>2</t>
    </r>
    <r>
      <rPr>
        <sz val="10"/>
        <color indexed="8"/>
        <rFont val="宋体"/>
        <charset val="134"/>
      </rPr>
      <t>）项产生的利润</t>
    </r>
  </si>
  <si>
    <r>
      <rPr>
        <sz val="10"/>
        <color indexed="8"/>
        <rFont val="宋体"/>
        <charset val="134"/>
      </rPr>
      <t>（建造成本</t>
    </r>
    <r>
      <rPr>
        <sz val="10"/>
        <color indexed="8"/>
        <rFont val="Arial"/>
        <charset val="134"/>
      </rPr>
      <t>+</t>
    </r>
    <r>
      <rPr>
        <sz val="10"/>
        <color indexed="8"/>
        <rFont val="宋体"/>
        <charset val="134"/>
      </rPr>
      <t>管理费用）</t>
    </r>
    <r>
      <rPr>
        <sz val="10"/>
        <color indexed="8"/>
        <rFont val="Arial"/>
        <charset val="134"/>
      </rPr>
      <t>×</t>
    </r>
    <r>
      <rPr>
        <sz val="10"/>
        <color indexed="8"/>
        <rFont val="宋体"/>
        <charset val="134"/>
      </rPr>
      <t>利润率</t>
    </r>
  </si>
  <si>
    <r>
      <rPr>
        <sz val="10"/>
        <color indexed="8"/>
        <rFont val="宋体"/>
        <charset val="134"/>
      </rPr>
      <t>利润率（</t>
    </r>
    <r>
      <rPr>
        <sz val="10"/>
        <color indexed="8"/>
        <rFont val="Arial"/>
        <charset val="134"/>
      </rPr>
      <t>%</t>
    </r>
    <r>
      <rPr>
        <sz val="10"/>
        <color indexed="8"/>
        <rFont val="宋体"/>
        <charset val="134"/>
      </rPr>
      <t>）</t>
    </r>
  </si>
  <si>
    <r>
      <rPr>
        <b/>
        <sz val="10"/>
        <color indexed="8"/>
        <rFont val="宋体"/>
        <charset val="134"/>
      </rPr>
      <t>租约外房地产收益价值</t>
    </r>
  </si>
  <si>
    <r>
      <rPr>
        <sz val="10"/>
        <color indexed="8"/>
        <rFont val="宋体"/>
        <charset val="134"/>
      </rPr>
      <t>房地产未来第一年净收益</t>
    </r>
    <r>
      <rPr>
        <sz val="10"/>
        <color indexed="8"/>
        <rFont val="Arial"/>
        <charset val="134"/>
      </rPr>
      <t>×</t>
    </r>
  </si>
  <si>
    <r>
      <rPr>
        <sz val="10"/>
        <color indexed="8"/>
        <rFont val="宋体"/>
        <charset val="134"/>
      </rPr>
      <t>报酬率（</t>
    </r>
    <r>
      <rPr>
        <sz val="10"/>
        <color indexed="8"/>
        <rFont val="Arial"/>
        <charset val="134"/>
      </rPr>
      <t>Y</t>
    </r>
    <r>
      <rPr>
        <sz val="10"/>
        <color indexed="8"/>
        <rFont val="宋体"/>
        <charset val="134"/>
      </rPr>
      <t>）</t>
    </r>
  </si>
  <si>
    <r>
      <rPr>
        <sz val="10"/>
        <color indexed="8"/>
        <rFont val="宋体"/>
        <charset val="134"/>
      </rPr>
      <t>销售费用产生的利润</t>
    </r>
  </si>
  <si>
    <r>
      <rPr>
        <sz val="10"/>
        <color indexed="8"/>
        <rFont val="宋体"/>
        <charset val="134"/>
      </rPr>
      <t>销售费用</t>
    </r>
    <r>
      <rPr>
        <sz val="10"/>
        <color indexed="8"/>
        <rFont val="Arial"/>
        <charset val="134"/>
      </rPr>
      <t>×</t>
    </r>
    <r>
      <rPr>
        <sz val="10"/>
        <color indexed="8"/>
        <rFont val="宋体"/>
        <charset val="134"/>
      </rPr>
      <t>利润率</t>
    </r>
  </si>
  <si>
    <r>
      <rPr>
        <sz val="10"/>
        <color indexed="8"/>
        <rFont val="Arial"/>
        <charset val="134"/>
      </rPr>
      <t>[1-</t>
    </r>
    <r>
      <rPr>
        <sz val="10"/>
        <color indexed="8"/>
        <rFont val="宋体"/>
        <charset val="134"/>
      </rPr>
      <t>（</t>
    </r>
    <r>
      <rPr>
        <sz val="10"/>
        <color indexed="8"/>
        <rFont val="Arial"/>
        <charset val="134"/>
      </rPr>
      <t>(1+g)/(1+Y)</t>
    </r>
    <r>
      <rPr>
        <sz val="10"/>
        <color indexed="8"/>
        <rFont val="宋体"/>
        <charset val="134"/>
      </rPr>
      <t>）</t>
    </r>
    <r>
      <rPr>
        <sz val="10"/>
        <color indexed="8"/>
        <rFont val="Arial"/>
        <charset val="134"/>
      </rPr>
      <t xml:space="preserve"> ^n ]/(Y-g)</t>
    </r>
  </si>
  <si>
    <r>
      <rPr>
        <sz val="10"/>
        <color indexed="8"/>
        <rFont val="宋体"/>
        <charset val="134"/>
      </rPr>
      <t>收益年期</t>
    </r>
    <r>
      <rPr>
        <sz val="10"/>
        <color indexed="8"/>
        <rFont val="Arial"/>
        <charset val="134"/>
      </rPr>
      <t>(n)</t>
    </r>
  </si>
  <si>
    <r>
      <rPr>
        <sz val="10"/>
        <color indexed="8"/>
        <rFont val="宋体"/>
        <charset val="134"/>
      </rPr>
      <t>销售税费</t>
    </r>
  </si>
  <si>
    <r>
      <rPr>
        <sz val="10"/>
        <color indexed="8"/>
        <rFont val="宋体"/>
        <charset val="134"/>
      </rPr>
      <t>建筑物重置价值</t>
    </r>
    <r>
      <rPr>
        <sz val="10"/>
        <color indexed="8"/>
        <rFont val="Arial"/>
        <charset val="134"/>
      </rPr>
      <t>×</t>
    </r>
    <r>
      <rPr>
        <sz val="10"/>
        <color indexed="8"/>
        <rFont val="宋体"/>
        <charset val="134"/>
      </rPr>
      <t>费率</t>
    </r>
    <r>
      <rPr>
        <sz val="10"/>
        <color indexed="8"/>
        <rFont val="Arial"/>
        <charset val="134"/>
      </rPr>
      <t>/(1+5%)</t>
    </r>
  </si>
  <si>
    <r>
      <rPr>
        <sz val="10"/>
        <color indexed="8"/>
        <rFont val="宋体"/>
        <charset val="134"/>
      </rPr>
      <t>年增长比率</t>
    </r>
    <r>
      <rPr>
        <sz val="10"/>
        <color indexed="8"/>
        <rFont val="Arial"/>
        <charset val="134"/>
      </rPr>
      <t>(g)</t>
    </r>
  </si>
  <si>
    <r>
      <rPr>
        <sz val="10"/>
        <color indexed="8"/>
        <rFont val="宋体"/>
        <charset val="134"/>
      </rPr>
      <t>建筑物重置价值（</t>
    </r>
    <r>
      <rPr>
        <sz val="10"/>
        <color indexed="8"/>
        <rFont val="Arial"/>
        <charset val="134"/>
      </rPr>
      <t>V</t>
    </r>
    <r>
      <rPr>
        <vertAlign val="subscript"/>
        <sz val="10"/>
        <color indexed="8"/>
        <rFont val="宋体"/>
        <charset val="134"/>
      </rPr>
      <t>建</t>
    </r>
    <r>
      <rPr>
        <sz val="10"/>
        <color indexed="8"/>
        <rFont val="宋体"/>
        <charset val="134"/>
      </rPr>
      <t>）</t>
    </r>
  </si>
  <si>
    <t>6</t>
  </si>
  <si>
    <r>
      <rPr>
        <b/>
        <sz val="10"/>
        <color indexed="8"/>
        <rFont val="宋体"/>
        <charset val="134"/>
      </rPr>
      <t>折现价值</t>
    </r>
  </si>
  <si>
    <r>
      <rPr>
        <sz val="10"/>
        <color indexed="8"/>
        <rFont val="宋体"/>
        <charset val="134"/>
      </rPr>
      <t>房地产价值</t>
    </r>
    <r>
      <rPr>
        <sz val="10"/>
        <color indexed="8"/>
        <rFont val="Arial"/>
        <charset val="134"/>
      </rPr>
      <t>÷</t>
    </r>
    <r>
      <rPr>
        <sz val="10"/>
        <color indexed="8"/>
        <rFont val="宋体"/>
        <charset val="134"/>
      </rPr>
      <t>建筑面积</t>
    </r>
  </si>
  <si>
    <t>按租金收入计税</t>
  </si>
  <si>
    <r>
      <rPr>
        <sz val="11"/>
        <color indexed="8"/>
        <rFont val="宋体"/>
        <charset val="134"/>
      </rPr>
      <t>分摊土地</t>
    </r>
    <r>
      <rPr>
        <sz val="11"/>
        <color indexed="8"/>
        <rFont val="Arial"/>
        <charset val="134"/>
      </rPr>
      <t>/</t>
    </r>
    <r>
      <rPr>
        <sz val="11"/>
        <color indexed="8"/>
        <rFont val="宋体"/>
        <charset val="134"/>
      </rPr>
      <t>建筑物价值</t>
    </r>
  </si>
  <si>
    <r>
      <rPr>
        <sz val="10"/>
        <rFont val="宋体"/>
        <charset val="134"/>
      </rPr>
      <t>房屋年纯收益</t>
    </r>
  </si>
  <si>
    <t xml:space="preserve"> </t>
  </si>
  <si>
    <r>
      <rPr>
        <sz val="10"/>
        <rFont val="宋体"/>
        <charset val="134"/>
      </rPr>
      <t>建筑物资本化率</t>
    </r>
  </si>
  <si>
    <r>
      <rPr>
        <sz val="10"/>
        <color indexed="8"/>
        <rFont val="宋体"/>
        <charset val="134"/>
      </rPr>
      <t>建筑物重置价格</t>
    </r>
    <r>
      <rPr>
        <sz val="10"/>
        <color indexed="8"/>
        <rFont val="Arial"/>
        <charset val="134"/>
      </rPr>
      <t>×</t>
    </r>
    <r>
      <rPr>
        <sz val="10"/>
        <color indexed="8"/>
        <rFont val="宋体"/>
        <charset val="134"/>
      </rPr>
      <t>维修费率</t>
    </r>
  </si>
  <si>
    <r>
      <rPr>
        <b/>
        <sz val="10"/>
        <color indexed="8"/>
        <rFont val="宋体"/>
        <charset val="134"/>
      </rPr>
      <t>确定合理的建筑物与土地价值比例</t>
    </r>
  </si>
  <si>
    <r>
      <rPr>
        <b/>
        <sz val="10"/>
        <color indexed="10"/>
        <rFont val="Arial"/>
        <charset val="134"/>
      </rPr>
      <t>1.</t>
    </r>
    <r>
      <rPr>
        <b/>
        <sz val="10"/>
        <color indexed="10"/>
        <rFont val="宋体"/>
        <charset val="134"/>
      </rPr>
      <t>收益比率</t>
    </r>
  </si>
  <si>
    <r>
      <rPr>
        <sz val="10"/>
        <rFont val="宋体"/>
        <charset val="134"/>
      </rPr>
      <t>建筑物年收益比率</t>
    </r>
  </si>
  <si>
    <r>
      <rPr>
        <sz val="10"/>
        <rFont val="宋体"/>
        <charset val="134"/>
      </rPr>
      <t>土地年收益比率</t>
    </r>
  </si>
  <si>
    <r>
      <rPr>
        <b/>
        <sz val="10"/>
        <color indexed="8"/>
        <rFont val="宋体"/>
        <charset val="134"/>
      </rPr>
      <t>收益价值</t>
    </r>
  </si>
  <si>
    <r>
      <rPr>
        <b/>
        <sz val="10"/>
        <color indexed="10"/>
        <rFont val="Arial"/>
        <charset val="134"/>
      </rPr>
      <t>2.</t>
    </r>
    <r>
      <rPr>
        <b/>
        <sz val="10"/>
        <color indexed="10"/>
        <rFont val="宋体"/>
        <charset val="134"/>
      </rPr>
      <t>成本比率</t>
    </r>
  </si>
  <si>
    <t>收益年期(n)</t>
  </si>
  <si>
    <r>
      <rPr>
        <b/>
        <sz val="10"/>
        <color indexed="8"/>
        <rFont val="宋体"/>
        <charset val="134"/>
      </rPr>
      <t>单价</t>
    </r>
    <r>
      <rPr>
        <b/>
        <sz val="10"/>
        <color indexed="8"/>
        <rFont val="Arial"/>
        <charset val="134"/>
      </rPr>
      <t>(</t>
    </r>
    <r>
      <rPr>
        <b/>
        <sz val="10"/>
        <color indexed="8"/>
        <rFont val="宋体"/>
        <charset val="134"/>
      </rPr>
      <t>元</t>
    </r>
    <r>
      <rPr>
        <b/>
        <sz val="10"/>
        <color indexed="8"/>
        <rFont val="Arial"/>
        <charset val="134"/>
      </rPr>
      <t>/</t>
    </r>
    <r>
      <rPr>
        <b/>
        <sz val="10"/>
        <color indexed="8"/>
        <rFont val="宋体"/>
        <charset val="134"/>
      </rPr>
      <t>平方米</t>
    </r>
    <r>
      <rPr>
        <b/>
        <sz val="10"/>
        <color indexed="8"/>
        <rFont val="Arial"/>
        <charset val="134"/>
      </rPr>
      <t>)</t>
    </r>
  </si>
  <si>
    <r>
      <rPr>
        <sz val="10"/>
        <color indexed="8"/>
        <rFont val="宋体"/>
        <charset val="134"/>
      </rPr>
      <t>收益价值</t>
    </r>
    <r>
      <rPr>
        <sz val="10"/>
        <color indexed="8"/>
        <rFont val="Arial"/>
        <charset val="134"/>
      </rPr>
      <t>÷</t>
    </r>
    <r>
      <rPr>
        <sz val="10"/>
        <color indexed="8"/>
        <rFont val="宋体"/>
        <charset val="134"/>
      </rPr>
      <t>建筑面积</t>
    </r>
  </si>
  <si>
    <r>
      <rPr>
        <sz val="10"/>
        <color indexed="8"/>
        <rFont val="宋体"/>
        <charset val="134"/>
      </rPr>
      <t>建筑面积（㎡）</t>
    </r>
  </si>
  <si>
    <r>
      <rPr>
        <b/>
        <sz val="12"/>
        <color rgb="FFFF0000"/>
        <rFont val="宋体"/>
        <charset val="134"/>
      </rPr>
      <t>计算建筑物剩余价值折现</t>
    </r>
  </si>
  <si>
    <r>
      <rPr>
        <sz val="12"/>
        <color theme="1"/>
        <rFont val="宋体"/>
        <charset val="134"/>
      </rPr>
      <t>序号</t>
    </r>
  </si>
  <si>
    <r>
      <rPr>
        <sz val="12"/>
        <color theme="1"/>
        <rFont val="宋体"/>
        <charset val="134"/>
      </rPr>
      <t>项目</t>
    </r>
  </si>
  <si>
    <r>
      <rPr>
        <sz val="12"/>
        <color theme="1"/>
        <rFont val="宋体"/>
        <charset val="134"/>
      </rPr>
      <t>数额</t>
    </r>
  </si>
  <si>
    <r>
      <rPr>
        <sz val="12"/>
        <color theme="1"/>
        <rFont val="宋体"/>
        <charset val="134"/>
      </rPr>
      <t>计算公式</t>
    </r>
  </si>
  <si>
    <r>
      <rPr>
        <sz val="12"/>
        <color theme="1"/>
        <rFont val="宋体"/>
        <charset val="134"/>
      </rPr>
      <t>收益期内收益价值（元）</t>
    </r>
  </si>
  <si>
    <r>
      <rPr>
        <sz val="12"/>
        <color theme="1"/>
        <rFont val="宋体"/>
        <charset val="134"/>
      </rPr>
      <t>依前述测算</t>
    </r>
  </si>
  <si>
    <r>
      <rPr>
        <sz val="12"/>
        <color theme="1"/>
        <rFont val="宋体"/>
        <charset val="134"/>
      </rPr>
      <t>建筑物在收益期结束时的价值折现到价值时点的价值（元）</t>
    </r>
  </si>
  <si>
    <r>
      <rPr>
        <sz val="12"/>
        <color theme="1"/>
        <rFont val="宋体"/>
        <charset val="134"/>
      </rPr>
      <t>建筑物重置价值</t>
    </r>
    <r>
      <rPr>
        <sz val="12"/>
        <color theme="1"/>
        <rFont val="Arial"/>
        <charset val="134"/>
      </rPr>
      <t>×</t>
    </r>
    <r>
      <rPr>
        <sz val="12"/>
        <color theme="1"/>
        <rFont val="宋体"/>
        <charset val="134"/>
      </rPr>
      <t>成新率</t>
    </r>
    <r>
      <rPr>
        <sz val="12"/>
        <color theme="1"/>
        <rFont val="Arial"/>
        <charset val="134"/>
      </rPr>
      <t>/</t>
    </r>
    <r>
      <rPr>
        <sz val="12"/>
        <color theme="1"/>
        <rFont val="宋体"/>
        <charset val="134"/>
      </rPr>
      <t>（</t>
    </r>
    <r>
      <rPr>
        <sz val="12"/>
        <color theme="1"/>
        <rFont val="Arial"/>
        <charset val="134"/>
      </rPr>
      <t>1+</t>
    </r>
    <r>
      <rPr>
        <sz val="12"/>
        <color theme="1"/>
        <rFont val="宋体"/>
        <charset val="134"/>
      </rPr>
      <t>建筑物报酬率）</t>
    </r>
    <r>
      <rPr>
        <vertAlign val="superscript"/>
        <sz val="12"/>
        <color theme="1"/>
        <rFont val="宋体"/>
        <charset val="134"/>
      </rPr>
      <t>折现年期</t>
    </r>
  </si>
  <si>
    <r>
      <rPr>
        <b/>
        <sz val="16"/>
        <color rgb="FFFF0000"/>
        <rFont val="宋体"/>
        <charset val="134"/>
      </rPr>
      <t>承租人权益价值</t>
    </r>
  </si>
  <si>
    <r>
      <rPr>
        <b/>
        <sz val="12"/>
        <color rgb="FFFF0000"/>
        <rFont val="宋体"/>
        <charset val="134"/>
      </rPr>
      <t>超出收益期的土地使用年限或建筑物价值折现计算</t>
    </r>
  </si>
  <si>
    <t>(A)</t>
  </si>
  <si>
    <r>
      <rPr>
        <sz val="12"/>
        <color theme="1"/>
        <rFont val="宋体"/>
        <charset val="134"/>
      </rPr>
      <t>建筑物重置价值（元）</t>
    </r>
  </si>
  <si>
    <r>
      <rPr>
        <sz val="12"/>
        <rFont val="宋体"/>
        <charset val="134"/>
      </rPr>
      <t>建筑物结构</t>
    </r>
  </si>
  <si>
    <r>
      <rPr>
        <sz val="12"/>
        <rFont val="宋体"/>
        <charset val="134"/>
      </rPr>
      <t>土地使用年限</t>
    </r>
  </si>
  <si>
    <t>(B)</t>
  </si>
  <si>
    <r>
      <rPr>
        <sz val="12"/>
        <color theme="1"/>
        <rFont val="宋体"/>
        <charset val="134"/>
      </rPr>
      <t>成新率（</t>
    </r>
    <r>
      <rPr>
        <sz val="12"/>
        <color theme="1"/>
        <rFont val="Arial"/>
        <charset val="134"/>
      </rPr>
      <t>%</t>
    </r>
    <r>
      <rPr>
        <sz val="12"/>
        <color theme="1"/>
        <rFont val="宋体"/>
        <charset val="134"/>
      </rPr>
      <t>）</t>
    </r>
  </si>
  <si>
    <t>1</t>
  </si>
  <si>
    <r>
      <rPr>
        <sz val="12"/>
        <rFont val="宋体"/>
        <charset val="134"/>
      </rPr>
      <t>建筑使用方向</t>
    </r>
  </si>
  <si>
    <t>非生产用房</t>
  </si>
  <si>
    <r>
      <rPr>
        <sz val="12"/>
        <color theme="1"/>
        <rFont val="宋体"/>
        <charset val="134"/>
      </rPr>
      <t>剩余土地使用年限</t>
    </r>
  </si>
  <si>
    <t>(C)</t>
  </si>
  <si>
    <r>
      <rPr>
        <sz val="12"/>
        <color theme="1"/>
        <rFont val="宋体"/>
        <charset val="134"/>
      </rPr>
      <t>建筑物报酬率（</t>
    </r>
    <r>
      <rPr>
        <sz val="12"/>
        <color theme="1"/>
        <rFont val="Arial"/>
        <charset val="134"/>
      </rPr>
      <t>%</t>
    </r>
    <r>
      <rPr>
        <sz val="12"/>
        <color theme="1"/>
        <rFont val="宋体"/>
        <charset val="134"/>
      </rPr>
      <t>）</t>
    </r>
  </si>
  <si>
    <r>
      <rPr>
        <sz val="10"/>
        <color indexed="8"/>
        <rFont val="宋体"/>
        <charset val="134"/>
      </rPr>
      <t>租金收入</t>
    </r>
  </si>
  <si>
    <r>
      <rPr>
        <sz val="10"/>
        <color indexed="8"/>
        <rFont val="宋体"/>
        <charset val="134"/>
      </rPr>
      <t>租金×天数×建筑面积</t>
    </r>
    <r>
      <rPr>
        <sz val="10"/>
        <color indexed="8"/>
        <rFont val="Arial"/>
        <charset val="134"/>
      </rPr>
      <t>×</t>
    </r>
    <r>
      <rPr>
        <sz val="10"/>
        <color indexed="8"/>
        <rFont val="宋体"/>
        <charset val="134"/>
      </rPr>
      <t>（</t>
    </r>
    <r>
      <rPr>
        <sz val="10"/>
        <color indexed="8"/>
        <rFont val="Arial"/>
        <charset val="134"/>
      </rPr>
      <t>1-</t>
    </r>
    <r>
      <rPr>
        <sz val="10"/>
        <color indexed="8"/>
        <rFont val="宋体"/>
        <charset val="134"/>
      </rPr>
      <t>空置率）</t>
    </r>
  </si>
  <si>
    <r>
      <rPr>
        <sz val="11"/>
        <color indexed="8"/>
        <rFont val="宋体"/>
        <charset val="134"/>
      </rPr>
      <t>市场租金</t>
    </r>
  </si>
  <si>
    <r>
      <rPr>
        <sz val="12"/>
        <rFont val="宋体"/>
        <charset val="134"/>
      </rPr>
      <t>建成年代</t>
    </r>
  </si>
  <si>
    <r>
      <rPr>
        <sz val="11"/>
        <color theme="1"/>
        <rFont val="宋体"/>
        <charset val="134"/>
      </rPr>
      <t>比较法土地结果</t>
    </r>
  </si>
  <si>
    <t>(D)</t>
  </si>
  <si>
    <r>
      <rPr>
        <sz val="12"/>
        <color theme="1"/>
        <rFont val="宋体"/>
        <charset val="134"/>
      </rPr>
      <t>折现年期（年）</t>
    </r>
  </si>
  <si>
    <r>
      <rPr>
        <sz val="12"/>
        <color theme="1"/>
        <rFont val="宋体"/>
        <charset val="134"/>
      </rPr>
      <t>即收益年期</t>
    </r>
  </si>
  <si>
    <r>
      <rPr>
        <sz val="12"/>
        <rFont val="宋体"/>
        <charset val="134"/>
      </rPr>
      <t>建筑物耐用年限</t>
    </r>
  </si>
  <si>
    <r>
      <rPr>
        <sz val="11"/>
        <color theme="1"/>
        <rFont val="宋体"/>
        <charset val="134"/>
      </rPr>
      <t>基准地价土地结果</t>
    </r>
  </si>
  <si>
    <t>A+B</t>
  </si>
  <si>
    <r>
      <rPr>
        <sz val="12"/>
        <rFont val="宋体"/>
        <charset val="134"/>
      </rPr>
      <t>建筑物剩余耐用年限</t>
    </r>
  </si>
  <si>
    <r>
      <rPr>
        <sz val="12"/>
        <rFont val="宋体"/>
        <charset val="134"/>
      </rPr>
      <t>收益还原法土地结果</t>
    </r>
  </si>
  <si>
    <r>
      <rPr>
        <b/>
        <sz val="12"/>
        <color rgb="FFFF0000"/>
        <rFont val="宋体"/>
        <charset val="134"/>
      </rPr>
      <t>计算土地剩余价值折现</t>
    </r>
    <r>
      <rPr>
        <b/>
        <sz val="12"/>
        <color rgb="FFFF0000"/>
        <rFont val="Arial"/>
        <charset val="134"/>
      </rPr>
      <t>-</t>
    </r>
    <r>
      <rPr>
        <b/>
        <sz val="12"/>
        <color rgb="FFFF0000"/>
        <rFont val="宋体"/>
        <charset val="134"/>
      </rPr>
      <t>比较法</t>
    </r>
    <r>
      <rPr>
        <b/>
        <sz val="12"/>
        <color rgb="FFFF0000"/>
        <rFont val="Arial"/>
        <charset val="134"/>
      </rPr>
      <t>/</t>
    </r>
    <r>
      <rPr>
        <b/>
        <sz val="12"/>
        <color rgb="FFFF0000"/>
        <rFont val="宋体"/>
        <charset val="134"/>
      </rPr>
      <t>基准地价系数修正法</t>
    </r>
  </si>
  <si>
    <r>
      <rPr>
        <sz val="12"/>
        <rFont val="宋体"/>
        <charset val="134"/>
      </rPr>
      <t>建筑物报酬率</t>
    </r>
  </si>
  <si>
    <r>
      <rPr>
        <sz val="12"/>
        <rFont val="宋体"/>
        <charset val="134"/>
      </rPr>
      <t>土地报酬率</t>
    </r>
  </si>
  <si>
    <r>
      <rPr>
        <sz val="12"/>
        <rFont val="宋体"/>
        <charset val="134"/>
      </rPr>
      <t>收益期（按照规范取最低值,</t>
    </r>
    <r>
      <rPr>
        <sz val="12"/>
        <color rgb="FFFF0000"/>
        <rFont val="宋体"/>
        <charset val="134"/>
      </rPr>
      <t>住宅取高</t>
    </r>
    <r>
      <rPr>
        <sz val="12"/>
        <rFont val="宋体"/>
        <charset val="134"/>
      </rPr>
      <t>）</t>
    </r>
  </si>
  <si>
    <r>
      <rPr>
        <sz val="10"/>
        <color rgb="FFFF0000"/>
        <rFont val="宋体"/>
        <charset val="134"/>
      </rPr>
      <t>★当剩余土地短于建筑物耐用年限时，在建</t>
    </r>
    <r>
      <rPr>
        <sz val="10"/>
        <color rgb="FFFF0000"/>
        <rFont val="Arial"/>
        <charset val="134"/>
      </rPr>
      <t>or</t>
    </r>
    <r>
      <rPr>
        <sz val="10"/>
        <color rgb="FFFF0000"/>
        <rFont val="宋体"/>
        <charset val="134"/>
      </rPr>
      <t>未建项目的收益期计算公式为：剩余土地年限</t>
    </r>
    <r>
      <rPr>
        <sz val="10"/>
        <color rgb="FFFF0000"/>
        <rFont val="Arial"/>
        <charset val="134"/>
      </rPr>
      <t>-</t>
    </r>
    <r>
      <rPr>
        <sz val="10"/>
        <color rgb="FFFF0000"/>
        <rFont val="宋体"/>
        <charset val="134"/>
      </rPr>
      <t>续建工期</t>
    </r>
    <r>
      <rPr>
        <sz val="10"/>
        <color rgb="FFFF0000"/>
        <rFont val="Arial"/>
        <charset val="134"/>
      </rPr>
      <t>or</t>
    </r>
    <r>
      <rPr>
        <sz val="10"/>
        <color rgb="FFFF0000"/>
        <rFont val="宋体"/>
        <charset val="134"/>
      </rPr>
      <t>建设期</t>
    </r>
  </si>
  <si>
    <r>
      <rPr>
        <sz val="12"/>
        <color theme="1"/>
        <rFont val="宋体"/>
        <charset val="134"/>
      </rPr>
      <t>剩余土地价值折现到价值时点的价值（元）</t>
    </r>
  </si>
  <si>
    <r>
      <rPr>
        <sz val="12"/>
        <color theme="1"/>
        <rFont val="Arial"/>
        <charset val="134"/>
      </rPr>
      <t>V</t>
    </r>
    <r>
      <rPr>
        <vertAlign val="subscript"/>
        <sz val="12"/>
        <color theme="1"/>
        <rFont val="Arial"/>
        <charset val="134"/>
      </rPr>
      <t>n</t>
    </r>
    <r>
      <rPr>
        <sz val="12"/>
        <color theme="1"/>
        <rFont val="Arial"/>
        <charset val="134"/>
      </rPr>
      <t>×</t>
    </r>
    <r>
      <rPr>
        <sz val="12"/>
        <color theme="1"/>
        <rFont val="宋体"/>
        <charset val="134"/>
      </rPr>
      <t>（</t>
    </r>
    <r>
      <rPr>
        <sz val="12"/>
        <color theme="1"/>
        <rFont val="Arial"/>
        <charset val="134"/>
      </rPr>
      <t>K</t>
    </r>
    <r>
      <rPr>
        <vertAlign val="subscript"/>
        <sz val="12"/>
        <color theme="1"/>
        <rFont val="Arial"/>
        <charset val="134"/>
      </rPr>
      <t>N</t>
    </r>
    <r>
      <rPr>
        <sz val="12"/>
        <color theme="1"/>
        <rFont val="Arial"/>
        <charset val="134"/>
      </rPr>
      <t>÷K</t>
    </r>
    <r>
      <rPr>
        <vertAlign val="subscript"/>
        <sz val="12"/>
        <color theme="1"/>
        <rFont val="Arial"/>
        <charset val="134"/>
      </rPr>
      <t>n</t>
    </r>
    <r>
      <rPr>
        <sz val="12"/>
        <color theme="1"/>
        <rFont val="Arial"/>
        <charset val="134"/>
      </rPr>
      <t>-1</t>
    </r>
    <r>
      <rPr>
        <sz val="12"/>
        <color theme="1"/>
        <rFont val="宋体"/>
        <charset val="134"/>
      </rPr>
      <t>）</t>
    </r>
  </si>
  <si>
    <r>
      <rPr>
        <b/>
        <sz val="12"/>
        <rFont val="宋体"/>
        <charset val="134"/>
      </rPr>
      <t>建筑物计算</t>
    </r>
  </si>
  <si>
    <r>
      <rPr>
        <b/>
        <sz val="12"/>
        <rFont val="宋体"/>
        <charset val="134"/>
      </rPr>
      <t>土地使用权计算</t>
    </r>
  </si>
  <si>
    <r>
      <rPr>
        <sz val="12"/>
        <color theme="1"/>
        <rFont val="宋体"/>
        <charset val="134"/>
      </rPr>
      <t>剩余土地使用年限下的土地价值</t>
    </r>
    <r>
      <rPr>
        <sz val="12"/>
        <color theme="1"/>
        <rFont val="Arial"/>
        <charset val="134"/>
      </rPr>
      <t>V</t>
    </r>
    <r>
      <rPr>
        <vertAlign val="subscript"/>
        <sz val="12"/>
        <color theme="1"/>
        <rFont val="Arial"/>
        <charset val="134"/>
      </rPr>
      <t>n</t>
    </r>
    <r>
      <rPr>
        <sz val="12"/>
        <color theme="1"/>
        <rFont val="宋体"/>
        <charset val="134"/>
      </rPr>
      <t>（元）</t>
    </r>
  </si>
  <si>
    <r>
      <rPr>
        <sz val="12"/>
        <rFont val="宋体"/>
        <charset val="134"/>
      </rPr>
      <t>是否约定土地使用期结束后无偿收回房地产（非住宅）</t>
    </r>
  </si>
  <si>
    <r>
      <rPr>
        <sz val="12"/>
        <rFont val="宋体"/>
        <charset val="134"/>
      </rPr>
      <t>建筑物耐用年限结束后剩余土地使用年限</t>
    </r>
  </si>
  <si>
    <r>
      <rPr>
        <sz val="12"/>
        <color theme="1"/>
        <rFont val="宋体"/>
        <charset val="134"/>
      </rPr>
      <t>土地报酬率</t>
    </r>
    <r>
      <rPr>
        <sz val="12"/>
        <color theme="1"/>
        <rFont val="Arial"/>
        <charset val="134"/>
      </rPr>
      <t>r</t>
    </r>
    <r>
      <rPr>
        <sz val="12"/>
        <color theme="1"/>
        <rFont val="宋体"/>
        <charset val="134"/>
      </rPr>
      <t>（</t>
    </r>
    <r>
      <rPr>
        <sz val="12"/>
        <color theme="1"/>
        <rFont val="Arial"/>
        <charset val="134"/>
      </rPr>
      <t>%</t>
    </r>
    <r>
      <rPr>
        <sz val="12"/>
        <color theme="1"/>
        <rFont val="宋体"/>
        <charset val="134"/>
      </rPr>
      <t>）</t>
    </r>
  </si>
  <si>
    <r>
      <rPr>
        <sz val="12"/>
        <rFont val="宋体"/>
        <charset val="134"/>
      </rPr>
      <t>土地使用年限结束后建筑物耐用年期</t>
    </r>
  </si>
  <si>
    <r>
      <rPr>
        <sz val="12"/>
        <rFont val="宋体"/>
        <charset val="134"/>
      </rPr>
      <t>价值时点下的土地价值（土地购买价格）</t>
    </r>
  </si>
  <si>
    <r>
      <rPr>
        <sz val="12"/>
        <color theme="1"/>
        <rFont val="宋体"/>
        <charset val="134"/>
      </rPr>
      <t>剩余土地使用年期下的土地年期修正系数</t>
    </r>
    <r>
      <rPr>
        <sz val="12"/>
        <color theme="1"/>
        <rFont val="Arial"/>
        <charset val="134"/>
      </rPr>
      <t>K</t>
    </r>
    <r>
      <rPr>
        <vertAlign val="subscript"/>
        <sz val="12"/>
        <color theme="1"/>
        <rFont val="Arial"/>
        <charset val="134"/>
      </rPr>
      <t>N</t>
    </r>
  </si>
  <si>
    <r>
      <rPr>
        <sz val="12"/>
        <color theme="1"/>
        <rFont val="Arial"/>
        <charset val="134"/>
      </rPr>
      <t>[1</t>
    </r>
    <r>
      <rPr>
        <sz val="12"/>
        <color theme="1"/>
        <rFont val="宋体"/>
        <charset val="134"/>
      </rPr>
      <t>－</t>
    </r>
    <r>
      <rPr>
        <sz val="12"/>
        <color theme="1"/>
        <rFont val="Arial"/>
        <charset val="134"/>
      </rPr>
      <t>1÷(1+r) N]</t>
    </r>
  </si>
  <si>
    <r>
      <rPr>
        <sz val="12"/>
        <rFont val="宋体"/>
        <charset val="134"/>
      </rPr>
      <t>土地使用年限结束后建筑物成新度</t>
    </r>
  </si>
  <si>
    <r>
      <rPr>
        <sz val="12"/>
        <rFont val="宋体"/>
        <charset val="134"/>
      </rPr>
      <t>剩余土地使用年期下的土地年期修正系数</t>
    </r>
  </si>
  <si>
    <r>
      <rPr>
        <sz val="12"/>
        <color theme="1"/>
        <rFont val="Arial"/>
        <charset val="134"/>
      </rPr>
      <t>[1</t>
    </r>
    <r>
      <rPr>
        <sz val="12"/>
        <color theme="1"/>
        <rFont val="宋体"/>
        <charset val="134"/>
      </rPr>
      <t>－</t>
    </r>
    <r>
      <rPr>
        <sz val="12"/>
        <color theme="1"/>
        <rFont val="Arial"/>
        <charset val="134"/>
      </rPr>
      <t>1÷(1+r) n]</t>
    </r>
  </si>
  <si>
    <t>3-1</t>
  </si>
  <si>
    <r>
      <rPr>
        <sz val="12"/>
        <rFont val="宋体"/>
        <charset val="134"/>
      </rPr>
      <t>土地使用年限结束后建筑物现值</t>
    </r>
  </si>
  <si>
    <t>3-1-1</t>
  </si>
  <si>
    <r>
      <rPr>
        <sz val="10"/>
        <color indexed="8"/>
        <rFont val="宋体"/>
        <charset val="134"/>
      </rPr>
      <t>年总收益</t>
    </r>
    <r>
      <rPr>
        <sz val="10"/>
        <color indexed="8"/>
        <rFont val="Arial"/>
        <charset val="134"/>
      </rPr>
      <t>×</t>
    </r>
    <r>
      <rPr>
        <sz val="10"/>
        <color indexed="8"/>
        <rFont val="宋体"/>
        <charset val="134"/>
      </rPr>
      <t>费率</t>
    </r>
    <r>
      <rPr>
        <sz val="10"/>
        <color indexed="8"/>
        <rFont val="Arial"/>
        <charset val="134"/>
      </rPr>
      <t>/(1+5%)</t>
    </r>
  </si>
  <si>
    <r>
      <rPr>
        <b/>
        <sz val="12"/>
        <rFont val="宋体"/>
        <charset val="134"/>
      </rPr>
      <t>建筑物剩余价值折现值</t>
    </r>
  </si>
  <si>
    <r>
      <rPr>
        <b/>
        <sz val="12"/>
        <rFont val="宋体"/>
        <charset val="134"/>
      </rPr>
      <t>剩余土地价值折现值</t>
    </r>
  </si>
  <si>
    <r>
      <rPr>
        <b/>
        <sz val="12"/>
        <color rgb="FFFF0000"/>
        <rFont val="宋体"/>
        <charset val="134"/>
      </rPr>
      <t>计算土地剩余价值折现</t>
    </r>
    <r>
      <rPr>
        <b/>
        <sz val="12"/>
        <color rgb="FFFF0000"/>
        <rFont val="Arial"/>
        <charset val="134"/>
      </rPr>
      <t>-</t>
    </r>
    <r>
      <rPr>
        <b/>
        <sz val="12"/>
        <color rgb="FFFF0000"/>
        <rFont val="宋体"/>
        <charset val="134"/>
      </rPr>
      <t>收益法</t>
    </r>
  </si>
  <si>
    <t>3-1-2</t>
  </si>
  <si>
    <r>
      <rPr>
        <sz val="10"/>
        <color indexed="8"/>
        <rFont val="宋体"/>
        <charset val="134"/>
      </rPr>
      <t>按房产原值计税</t>
    </r>
  </si>
  <si>
    <t>3-1-3</t>
  </si>
  <si>
    <r>
      <rPr>
        <sz val="12"/>
        <rFont val="宋体"/>
        <charset val="134"/>
      </rPr>
      <t>结构类型</t>
    </r>
  </si>
  <si>
    <r>
      <rPr>
        <sz val="12"/>
        <rFont val="宋体"/>
        <charset val="134"/>
      </rPr>
      <t>生产用房</t>
    </r>
  </si>
  <si>
    <r>
      <rPr>
        <sz val="12"/>
        <rFont val="宋体"/>
        <charset val="134"/>
      </rPr>
      <t>受腐蚀的生产用房</t>
    </r>
  </si>
  <si>
    <r>
      <rPr>
        <sz val="12"/>
        <rFont val="宋体"/>
        <charset val="134"/>
      </rPr>
      <t>非生产用房</t>
    </r>
  </si>
  <si>
    <r>
      <rPr>
        <sz val="12"/>
        <rFont val="宋体"/>
        <charset val="134"/>
      </rPr>
      <t>残值率</t>
    </r>
  </si>
  <si>
    <r>
      <rPr>
        <sz val="12"/>
        <rFont val="宋体"/>
        <charset val="134"/>
      </rPr>
      <t>钢</t>
    </r>
  </si>
  <si>
    <t>3-2</t>
  </si>
  <si>
    <r>
      <rPr>
        <sz val="12"/>
        <rFont val="宋体"/>
        <charset val="134"/>
      </rPr>
      <t>钢混</t>
    </r>
  </si>
  <si>
    <r>
      <rPr>
        <sz val="14"/>
        <color theme="1"/>
        <rFont val="Arial"/>
        <charset val="134"/>
      </rPr>
      <t>(a</t>
    </r>
    <r>
      <rPr>
        <vertAlign val="subscript"/>
        <sz val="14"/>
        <color theme="1"/>
        <rFont val="Arial"/>
        <charset val="134"/>
      </rPr>
      <t>t</t>
    </r>
    <r>
      <rPr>
        <sz val="14"/>
        <color theme="1"/>
        <rFont val="Arial"/>
        <charset val="134"/>
      </rPr>
      <t>÷r)[1-1÷(1+r)</t>
    </r>
    <r>
      <rPr>
        <vertAlign val="superscript"/>
        <sz val="14"/>
        <color theme="1"/>
        <rFont val="Arial"/>
        <charset val="134"/>
      </rPr>
      <t>N</t>
    </r>
    <r>
      <rPr>
        <sz val="14"/>
        <color theme="1"/>
        <rFont val="Arial"/>
        <charset val="134"/>
      </rPr>
      <t>]</t>
    </r>
  </si>
  <si>
    <t>3-3</t>
  </si>
  <si>
    <r>
      <rPr>
        <sz val="12"/>
        <rFont val="宋体"/>
        <charset val="134"/>
      </rPr>
      <t>砖混</t>
    </r>
  </si>
  <si>
    <r>
      <rPr>
        <sz val="12"/>
        <color rgb="FF000000"/>
        <rFont val="宋体"/>
        <charset val="134"/>
      </rPr>
      <t>土地纯收益</t>
    </r>
    <r>
      <rPr>
        <sz val="12"/>
        <color theme="1"/>
        <rFont val="Arial"/>
        <charset val="134"/>
      </rPr>
      <t>a</t>
    </r>
    <r>
      <rPr>
        <vertAlign val="subscript"/>
        <sz val="12"/>
        <color theme="1"/>
        <rFont val="Arial"/>
        <charset val="134"/>
      </rPr>
      <t>t</t>
    </r>
    <r>
      <rPr>
        <sz val="12"/>
        <color theme="1"/>
        <rFont val="宋体"/>
        <charset val="134"/>
      </rPr>
      <t>（元）</t>
    </r>
  </si>
  <si>
    <t>3-4</t>
  </si>
  <si>
    <t>a</t>
  </si>
  <si>
    <r>
      <rPr>
        <sz val="12"/>
        <color rgb="FF000000"/>
        <rFont val="宋体"/>
        <charset val="134"/>
      </rPr>
      <t>房地纯收益（元）</t>
    </r>
  </si>
  <si>
    <t>b</t>
  </si>
  <si>
    <r>
      <rPr>
        <sz val="12"/>
        <color rgb="FF000000"/>
        <rFont val="宋体"/>
        <charset val="134"/>
      </rPr>
      <t>建筑物现值（元）</t>
    </r>
  </si>
  <si>
    <t>c</t>
  </si>
  <si>
    <r>
      <rPr>
        <sz val="12"/>
        <color rgb="FF000000"/>
        <rFont val="宋体"/>
        <charset val="134"/>
      </rPr>
      <t>建筑物资本化率</t>
    </r>
    <r>
      <rPr>
        <sz val="12"/>
        <color rgb="FF000000"/>
        <rFont val="Arial"/>
        <charset val="134"/>
      </rPr>
      <t>g</t>
    </r>
    <r>
      <rPr>
        <sz val="12"/>
        <color rgb="FF000000"/>
        <rFont val="宋体"/>
        <charset val="134"/>
      </rPr>
      <t>（</t>
    </r>
    <r>
      <rPr>
        <sz val="12"/>
        <color rgb="FF000000"/>
        <rFont val="Arial"/>
        <charset val="134"/>
      </rPr>
      <t>%</t>
    </r>
    <r>
      <rPr>
        <sz val="12"/>
        <color rgb="FF000000"/>
        <rFont val="宋体"/>
        <charset val="134"/>
      </rPr>
      <t>）</t>
    </r>
  </si>
  <si>
    <t>(E)</t>
  </si>
  <si>
    <r>
      <rPr>
        <b/>
        <sz val="16"/>
        <color indexed="10"/>
        <rFont val="宋体"/>
        <charset val="134"/>
      </rPr>
      <t>收益法</t>
    </r>
    <r>
      <rPr>
        <b/>
        <sz val="12"/>
        <rFont val="宋体"/>
        <charset val="134"/>
      </rPr>
      <t>（酒店模型）</t>
    </r>
  </si>
  <si>
    <r>
      <rPr>
        <b/>
        <sz val="10"/>
        <rFont val="宋体"/>
        <charset val="134"/>
      </rPr>
      <t>收益法（自营</t>
    </r>
    <r>
      <rPr>
        <b/>
        <sz val="10"/>
        <rFont val="Arial"/>
        <charset val="134"/>
      </rPr>
      <t>-</t>
    </r>
    <r>
      <rPr>
        <b/>
        <sz val="10"/>
        <rFont val="宋体"/>
        <charset val="134"/>
      </rPr>
      <t>酒店）需企业提供近</t>
    </r>
    <r>
      <rPr>
        <b/>
        <sz val="10"/>
        <rFont val="Arial"/>
        <charset val="134"/>
      </rPr>
      <t>3</t>
    </r>
    <r>
      <rPr>
        <b/>
        <sz val="10"/>
        <rFont val="宋体"/>
        <charset val="134"/>
      </rPr>
      <t>年报表（不足</t>
    </r>
    <r>
      <rPr>
        <b/>
        <sz val="10"/>
        <rFont val="Arial"/>
        <charset val="134"/>
      </rPr>
      <t>3</t>
    </r>
    <r>
      <rPr>
        <b/>
        <sz val="10"/>
        <rFont val="宋体"/>
        <charset val="134"/>
      </rPr>
      <t>年提供开业以来报表）</t>
    </r>
  </si>
  <si>
    <r>
      <rPr>
        <b/>
        <sz val="10"/>
        <rFont val="宋体"/>
        <charset val="134"/>
      </rPr>
      <t>总价</t>
    </r>
  </si>
  <si>
    <r>
      <rPr>
        <sz val="10"/>
        <rFont val="宋体"/>
        <charset val="134"/>
      </rPr>
      <t>万元</t>
    </r>
  </si>
  <si>
    <r>
      <rPr>
        <b/>
        <sz val="10"/>
        <rFont val="宋体"/>
        <charset val="134"/>
      </rPr>
      <t>面积指标</t>
    </r>
  </si>
  <si>
    <r>
      <rPr>
        <b/>
        <sz val="10"/>
        <rFont val="宋体"/>
        <charset val="134"/>
      </rPr>
      <t>分类</t>
    </r>
    <r>
      <rPr>
        <b/>
        <sz val="10"/>
        <rFont val="Arial"/>
        <charset val="134"/>
      </rPr>
      <t>1</t>
    </r>
  </si>
  <si>
    <r>
      <rPr>
        <b/>
        <sz val="10"/>
        <rFont val="宋体"/>
        <charset val="134"/>
      </rPr>
      <t>分类</t>
    </r>
    <r>
      <rPr>
        <b/>
        <sz val="10"/>
        <rFont val="Arial"/>
        <charset val="134"/>
      </rPr>
      <t>2</t>
    </r>
  </si>
  <si>
    <r>
      <rPr>
        <b/>
        <sz val="10"/>
        <rFont val="宋体"/>
        <charset val="134"/>
      </rPr>
      <t>分类</t>
    </r>
    <r>
      <rPr>
        <b/>
        <sz val="10"/>
        <rFont val="Arial"/>
        <charset val="134"/>
      </rPr>
      <t>3</t>
    </r>
  </si>
  <si>
    <r>
      <rPr>
        <b/>
        <sz val="10"/>
        <rFont val="宋体"/>
        <charset val="134"/>
      </rPr>
      <t>分类</t>
    </r>
    <r>
      <rPr>
        <b/>
        <sz val="10"/>
        <rFont val="Arial"/>
        <charset val="134"/>
      </rPr>
      <t>4</t>
    </r>
  </si>
  <si>
    <r>
      <rPr>
        <b/>
        <sz val="10"/>
        <rFont val="宋体"/>
        <charset val="134"/>
      </rPr>
      <t>分类</t>
    </r>
    <r>
      <rPr>
        <b/>
        <sz val="10"/>
        <rFont val="Arial"/>
        <charset val="134"/>
      </rPr>
      <t>5</t>
    </r>
  </si>
  <si>
    <r>
      <rPr>
        <b/>
        <sz val="10"/>
        <rFont val="宋体"/>
        <charset val="134"/>
      </rPr>
      <t>出租部分</t>
    </r>
  </si>
  <si>
    <r>
      <rPr>
        <b/>
        <sz val="10"/>
        <rFont val="宋体"/>
        <charset val="134"/>
      </rPr>
      <t>合计</t>
    </r>
  </si>
  <si>
    <r>
      <rPr>
        <b/>
        <sz val="10"/>
        <rFont val="宋体"/>
        <charset val="134"/>
      </rPr>
      <t>楼面单价</t>
    </r>
  </si>
  <si>
    <r>
      <rPr>
        <sz val="10"/>
        <rFont val="宋体"/>
        <charset val="134"/>
      </rPr>
      <t>元</t>
    </r>
    <r>
      <rPr>
        <sz val="10"/>
        <rFont val="Arial"/>
        <charset val="134"/>
      </rPr>
      <t>/</t>
    </r>
    <r>
      <rPr>
        <sz val="10"/>
        <rFont val="宋体"/>
        <charset val="134"/>
      </rPr>
      <t>平方米</t>
    </r>
  </si>
  <si>
    <r>
      <rPr>
        <b/>
        <sz val="10"/>
        <rFont val="宋体"/>
        <charset val="134"/>
      </rPr>
      <t>建筑面积</t>
    </r>
  </si>
  <si>
    <r>
      <rPr>
        <b/>
        <sz val="10"/>
        <rFont val="宋体"/>
        <charset val="134"/>
      </rPr>
      <t>土地面积</t>
    </r>
  </si>
  <si>
    <t>土地面积</t>
  </si>
  <si>
    <r>
      <rPr>
        <b/>
        <sz val="10"/>
        <color indexed="8"/>
        <rFont val="宋体"/>
        <charset val="134"/>
      </rPr>
      <t>（一）年总收入</t>
    </r>
  </si>
  <si>
    <r>
      <rPr>
        <sz val="10"/>
        <rFont val="宋体"/>
        <charset val="134"/>
      </rPr>
      <t>折算至建筑平米收益</t>
    </r>
  </si>
  <si>
    <r>
      <rPr>
        <b/>
        <sz val="10"/>
        <color indexed="8"/>
        <rFont val="宋体"/>
        <charset val="134"/>
      </rPr>
      <t>（一）第一年年经营收入</t>
    </r>
  </si>
  <si>
    <r>
      <rPr>
        <b/>
        <sz val="10"/>
        <rFont val="宋体"/>
        <charset val="134"/>
      </rPr>
      <t>客房</t>
    </r>
  </si>
  <si>
    <r>
      <rPr>
        <sz val="10"/>
        <rFont val="宋体"/>
        <charset val="134"/>
      </rPr>
      <t>房型</t>
    </r>
  </si>
  <si>
    <r>
      <rPr>
        <sz val="10"/>
        <rFont val="宋体"/>
        <charset val="134"/>
      </rPr>
      <t>间数</t>
    </r>
  </si>
  <si>
    <r>
      <rPr>
        <sz val="10"/>
        <rFont val="宋体"/>
        <charset val="134"/>
      </rPr>
      <t>收费标准</t>
    </r>
  </si>
  <si>
    <r>
      <rPr>
        <sz val="10"/>
        <rFont val="宋体"/>
        <charset val="134"/>
      </rPr>
      <t>折扣率</t>
    </r>
  </si>
  <si>
    <r>
      <rPr>
        <sz val="10"/>
        <rFont val="宋体"/>
        <charset val="134"/>
      </rPr>
      <t>出租率</t>
    </r>
  </si>
  <si>
    <r>
      <rPr>
        <sz val="10"/>
        <rFont val="宋体"/>
        <charset val="134"/>
      </rPr>
      <t>天数</t>
    </r>
  </si>
  <si>
    <r>
      <rPr>
        <sz val="10"/>
        <rFont val="宋体"/>
        <charset val="134"/>
      </rPr>
      <t>年收入</t>
    </r>
  </si>
  <si>
    <r>
      <rPr>
        <sz val="10"/>
        <rFont val="宋体"/>
        <charset val="134"/>
      </rPr>
      <t>对比</t>
    </r>
  </si>
  <si>
    <r>
      <rPr>
        <b/>
        <sz val="10"/>
        <rFont val="宋体"/>
        <charset val="134"/>
      </rPr>
      <t>（二）年经营费用</t>
    </r>
  </si>
  <si>
    <r>
      <rPr>
        <sz val="10"/>
        <color theme="9" tint="-0.249977111117893"/>
        <rFont val="宋体"/>
        <charset val="134"/>
      </rPr>
      <t>总统套房</t>
    </r>
  </si>
  <si>
    <r>
      <rPr>
        <sz val="10"/>
        <rFont val="宋体"/>
        <charset val="134"/>
      </rPr>
      <t>周边办公租金</t>
    </r>
  </si>
  <si>
    <r>
      <rPr>
        <b/>
        <sz val="10"/>
        <rFont val="宋体"/>
        <charset val="134"/>
      </rPr>
      <t>序号</t>
    </r>
  </si>
  <si>
    <r>
      <rPr>
        <b/>
        <sz val="10"/>
        <rFont val="宋体"/>
        <charset val="134"/>
      </rPr>
      <t>项目名称</t>
    </r>
  </si>
  <si>
    <r>
      <rPr>
        <b/>
        <sz val="10"/>
        <rFont val="宋体"/>
        <charset val="134"/>
      </rPr>
      <t>总额</t>
    </r>
  </si>
  <si>
    <r>
      <rPr>
        <b/>
        <sz val="10"/>
        <rFont val="宋体"/>
        <charset val="134"/>
      </rPr>
      <t>相关系数</t>
    </r>
  </si>
  <si>
    <r>
      <rPr>
        <b/>
        <sz val="10"/>
        <rFont val="宋体"/>
        <charset val="134"/>
      </rPr>
      <t>备注</t>
    </r>
  </si>
  <si>
    <t>参考取值</t>
  </si>
  <si>
    <r>
      <rPr>
        <sz val="10"/>
        <color theme="9" tint="-0.249977111117893"/>
        <rFont val="宋体"/>
        <charset val="134"/>
      </rPr>
      <t>行政套房</t>
    </r>
  </si>
  <si>
    <r>
      <rPr>
        <sz val="10"/>
        <rFont val="宋体"/>
        <charset val="134"/>
      </rPr>
      <t>周边商业租金</t>
    </r>
  </si>
  <si>
    <r>
      <rPr>
        <b/>
        <sz val="10"/>
        <rFont val="宋体"/>
        <charset val="134"/>
      </rPr>
      <t>经营成本</t>
    </r>
  </si>
  <si>
    <r>
      <rPr>
        <b/>
        <sz val="10"/>
        <rFont val="宋体"/>
        <charset val="134"/>
      </rPr>
      <t>耗用物品以及原材料等，以年总收入为基数计算</t>
    </r>
  </si>
  <si>
    <t>20%~30%</t>
  </si>
  <si>
    <r>
      <rPr>
        <sz val="10"/>
        <color theme="9" tint="-0.249977111117893"/>
        <rFont val="宋体"/>
        <charset val="134"/>
      </rPr>
      <t>沙龙套房</t>
    </r>
  </si>
  <si>
    <r>
      <rPr>
        <b/>
        <sz val="10"/>
        <rFont val="宋体"/>
        <charset val="134"/>
      </rPr>
      <t>经营费用</t>
    </r>
  </si>
  <si>
    <r>
      <rPr>
        <b/>
        <sz val="10"/>
        <rFont val="宋体"/>
        <charset val="134"/>
      </rPr>
      <t>工资、水电费、保险费、宣传费、差旅费、装修折旧等，以年总收入为基数计算</t>
    </r>
  </si>
  <si>
    <t>15%~25%</t>
  </si>
  <si>
    <r>
      <rPr>
        <sz val="10"/>
        <color theme="9" tint="-0.249977111117893"/>
        <rFont val="宋体"/>
        <charset val="134"/>
      </rPr>
      <t>标准房</t>
    </r>
  </si>
  <si>
    <r>
      <rPr>
        <b/>
        <sz val="10"/>
        <rFont val="宋体"/>
        <charset val="134"/>
      </rPr>
      <t>税费</t>
    </r>
  </si>
  <si>
    <r>
      <rPr>
        <sz val="10"/>
        <color theme="9" tint="-0.249977111117893"/>
        <rFont val="宋体"/>
        <charset val="134"/>
      </rPr>
      <t>单间公寓</t>
    </r>
  </si>
  <si>
    <r>
      <rPr>
        <sz val="10"/>
        <rFont val="宋体"/>
        <charset val="134"/>
      </rPr>
      <t>（</t>
    </r>
    <r>
      <rPr>
        <sz val="10"/>
        <rFont val="Arial"/>
        <charset val="134"/>
      </rPr>
      <t>1</t>
    </r>
    <r>
      <rPr>
        <sz val="10"/>
        <rFont val="宋体"/>
        <charset val="134"/>
      </rPr>
      <t>）</t>
    </r>
  </si>
  <si>
    <r>
      <rPr>
        <sz val="10"/>
        <rFont val="宋体"/>
        <charset val="134"/>
      </rPr>
      <t>房产税</t>
    </r>
  </si>
  <si>
    <r>
      <rPr>
        <b/>
        <sz val="10"/>
        <rFont val="宋体"/>
        <charset val="134"/>
      </rPr>
      <t>房屋原值</t>
    </r>
    <r>
      <rPr>
        <b/>
        <sz val="10"/>
        <rFont val="Arial"/>
        <charset val="134"/>
      </rPr>
      <t>×70</t>
    </r>
    <r>
      <rPr>
        <b/>
        <sz val="10"/>
        <rFont val="宋体"/>
        <charset val="134"/>
      </rPr>
      <t>％</t>
    </r>
    <r>
      <rPr>
        <b/>
        <sz val="10"/>
        <rFont val="Arial"/>
        <charset val="134"/>
      </rPr>
      <t>×1.2</t>
    </r>
    <r>
      <rPr>
        <b/>
        <sz val="10"/>
        <rFont val="宋体"/>
        <charset val="134"/>
      </rPr>
      <t>％</t>
    </r>
  </si>
  <si>
    <r>
      <rPr>
        <sz val="10"/>
        <color theme="9" tint="-0.249977111117893"/>
        <rFont val="宋体"/>
        <charset val="134"/>
      </rPr>
      <t>单房公寓</t>
    </r>
  </si>
  <si>
    <t>房屋原值（万元）</t>
  </si>
  <si>
    <r>
      <rPr>
        <sz val="10"/>
        <color theme="9" tint="-0.249977111117893"/>
        <rFont val="宋体"/>
        <charset val="134"/>
      </rPr>
      <t>双房公寓</t>
    </r>
  </si>
  <si>
    <r>
      <rPr>
        <sz val="10"/>
        <rFont val="宋体"/>
        <charset val="134"/>
      </rPr>
      <t>（</t>
    </r>
    <r>
      <rPr>
        <sz val="10"/>
        <rFont val="Arial"/>
        <charset val="134"/>
      </rPr>
      <t>2</t>
    </r>
    <r>
      <rPr>
        <sz val="10"/>
        <rFont val="宋体"/>
        <charset val="134"/>
      </rPr>
      <t>）</t>
    </r>
  </si>
  <si>
    <r>
      <rPr>
        <sz val="10"/>
        <rFont val="宋体"/>
        <charset val="134"/>
      </rPr>
      <t>城镇土地使用税</t>
    </r>
  </si>
  <si>
    <r>
      <rPr>
        <b/>
        <sz val="10"/>
        <rFont val="宋体"/>
        <charset val="134"/>
      </rPr>
      <t>土地面积</t>
    </r>
    <r>
      <rPr>
        <b/>
        <sz val="10"/>
        <rFont val="Arial"/>
        <charset val="134"/>
      </rPr>
      <t>×</t>
    </r>
    <r>
      <rPr>
        <b/>
        <sz val="10"/>
        <rFont val="宋体"/>
        <charset val="134"/>
      </rPr>
      <t>标准</t>
    </r>
  </si>
  <si>
    <r>
      <rPr>
        <b/>
        <sz val="10"/>
        <rFont val="宋体"/>
        <charset val="134"/>
      </rPr>
      <t>小计</t>
    </r>
  </si>
  <si>
    <r>
      <rPr>
        <sz val="10"/>
        <rFont val="宋体"/>
        <charset val="134"/>
      </rPr>
      <t>（</t>
    </r>
    <r>
      <rPr>
        <sz val="10"/>
        <rFont val="Arial"/>
        <charset val="134"/>
      </rPr>
      <t>3</t>
    </r>
    <r>
      <rPr>
        <sz val="10"/>
        <rFont val="宋体"/>
        <charset val="134"/>
      </rPr>
      <t>）</t>
    </r>
  </si>
  <si>
    <r>
      <rPr>
        <sz val="10"/>
        <rFont val="宋体"/>
        <charset val="134"/>
      </rPr>
      <t>营业及附加</t>
    </r>
  </si>
  <si>
    <r>
      <rPr>
        <b/>
        <sz val="10"/>
        <rFont val="宋体"/>
        <charset val="134"/>
      </rPr>
      <t>年总收入</t>
    </r>
    <r>
      <rPr>
        <b/>
        <sz val="10"/>
        <rFont val="Arial"/>
        <charset val="134"/>
      </rPr>
      <t>×</t>
    </r>
    <r>
      <rPr>
        <b/>
        <sz val="10"/>
        <rFont val="宋体"/>
        <charset val="134"/>
      </rPr>
      <t>费率</t>
    </r>
  </si>
  <si>
    <r>
      <rPr>
        <b/>
        <sz val="10"/>
        <rFont val="宋体"/>
        <charset val="134"/>
      </rPr>
      <t>餐厅</t>
    </r>
  </si>
  <si>
    <r>
      <rPr>
        <sz val="10"/>
        <rFont val="宋体"/>
        <charset val="134"/>
      </rPr>
      <t>餐厅</t>
    </r>
  </si>
  <si>
    <r>
      <rPr>
        <sz val="10"/>
        <color indexed="8"/>
        <rFont val="宋体"/>
        <charset val="134"/>
      </rPr>
      <t>人均消费</t>
    </r>
  </si>
  <si>
    <r>
      <rPr>
        <sz val="10"/>
        <color indexed="8"/>
        <rFont val="宋体"/>
        <charset val="134"/>
      </rPr>
      <t>座位数</t>
    </r>
  </si>
  <si>
    <r>
      <rPr>
        <sz val="10"/>
        <rFont val="宋体"/>
        <charset val="134"/>
      </rPr>
      <t>上座率</t>
    </r>
  </si>
  <si>
    <r>
      <rPr>
        <sz val="10"/>
        <rFont val="宋体"/>
        <charset val="134"/>
      </rPr>
      <t>（</t>
    </r>
    <r>
      <rPr>
        <sz val="10"/>
        <rFont val="Arial"/>
        <charset val="134"/>
      </rPr>
      <t>4</t>
    </r>
    <r>
      <rPr>
        <sz val="10"/>
        <rFont val="宋体"/>
        <charset val="134"/>
      </rPr>
      <t>）</t>
    </r>
  </si>
  <si>
    <r>
      <rPr>
        <sz val="10"/>
        <rFont val="宋体"/>
        <charset val="134"/>
      </rPr>
      <t>其他税费</t>
    </r>
  </si>
  <si>
    <r>
      <rPr>
        <b/>
        <sz val="10"/>
        <rFont val="宋体"/>
        <charset val="134"/>
      </rPr>
      <t>按当地政策需要缴纳的税费、特殊行业需要缴纳的税费</t>
    </r>
  </si>
  <si>
    <r>
      <rPr>
        <sz val="10"/>
        <color theme="9" tint="-0.249977111117893"/>
        <rFont val="宋体"/>
        <charset val="134"/>
      </rPr>
      <t>中餐厅</t>
    </r>
  </si>
  <si>
    <r>
      <rPr>
        <b/>
        <sz val="10"/>
        <rFont val="宋体"/>
        <charset val="134"/>
      </rPr>
      <t>管理以及财务费用</t>
    </r>
  </si>
  <si>
    <r>
      <rPr>
        <b/>
        <sz val="10"/>
        <rFont val="宋体"/>
        <charset val="134"/>
      </rPr>
      <t>公司经费、审计费、咨询费、修理费、银行手续费等，以年总收入为基数计算</t>
    </r>
  </si>
  <si>
    <r>
      <rPr>
        <sz val="10"/>
        <color theme="9" tint="-0.249977111117893"/>
        <rFont val="宋体"/>
        <charset val="134"/>
      </rPr>
      <t>西餐厅</t>
    </r>
  </si>
  <si>
    <r>
      <rPr>
        <b/>
        <sz val="10"/>
        <rFont val="宋体"/>
        <charset val="134"/>
      </rPr>
      <t>（三）行业利润</t>
    </r>
  </si>
  <si>
    <r>
      <rPr>
        <b/>
        <sz val="10"/>
        <rFont val="宋体"/>
        <charset val="134"/>
      </rPr>
      <t>应归属于商服经营者的利润，以年总收入为基数计算</t>
    </r>
  </si>
  <si>
    <r>
      <rPr>
        <sz val="10"/>
        <color theme="9" tint="-0.249977111117893"/>
        <rFont val="宋体"/>
        <charset val="134"/>
      </rPr>
      <t>其他</t>
    </r>
  </si>
  <si>
    <r>
      <rPr>
        <b/>
        <sz val="10"/>
        <rFont val="宋体"/>
        <charset val="134"/>
      </rPr>
      <t>（四）房地产价值</t>
    </r>
  </si>
  <si>
    <t>按明细</t>
  </si>
  <si>
    <r>
      <rPr>
        <b/>
        <sz val="10"/>
        <rFont val="宋体"/>
        <charset val="134"/>
      </rPr>
      <t>会议中心</t>
    </r>
  </si>
  <si>
    <r>
      <rPr>
        <sz val="10"/>
        <rFont val="宋体"/>
        <charset val="134"/>
      </rPr>
      <t>会议室</t>
    </r>
  </si>
  <si>
    <r>
      <rPr>
        <sz val="10"/>
        <color indexed="8"/>
        <rFont val="宋体"/>
        <charset val="134"/>
      </rPr>
      <t>间数</t>
    </r>
  </si>
  <si>
    <r>
      <rPr>
        <sz val="10"/>
        <color indexed="8"/>
        <rFont val="宋体"/>
        <charset val="134"/>
      </rPr>
      <t>收费（元</t>
    </r>
    <r>
      <rPr>
        <sz val="10"/>
        <color indexed="8"/>
        <rFont val="Arial"/>
        <charset val="134"/>
      </rPr>
      <t>/</t>
    </r>
    <r>
      <rPr>
        <sz val="10"/>
        <color indexed="8"/>
        <rFont val="宋体"/>
        <charset val="134"/>
      </rPr>
      <t>间</t>
    </r>
    <r>
      <rPr>
        <sz val="10"/>
        <color indexed="8"/>
        <rFont val="Arial"/>
        <charset val="134"/>
      </rPr>
      <t>.</t>
    </r>
    <r>
      <rPr>
        <sz val="10"/>
        <color indexed="8"/>
        <rFont val="宋体"/>
        <charset val="134"/>
      </rPr>
      <t>天）</t>
    </r>
  </si>
  <si>
    <r>
      <rPr>
        <sz val="10"/>
        <rFont val="宋体"/>
        <charset val="134"/>
      </rPr>
      <t>平均使用率</t>
    </r>
  </si>
  <si>
    <r>
      <rPr>
        <b/>
        <sz val="10"/>
        <rFont val="宋体"/>
        <charset val="134"/>
      </rPr>
      <t>收益期</t>
    </r>
    <r>
      <rPr>
        <b/>
        <sz val="10"/>
        <rFont val="Arial"/>
        <charset val="134"/>
      </rPr>
      <t>1</t>
    </r>
  </si>
  <si>
    <r>
      <rPr>
        <b/>
        <sz val="10"/>
        <rFont val="宋体"/>
        <charset val="134"/>
      </rPr>
      <t>收益期</t>
    </r>
    <r>
      <rPr>
        <b/>
        <sz val="10"/>
        <rFont val="Arial"/>
        <charset val="134"/>
      </rPr>
      <t>2</t>
    </r>
  </si>
  <si>
    <r>
      <rPr>
        <b/>
        <sz val="10"/>
        <rFont val="宋体"/>
        <charset val="134"/>
      </rPr>
      <t>收益期</t>
    </r>
    <r>
      <rPr>
        <b/>
        <sz val="10"/>
        <rFont val="Arial"/>
        <charset val="134"/>
      </rPr>
      <t>3</t>
    </r>
  </si>
  <si>
    <r>
      <rPr>
        <sz val="10"/>
        <rFont val="宋体"/>
        <charset val="134"/>
      </rPr>
      <t>大</t>
    </r>
  </si>
  <si>
    <r>
      <rPr>
        <b/>
        <sz val="10"/>
        <color indexed="53"/>
        <rFont val="宋体"/>
        <charset val="134"/>
      </rPr>
      <t>起步期</t>
    </r>
  </si>
  <si>
    <r>
      <rPr>
        <b/>
        <sz val="10"/>
        <color indexed="53"/>
        <rFont val="宋体"/>
        <charset val="134"/>
      </rPr>
      <t>发展期</t>
    </r>
  </si>
  <si>
    <r>
      <rPr>
        <b/>
        <sz val="10"/>
        <color indexed="53"/>
        <rFont val="宋体"/>
        <charset val="134"/>
      </rPr>
      <t>稳定期</t>
    </r>
  </si>
  <si>
    <r>
      <rPr>
        <sz val="10"/>
        <rFont val="宋体"/>
        <charset val="134"/>
      </rPr>
      <t>中</t>
    </r>
  </si>
  <si>
    <r>
      <rPr>
        <sz val="10"/>
        <rFont val="宋体"/>
        <charset val="134"/>
      </rPr>
      <t>年总收入</t>
    </r>
  </si>
  <si>
    <r>
      <rPr>
        <sz val="10"/>
        <rFont val="宋体"/>
        <charset val="134"/>
      </rPr>
      <t>小</t>
    </r>
  </si>
  <si>
    <r>
      <rPr>
        <sz val="10"/>
        <rFont val="宋体"/>
        <charset val="134"/>
      </rPr>
      <t>涨幅</t>
    </r>
  </si>
  <si>
    <r>
      <rPr>
        <b/>
        <sz val="10"/>
        <rFont val="宋体"/>
        <charset val="134"/>
      </rPr>
      <t>其他收入</t>
    </r>
  </si>
  <si>
    <r>
      <rPr>
        <sz val="10"/>
        <rFont val="宋体"/>
        <charset val="134"/>
      </rPr>
      <t>年经营费用</t>
    </r>
  </si>
  <si>
    <r>
      <rPr>
        <b/>
        <sz val="10"/>
        <color indexed="8"/>
        <rFont val="宋体"/>
        <charset val="134"/>
      </rPr>
      <t>出租部分</t>
    </r>
  </si>
  <si>
    <r>
      <rPr>
        <sz val="10"/>
        <color indexed="8"/>
        <rFont val="宋体"/>
        <charset val="134"/>
      </rPr>
      <t>日租金</t>
    </r>
  </si>
  <si>
    <r>
      <rPr>
        <sz val="10"/>
        <color indexed="8"/>
        <rFont val="宋体"/>
        <charset val="134"/>
      </rPr>
      <t>天数</t>
    </r>
  </si>
  <si>
    <r>
      <rPr>
        <sz val="10"/>
        <color indexed="8"/>
        <rFont val="宋体"/>
        <charset val="134"/>
      </rPr>
      <t>空置率</t>
    </r>
  </si>
  <si>
    <r>
      <rPr>
        <sz val="10"/>
        <rFont val="宋体"/>
        <charset val="134"/>
      </rPr>
      <t>占比</t>
    </r>
  </si>
  <si>
    <t>押金利息收入</t>
  </si>
  <si>
    <t>押金</t>
  </si>
  <si>
    <t>押金方式</t>
  </si>
  <si>
    <t>利息</t>
  </si>
  <si>
    <r>
      <rPr>
        <sz val="10"/>
        <rFont val="宋体"/>
        <charset val="134"/>
      </rPr>
      <t>行业利润</t>
    </r>
  </si>
  <si>
    <r>
      <rPr>
        <b/>
        <sz val="10"/>
        <rFont val="宋体"/>
        <charset val="134"/>
      </rPr>
      <t>收益法（自营</t>
    </r>
    <r>
      <rPr>
        <b/>
        <sz val="10"/>
        <rFont val="Arial"/>
        <charset val="134"/>
      </rPr>
      <t>-</t>
    </r>
    <r>
      <rPr>
        <b/>
        <sz val="10"/>
        <rFont val="宋体"/>
        <charset val="134"/>
      </rPr>
      <t>其他类）需企业提供近</t>
    </r>
    <r>
      <rPr>
        <b/>
        <sz val="10"/>
        <rFont val="Arial"/>
        <charset val="134"/>
      </rPr>
      <t>3</t>
    </r>
    <r>
      <rPr>
        <b/>
        <sz val="10"/>
        <rFont val="宋体"/>
        <charset val="134"/>
      </rPr>
      <t>年报表（不足</t>
    </r>
    <r>
      <rPr>
        <b/>
        <sz val="10"/>
        <rFont val="Arial"/>
        <charset val="134"/>
      </rPr>
      <t>3</t>
    </r>
    <r>
      <rPr>
        <b/>
        <sz val="10"/>
        <rFont val="宋体"/>
        <charset val="134"/>
      </rPr>
      <t>年提供开业以来报表）</t>
    </r>
  </si>
  <si>
    <r>
      <rPr>
        <sz val="10"/>
        <rFont val="宋体"/>
        <charset val="134"/>
      </rPr>
      <t>年净收益</t>
    </r>
  </si>
  <si>
    <r>
      <rPr>
        <sz val="10"/>
        <rFont val="宋体"/>
        <charset val="134"/>
      </rPr>
      <t>报酬率</t>
    </r>
  </si>
  <si>
    <r>
      <rPr>
        <sz val="10"/>
        <rFont val="宋体"/>
        <charset val="134"/>
      </rPr>
      <t>年增长率</t>
    </r>
  </si>
  <si>
    <r>
      <rPr>
        <sz val="10"/>
        <rFont val="宋体"/>
        <charset val="134"/>
      </rPr>
      <t>收益年期</t>
    </r>
  </si>
  <si>
    <r>
      <rPr>
        <b/>
        <sz val="10"/>
        <rFont val="宋体"/>
        <charset val="134"/>
      </rPr>
      <t>主营业务收入</t>
    </r>
  </si>
  <si>
    <r>
      <rPr>
        <sz val="10"/>
        <rFont val="宋体"/>
        <charset val="134"/>
      </rPr>
      <t>折现值</t>
    </r>
  </si>
  <si>
    <r>
      <rPr>
        <sz val="10"/>
        <rFont val="宋体"/>
        <charset val="134"/>
      </rPr>
      <t>房地产总价</t>
    </r>
  </si>
  <si>
    <r>
      <rPr>
        <sz val="10"/>
        <rFont val="宋体"/>
        <charset val="134"/>
      </rPr>
      <t>楼面单价</t>
    </r>
  </si>
  <si>
    <r>
      <rPr>
        <b/>
        <sz val="16"/>
        <color rgb="FFFF0000"/>
        <rFont val="宋体"/>
        <charset val="134"/>
      </rPr>
      <t>典型户型修正</t>
    </r>
  </si>
  <si>
    <r>
      <rPr>
        <b/>
        <sz val="10"/>
        <color indexed="8"/>
        <rFont val="宋体"/>
        <charset val="134"/>
      </rPr>
      <t>元</t>
    </r>
    <r>
      <rPr>
        <b/>
        <sz val="10"/>
        <color indexed="8"/>
        <rFont val="Arial"/>
        <charset val="134"/>
      </rPr>
      <t>/</t>
    </r>
    <r>
      <rPr>
        <b/>
        <sz val="10"/>
        <color indexed="8"/>
        <rFont val="宋体"/>
        <charset val="134"/>
      </rPr>
      <t>平方米</t>
    </r>
  </si>
  <si>
    <r>
      <rPr>
        <sz val="10"/>
        <color indexed="8"/>
        <rFont val="宋体"/>
        <charset val="134"/>
      </rPr>
      <t>修正项</t>
    </r>
  </si>
  <si>
    <r>
      <rPr>
        <sz val="10"/>
        <color indexed="8"/>
        <rFont val="宋体"/>
        <charset val="134"/>
      </rPr>
      <t>说明</t>
    </r>
  </si>
  <si>
    <r>
      <rPr>
        <sz val="10"/>
        <color indexed="8"/>
        <rFont val="宋体"/>
        <charset val="134"/>
      </rPr>
      <t>修正系数</t>
    </r>
  </si>
  <si>
    <r>
      <rPr>
        <sz val="10"/>
        <color indexed="8"/>
        <rFont val="宋体"/>
        <charset val="134"/>
      </rPr>
      <t>修正项</t>
    </r>
    <r>
      <rPr>
        <sz val="10"/>
        <color indexed="8"/>
        <rFont val="Arial"/>
        <charset val="134"/>
      </rPr>
      <t>2</t>
    </r>
  </si>
  <si>
    <r>
      <rPr>
        <sz val="10"/>
        <color indexed="8"/>
        <rFont val="宋体"/>
        <charset val="134"/>
      </rPr>
      <t>修正项</t>
    </r>
    <r>
      <rPr>
        <sz val="10"/>
        <color indexed="8"/>
        <rFont val="Arial"/>
        <charset val="134"/>
      </rPr>
      <t>3</t>
    </r>
  </si>
  <si>
    <r>
      <rPr>
        <sz val="10"/>
        <color indexed="8"/>
        <rFont val="宋体"/>
        <charset val="134"/>
      </rPr>
      <t>修正项</t>
    </r>
    <r>
      <rPr>
        <sz val="10"/>
        <color indexed="8"/>
        <rFont val="Arial"/>
        <charset val="134"/>
      </rPr>
      <t>4</t>
    </r>
  </si>
  <si>
    <r>
      <rPr>
        <sz val="10"/>
        <color indexed="8"/>
        <rFont val="宋体"/>
        <charset val="134"/>
      </rPr>
      <t>修正项</t>
    </r>
    <r>
      <rPr>
        <sz val="10"/>
        <color indexed="8"/>
        <rFont val="Arial"/>
        <charset val="134"/>
      </rPr>
      <t>5</t>
    </r>
  </si>
  <si>
    <r>
      <rPr>
        <sz val="10"/>
        <color indexed="8"/>
        <rFont val="宋体"/>
        <charset val="134"/>
      </rPr>
      <t>修正项</t>
    </r>
    <r>
      <rPr>
        <sz val="10"/>
        <color indexed="8"/>
        <rFont val="Arial"/>
        <charset val="134"/>
      </rPr>
      <t>6</t>
    </r>
  </si>
  <si>
    <r>
      <rPr>
        <sz val="10"/>
        <color indexed="8"/>
        <rFont val="宋体"/>
        <charset val="134"/>
      </rPr>
      <t>修正项</t>
    </r>
    <r>
      <rPr>
        <sz val="10"/>
        <color indexed="8"/>
        <rFont val="Arial"/>
        <charset val="134"/>
      </rPr>
      <t>7</t>
    </r>
  </si>
  <si>
    <r>
      <rPr>
        <b/>
        <sz val="10"/>
        <color indexed="8"/>
        <rFont val="宋体"/>
        <charset val="134"/>
      </rPr>
      <t>修正系数</t>
    </r>
  </si>
  <si>
    <r>
      <rPr>
        <sz val="10"/>
        <color indexed="8"/>
        <rFont val="宋体"/>
        <charset val="134"/>
      </rPr>
      <t>楼层</t>
    </r>
  </si>
  <si>
    <r>
      <rPr>
        <b/>
        <sz val="10"/>
        <color indexed="8"/>
        <rFont val="宋体"/>
        <charset val="134"/>
      </rPr>
      <t>承租人权益</t>
    </r>
  </si>
  <si>
    <r>
      <rPr>
        <b/>
        <sz val="12"/>
        <rFont val="宋体"/>
        <charset val="134"/>
      </rPr>
      <t>总值</t>
    </r>
  </si>
  <si>
    <r>
      <rPr>
        <b/>
        <sz val="12"/>
        <color indexed="8"/>
        <rFont val="宋体"/>
        <charset val="134"/>
      </rPr>
      <t>单价</t>
    </r>
  </si>
  <si>
    <r>
      <rPr>
        <sz val="10"/>
        <color indexed="8"/>
        <rFont val="宋体"/>
        <charset val="134"/>
      </rPr>
      <t>以元计</t>
    </r>
  </si>
  <si>
    <r>
      <rPr>
        <sz val="10"/>
        <color indexed="8"/>
        <rFont val="宋体"/>
        <charset val="134"/>
      </rPr>
      <t>以万元计</t>
    </r>
  </si>
  <si>
    <r>
      <rPr>
        <sz val="10"/>
        <color theme="1"/>
        <rFont val="宋体"/>
        <charset val="134"/>
      </rPr>
      <t>土地价值</t>
    </r>
  </si>
  <si>
    <r>
      <rPr>
        <sz val="10"/>
        <color theme="1"/>
        <rFont val="宋体"/>
        <charset val="134"/>
      </rPr>
      <t>比例</t>
    </r>
  </si>
  <si>
    <r>
      <rPr>
        <sz val="10"/>
        <color theme="1"/>
        <rFont val="宋体"/>
        <charset val="134"/>
      </rPr>
      <t>建筑物价值</t>
    </r>
  </si>
  <si>
    <r>
      <rPr>
        <b/>
        <sz val="10"/>
        <color indexed="8"/>
        <rFont val="宋体"/>
        <charset val="134"/>
      </rPr>
      <t>合计</t>
    </r>
  </si>
  <si>
    <r>
      <rPr>
        <sz val="10"/>
        <color indexed="8"/>
        <rFont val="宋体"/>
        <charset val="134"/>
      </rPr>
      <t>位置</t>
    </r>
    <r>
      <rPr>
        <sz val="10"/>
        <color indexed="8"/>
        <rFont val="Arial"/>
        <charset val="134"/>
      </rPr>
      <t>/</t>
    </r>
    <r>
      <rPr>
        <sz val="10"/>
        <color indexed="8"/>
        <rFont val="宋体"/>
        <charset val="134"/>
      </rPr>
      <t>类型</t>
    </r>
  </si>
  <si>
    <r>
      <rPr>
        <sz val="10"/>
        <color indexed="8"/>
        <rFont val="宋体"/>
        <charset val="134"/>
      </rPr>
      <t>修正单价</t>
    </r>
  </si>
  <si>
    <r>
      <rPr>
        <sz val="10"/>
        <color indexed="8"/>
        <rFont val="宋体"/>
        <charset val="134"/>
      </rPr>
      <t>总价</t>
    </r>
  </si>
  <si>
    <r>
      <rPr>
        <sz val="10"/>
        <color theme="1"/>
        <rFont val="宋体"/>
        <charset val="134"/>
      </rPr>
      <t>总价（元）</t>
    </r>
  </si>
  <si>
    <r>
      <rPr>
        <sz val="10"/>
        <color theme="1"/>
        <rFont val="宋体"/>
        <charset val="134"/>
      </rPr>
      <t>总价（万元）</t>
    </r>
  </si>
  <si>
    <r>
      <rPr>
        <sz val="10"/>
        <color indexed="8"/>
        <rFont val="宋体"/>
        <charset val="134"/>
      </rPr>
      <t>单价</t>
    </r>
  </si>
  <si>
    <r>
      <rPr>
        <b/>
        <sz val="16"/>
        <rFont val="宋体"/>
        <charset val="134"/>
      </rPr>
      <t>商业</t>
    </r>
  </si>
  <si>
    <r>
      <rPr>
        <sz val="11"/>
        <color theme="9" tint="-0.249977111117893"/>
        <rFont val="宋体"/>
        <charset val="134"/>
      </rPr>
      <t>案例</t>
    </r>
    <r>
      <rPr>
        <sz val="11"/>
        <color theme="9" tint="-0.249977111117893"/>
        <rFont val="Arial"/>
        <charset val="134"/>
      </rPr>
      <t>A</t>
    </r>
    <r>
      <rPr>
        <sz val="11"/>
        <color theme="9" tint="-0.249977111117893"/>
        <rFont val="宋体"/>
        <charset val="134"/>
      </rPr>
      <t>名称</t>
    </r>
  </si>
  <si>
    <r>
      <rPr>
        <sz val="11"/>
        <color theme="9" tint="-0.249977111117893"/>
        <rFont val="宋体"/>
        <charset val="134"/>
      </rPr>
      <t>案例</t>
    </r>
    <r>
      <rPr>
        <sz val="11"/>
        <color theme="9" tint="-0.249977111117893"/>
        <rFont val="Arial"/>
        <charset val="134"/>
      </rPr>
      <t>B</t>
    </r>
    <r>
      <rPr>
        <sz val="11"/>
        <color theme="9" tint="-0.249977111117893"/>
        <rFont val="宋体"/>
        <charset val="134"/>
      </rPr>
      <t>名称</t>
    </r>
  </si>
  <si>
    <r>
      <rPr>
        <sz val="11"/>
        <color theme="9" tint="-0.249977111117893"/>
        <rFont val="宋体"/>
        <charset val="134"/>
      </rPr>
      <t>案例</t>
    </r>
    <r>
      <rPr>
        <sz val="11"/>
        <color theme="9" tint="-0.249977111117893"/>
        <rFont val="Arial"/>
        <charset val="134"/>
      </rPr>
      <t>C</t>
    </r>
    <r>
      <rPr>
        <sz val="11"/>
        <color theme="9" tint="-0.249977111117893"/>
        <rFont val="宋体"/>
        <charset val="134"/>
      </rPr>
      <t>名称</t>
    </r>
  </si>
  <si>
    <r>
      <rPr>
        <sz val="11"/>
        <color indexed="8"/>
        <rFont val="宋体"/>
        <charset val="134"/>
      </rPr>
      <t>平面位置</t>
    </r>
    <r>
      <rPr>
        <sz val="11"/>
        <color indexed="8"/>
        <rFont val="Arial"/>
        <charset val="134"/>
      </rPr>
      <t>/</t>
    </r>
    <r>
      <rPr>
        <sz val="11"/>
        <color indexed="8"/>
        <rFont val="宋体"/>
        <charset val="134"/>
      </rPr>
      <t>可视性</t>
    </r>
  </si>
  <si>
    <r>
      <rPr>
        <sz val="11"/>
        <color indexed="8"/>
        <rFont val="宋体"/>
        <charset val="134"/>
      </rPr>
      <t>人流量</t>
    </r>
  </si>
  <si>
    <r>
      <rPr>
        <sz val="11"/>
        <color indexed="8"/>
        <rFont val="宋体"/>
        <charset val="134"/>
      </rPr>
      <t>楼层</t>
    </r>
  </si>
  <si>
    <r>
      <rPr>
        <sz val="11"/>
        <color indexed="8"/>
        <rFont val="宋体"/>
        <charset val="134"/>
      </rPr>
      <t>商业类型</t>
    </r>
  </si>
  <si>
    <r>
      <rPr>
        <sz val="11"/>
        <color indexed="8"/>
        <rFont val="宋体"/>
        <charset val="134"/>
      </rPr>
      <t>业态</t>
    </r>
  </si>
  <si>
    <r>
      <rPr>
        <sz val="11"/>
        <color indexed="8"/>
        <rFont val="宋体"/>
        <charset val="134"/>
      </rPr>
      <t>层高</t>
    </r>
  </si>
  <si>
    <r>
      <rPr>
        <sz val="11"/>
        <color indexed="8"/>
        <rFont val="宋体"/>
        <charset val="134"/>
      </rPr>
      <t>单套建筑面积</t>
    </r>
  </si>
  <si>
    <r>
      <rPr>
        <sz val="11"/>
        <rFont val="宋体"/>
        <charset val="134"/>
      </rPr>
      <t>进深比</t>
    </r>
  </si>
  <si>
    <r>
      <rPr>
        <b/>
        <sz val="11"/>
        <rFont val="宋体"/>
        <charset val="134"/>
      </rPr>
      <t>估价对象</t>
    </r>
    <r>
      <rPr>
        <b/>
        <sz val="11"/>
        <color indexed="10"/>
        <rFont val="Arial"/>
        <charset val="134"/>
      </rPr>
      <t>XX</t>
    </r>
    <r>
      <rPr>
        <b/>
        <sz val="11"/>
        <color indexed="10"/>
        <rFont val="宋体"/>
        <charset val="134"/>
      </rPr>
      <t>用房的</t>
    </r>
    <r>
      <rPr>
        <b/>
        <sz val="11"/>
        <rFont val="宋体"/>
        <charset val="134"/>
      </rPr>
      <t>比较价值（楼面单价，元</t>
    </r>
    <r>
      <rPr>
        <b/>
        <sz val="11"/>
        <rFont val="Arial"/>
        <charset val="134"/>
      </rPr>
      <t>/</t>
    </r>
    <r>
      <rPr>
        <b/>
        <sz val="11"/>
        <rFont val="宋体"/>
        <charset val="134"/>
      </rPr>
      <t>平方米）</t>
    </r>
  </si>
  <si>
    <t>-</t>
  </si>
  <si>
    <r>
      <rPr>
        <sz val="11"/>
        <color indexed="8"/>
        <rFont val="宋体"/>
        <charset val="134"/>
      </rPr>
      <t>进深比</t>
    </r>
  </si>
  <si>
    <r>
      <rPr>
        <b/>
        <sz val="16"/>
        <rFont val="宋体"/>
        <charset val="134"/>
      </rPr>
      <t>办公</t>
    </r>
  </si>
  <si>
    <r>
      <rPr>
        <sz val="11"/>
        <color indexed="8"/>
        <rFont val="宋体"/>
        <charset val="134"/>
      </rPr>
      <t>毗邻道路的类型与等级</t>
    </r>
  </si>
  <si>
    <r>
      <rPr>
        <sz val="11"/>
        <color indexed="8"/>
        <rFont val="宋体"/>
        <charset val="134"/>
      </rPr>
      <t>写字楼等级</t>
    </r>
  </si>
  <si>
    <r>
      <rPr>
        <sz val="11"/>
        <rFont val="宋体"/>
        <charset val="134"/>
      </rPr>
      <t>单套建筑面积</t>
    </r>
  </si>
  <si>
    <r>
      <rPr>
        <sz val="11"/>
        <rFont val="宋体"/>
        <charset val="134"/>
      </rPr>
      <t>层高</t>
    </r>
  </si>
  <si>
    <r>
      <rPr>
        <b/>
        <sz val="16"/>
        <rFont val="宋体"/>
        <charset val="134"/>
      </rPr>
      <t>工业</t>
    </r>
  </si>
  <si>
    <r>
      <rPr>
        <sz val="11"/>
        <color indexed="8"/>
        <rFont val="宋体"/>
        <charset val="134"/>
      </rPr>
      <t>内部装修状况</t>
    </r>
  </si>
  <si>
    <r>
      <rPr>
        <sz val="11"/>
        <rFont val="宋体"/>
        <charset val="134"/>
      </rPr>
      <t>内部装修维护状况</t>
    </r>
  </si>
  <si>
    <r>
      <rPr>
        <b/>
        <sz val="16"/>
        <color indexed="10"/>
        <rFont val="宋体"/>
        <charset val="134"/>
      </rPr>
      <t>比较法</t>
    </r>
  </si>
  <si>
    <r>
      <rPr>
        <b/>
        <sz val="12"/>
        <rFont val="宋体"/>
        <charset val="134"/>
      </rPr>
      <t>车位数</t>
    </r>
  </si>
  <si>
    <r>
      <rPr>
        <sz val="11"/>
        <color indexed="8"/>
        <rFont val="宋体"/>
        <charset val="134"/>
      </rPr>
      <t>配套类型</t>
    </r>
  </si>
  <si>
    <r>
      <rPr>
        <sz val="11"/>
        <color indexed="8"/>
        <rFont val="宋体"/>
        <charset val="134"/>
      </rPr>
      <t>项目停车位配比</t>
    </r>
  </si>
  <si>
    <r>
      <rPr>
        <sz val="11"/>
        <color indexed="8"/>
        <rFont val="宋体"/>
        <charset val="134"/>
      </rPr>
      <t>成新率</t>
    </r>
  </si>
  <si>
    <r>
      <rPr>
        <sz val="11"/>
        <color indexed="8"/>
        <rFont val="宋体"/>
        <charset val="134"/>
      </rPr>
      <t>物业等级</t>
    </r>
  </si>
  <si>
    <r>
      <rPr>
        <sz val="11"/>
        <color indexed="8"/>
        <rFont val="宋体"/>
        <charset val="134"/>
      </rPr>
      <t>停车位面积</t>
    </r>
  </si>
  <si>
    <r>
      <rPr>
        <sz val="11"/>
        <color indexed="8"/>
        <rFont val="宋体"/>
        <charset val="134"/>
      </rPr>
      <t>车位类型</t>
    </r>
  </si>
  <si>
    <r>
      <rPr>
        <sz val="11"/>
        <color indexed="8"/>
        <rFont val="宋体"/>
        <charset val="134"/>
      </rPr>
      <t>是否直接入户</t>
    </r>
  </si>
  <si>
    <r>
      <rPr>
        <b/>
        <sz val="11"/>
        <rFont val="宋体"/>
        <charset val="134"/>
      </rPr>
      <t>成交单价</t>
    </r>
  </si>
  <si>
    <r>
      <rPr>
        <b/>
        <sz val="11"/>
        <rFont val="宋体"/>
        <charset val="134"/>
      </rPr>
      <t>元</t>
    </r>
    <r>
      <rPr>
        <b/>
        <sz val="11"/>
        <rFont val="Arial"/>
        <charset val="134"/>
      </rPr>
      <t>/</t>
    </r>
    <r>
      <rPr>
        <b/>
        <sz val="11"/>
        <rFont val="宋体"/>
        <charset val="134"/>
      </rPr>
      <t>平方米</t>
    </r>
  </si>
  <si>
    <r>
      <rPr>
        <b/>
        <sz val="11"/>
        <rFont val="宋体"/>
        <charset val="134"/>
      </rPr>
      <t>比较价值</t>
    </r>
  </si>
  <si>
    <r>
      <rPr>
        <sz val="11"/>
        <color indexed="8"/>
        <rFont val="宋体"/>
        <charset val="134"/>
      </rPr>
      <t>配套类型（地上主用途）</t>
    </r>
  </si>
  <si>
    <r>
      <rPr>
        <sz val="11"/>
        <color indexed="8"/>
        <rFont val="宋体"/>
        <charset val="134"/>
      </rPr>
      <t>有无电梯</t>
    </r>
  </si>
  <si>
    <r>
      <rPr>
        <sz val="11"/>
        <color indexed="8"/>
        <rFont val="宋体"/>
        <charset val="134"/>
      </rPr>
      <t>建筑面积</t>
    </r>
  </si>
  <si>
    <r>
      <rPr>
        <sz val="11"/>
        <color indexed="8"/>
        <rFont val="宋体"/>
        <charset val="134"/>
      </rPr>
      <t>是否封闭</t>
    </r>
  </si>
  <si>
    <r>
      <rPr>
        <b/>
        <sz val="16"/>
        <color indexed="10"/>
        <rFont val="宋体"/>
        <charset val="134"/>
      </rPr>
      <t>套用比较法</t>
    </r>
  </si>
  <si>
    <r>
      <rPr>
        <b/>
        <sz val="16"/>
        <rFont val="宋体"/>
        <charset val="134"/>
      </rPr>
      <t>住宅、综合</t>
    </r>
  </si>
  <si>
    <r>
      <rPr>
        <b/>
        <sz val="12"/>
        <rFont val="宋体"/>
        <charset val="134"/>
      </rPr>
      <t>元</t>
    </r>
  </si>
  <si>
    <r>
      <rPr>
        <sz val="11"/>
        <color indexed="8"/>
        <rFont val="宋体"/>
        <charset val="134"/>
      </rPr>
      <t>配建</t>
    </r>
  </si>
  <si>
    <r>
      <rPr>
        <sz val="11"/>
        <color indexed="8"/>
        <rFont val="宋体"/>
        <charset val="134"/>
      </rPr>
      <t>自然及人文环境状况</t>
    </r>
  </si>
  <si>
    <r>
      <rPr>
        <sz val="11"/>
        <color indexed="8"/>
        <rFont val="宋体"/>
        <charset val="134"/>
      </rPr>
      <t>土地级别</t>
    </r>
  </si>
  <si>
    <r>
      <rPr>
        <sz val="11"/>
        <color indexed="8"/>
        <rFont val="宋体"/>
        <charset val="134"/>
      </rPr>
      <t>宗地面积</t>
    </r>
  </si>
  <si>
    <r>
      <rPr>
        <sz val="11"/>
        <color indexed="8"/>
        <rFont val="宋体"/>
        <charset val="134"/>
      </rPr>
      <t>宗地形状</t>
    </r>
  </si>
  <si>
    <r>
      <rPr>
        <sz val="11"/>
        <color indexed="8"/>
        <rFont val="宋体"/>
        <charset val="134"/>
      </rPr>
      <t>临街宽度及深度</t>
    </r>
  </si>
  <si>
    <r>
      <rPr>
        <sz val="11"/>
        <color indexed="8"/>
        <rFont val="宋体"/>
        <charset val="134"/>
      </rPr>
      <t>宗地开发程度</t>
    </r>
  </si>
  <si>
    <r>
      <rPr>
        <sz val="11"/>
        <color indexed="8"/>
        <rFont val="宋体"/>
        <charset val="134"/>
      </rPr>
      <t>工程地质条件</t>
    </r>
  </si>
  <si>
    <r>
      <rPr>
        <b/>
        <sz val="11"/>
        <rFont val="宋体"/>
        <charset val="134"/>
      </rPr>
      <t>单价内涵</t>
    </r>
  </si>
  <si>
    <r>
      <rPr>
        <sz val="11"/>
        <rFont val="宋体"/>
        <charset val="134"/>
      </rPr>
      <t>用途</t>
    </r>
    <r>
      <rPr>
        <sz val="11"/>
        <rFont val="Arial"/>
        <charset val="134"/>
      </rPr>
      <t>/</t>
    </r>
    <r>
      <rPr>
        <sz val="11"/>
        <rFont val="宋体"/>
        <charset val="134"/>
      </rPr>
      <t>位置</t>
    </r>
  </si>
  <si>
    <r>
      <rPr>
        <sz val="11"/>
        <rFont val="宋体"/>
        <charset val="134"/>
      </rPr>
      <t>修正单价</t>
    </r>
  </si>
  <si>
    <r>
      <rPr>
        <sz val="11"/>
        <rFont val="宋体"/>
        <charset val="134"/>
      </rPr>
      <t>北京市系数</t>
    </r>
  </si>
  <si>
    <r>
      <rPr>
        <sz val="11"/>
        <rFont val="宋体"/>
        <charset val="134"/>
      </rPr>
      <t>政府土地出让收益比例</t>
    </r>
  </si>
  <si>
    <r>
      <rPr>
        <sz val="11"/>
        <rFont val="宋体"/>
        <charset val="134"/>
      </rPr>
      <t>建筑面积</t>
    </r>
  </si>
  <si>
    <r>
      <rPr>
        <sz val="11"/>
        <rFont val="宋体"/>
        <charset val="134"/>
      </rPr>
      <t>总价</t>
    </r>
  </si>
  <si>
    <r>
      <rPr>
        <sz val="11"/>
        <color theme="1"/>
        <rFont val="宋体"/>
        <charset val="134"/>
      </rPr>
      <t>北京市</t>
    </r>
  </si>
  <si>
    <r>
      <rPr>
        <sz val="11"/>
        <color rgb="FFFF0000"/>
        <rFont val="宋体"/>
        <charset val="134"/>
      </rPr>
      <t>外省市地下修正系数请自行录入</t>
    </r>
  </si>
  <si>
    <r>
      <rPr>
        <sz val="10"/>
        <rFont val="宋体"/>
        <charset val="134"/>
      </rPr>
      <t>地上</t>
    </r>
  </si>
  <si>
    <r>
      <rPr>
        <sz val="10"/>
        <rFont val="宋体"/>
        <charset val="134"/>
      </rPr>
      <t>地下商业（</t>
    </r>
    <r>
      <rPr>
        <sz val="10"/>
        <rFont val="Arial"/>
        <charset val="134"/>
      </rPr>
      <t>-1</t>
    </r>
    <r>
      <rPr>
        <sz val="10"/>
        <rFont val="宋体"/>
        <charset val="134"/>
      </rPr>
      <t>）</t>
    </r>
  </si>
  <si>
    <r>
      <rPr>
        <sz val="10"/>
        <rFont val="宋体"/>
        <charset val="134"/>
      </rPr>
      <t>地下商业（</t>
    </r>
    <r>
      <rPr>
        <sz val="10"/>
        <rFont val="Arial"/>
        <charset val="134"/>
      </rPr>
      <t>-2</t>
    </r>
    <r>
      <rPr>
        <sz val="10"/>
        <rFont val="宋体"/>
        <charset val="134"/>
      </rPr>
      <t>）</t>
    </r>
  </si>
  <si>
    <r>
      <rPr>
        <sz val="10"/>
        <rFont val="宋体"/>
        <charset val="134"/>
      </rPr>
      <t>地下商业（</t>
    </r>
    <r>
      <rPr>
        <sz val="10"/>
        <rFont val="Arial"/>
        <charset val="134"/>
      </rPr>
      <t>-3</t>
    </r>
    <r>
      <rPr>
        <sz val="10"/>
        <rFont val="宋体"/>
        <charset val="134"/>
      </rPr>
      <t>）</t>
    </r>
  </si>
  <si>
    <r>
      <rPr>
        <sz val="10"/>
        <rFont val="宋体"/>
        <charset val="134"/>
      </rPr>
      <t>地下商业（</t>
    </r>
    <r>
      <rPr>
        <sz val="10"/>
        <rFont val="Arial"/>
        <charset val="134"/>
      </rPr>
      <t>-4</t>
    </r>
    <r>
      <rPr>
        <sz val="10"/>
        <rFont val="宋体"/>
        <charset val="134"/>
      </rPr>
      <t>）</t>
    </r>
  </si>
  <si>
    <r>
      <rPr>
        <sz val="10"/>
        <rFont val="宋体"/>
        <charset val="134"/>
      </rPr>
      <t>地下办公</t>
    </r>
  </si>
  <si>
    <r>
      <rPr>
        <sz val="10"/>
        <rFont val="宋体"/>
        <charset val="134"/>
      </rPr>
      <t>地下仓储</t>
    </r>
  </si>
  <si>
    <r>
      <rPr>
        <sz val="10"/>
        <rFont val="宋体"/>
        <charset val="134"/>
      </rPr>
      <t>地下车库</t>
    </r>
  </si>
  <si>
    <r>
      <rPr>
        <sz val="10"/>
        <rFont val="宋体"/>
        <charset val="134"/>
      </rPr>
      <t>地下车库</t>
    </r>
    <r>
      <rPr>
        <sz val="10"/>
        <rFont val="Arial"/>
        <charset val="134"/>
      </rPr>
      <t>-</t>
    </r>
    <r>
      <rPr>
        <sz val="10"/>
        <rFont val="宋体"/>
        <charset val="134"/>
      </rPr>
      <t>商业</t>
    </r>
  </si>
  <si>
    <r>
      <rPr>
        <sz val="10"/>
        <rFont val="宋体"/>
        <charset val="134"/>
      </rPr>
      <t>地下车库</t>
    </r>
    <r>
      <rPr>
        <sz val="10"/>
        <rFont val="Arial"/>
        <charset val="134"/>
      </rPr>
      <t>-</t>
    </r>
    <r>
      <rPr>
        <sz val="10"/>
        <rFont val="宋体"/>
        <charset val="134"/>
      </rPr>
      <t>办公</t>
    </r>
  </si>
  <si>
    <r>
      <rPr>
        <b/>
        <sz val="10"/>
        <rFont val="宋体"/>
        <charset val="134"/>
      </rPr>
      <t>土地购买价格</t>
    </r>
  </si>
  <si>
    <r>
      <rPr>
        <b/>
        <sz val="11"/>
        <color indexed="8"/>
        <rFont val="宋体"/>
        <charset val="134"/>
      </rPr>
      <t>交易时间（按季度调整）</t>
    </r>
  </si>
  <si>
    <r>
      <rPr>
        <b/>
        <sz val="11"/>
        <color indexed="8"/>
        <rFont val="宋体"/>
        <charset val="134"/>
      </rPr>
      <t>商业</t>
    </r>
  </si>
  <si>
    <r>
      <rPr>
        <sz val="11"/>
        <rFont val="宋体"/>
        <charset val="134"/>
      </rPr>
      <t>多面临街</t>
    </r>
  </si>
  <si>
    <r>
      <rPr>
        <sz val="11"/>
        <rFont val="宋体"/>
        <charset val="134"/>
      </rPr>
      <t>双面临街</t>
    </r>
  </si>
  <si>
    <r>
      <rPr>
        <sz val="11"/>
        <rFont val="宋体"/>
        <charset val="134"/>
      </rPr>
      <t>单面临街</t>
    </r>
  </si>
  <si>
    <r>
      <rPr>
        <sz val="11"/>
        <rFont val="宋体"/>
        <charset val="134"/>
      </rPr>
      <t>不临街</t>
    </r>
  </si>
  <si>
    <r>
      <rPr>
        <sz val="11"/>
        <color indexed="8"/>
        <rFont val="宋体"/>
        <charset val="134"/>
      </rPr>
      <t>环境状况</t>
    </r>
  </si>
  <si>
    <r>
      <rPr>
        <b/>
        <sz val="11"/>
        <rFont val="宋体"/>
        <charset val="134"/>
      </rPr>
      <t>楼面地价</t>
    </r>
  </si>
  <si>
    <r>
      <rPr>
        <sz val="11"/>
        <rFont val="宋体"/>
        <charset val="134"/>
      </rPr>
      <t>北京市</t>
    </r>
  </si>
  <si>
    <r>
      <rPr>
        <b/>
        <sz val="11"/>
        <color indexed="8"/>
        <rFont val="宋体"/>
        <charset val="134"/>
      </rPr>
      <t>工业</t>
    </r>
  </si>
  <si>
    <r>
      <rPr>
        <b/>
        <sz val="16"/>
        <color indexed="10"/>
        <rFont val="宋体"/>
        <charset val="134"/>
      </rPr>
      <t>基准地价系数修正法</t>
    </r>
  </si>
  <si>
    <r>
      <rPr>
        <sz val="12"/>
        <rFont val="宋体"/>
        <charset val="134"/>
      </rPr>
      <t>商业多楼层</t>
    </r>
  </si>
  <si>
    <r>
      <rPr>
        <sz val="12"/>
        <rFont val="宋体"/>
        <charset val="134"/>
      </rPr>
      <t>楼层修正系数</t>
    </r>
  </si>
  <si>
    <r>
      <rPr>
        <sz val="12"/>
        <rFont val="宋体"/>
        <charset val="134"/>
      </rPr>
      <t>楼面熟地单价</t>
    </r>
  </si>
  <si>
    <r>
      <rPr>
        <sz val="12"/>
        <rFont val="宋体"/>
        <charset val="134"/>
      </rPr>
      <t>层面积</t>
    </r>
  </si>
  <si>
    <r>
      <rPr>
        <sz val="12"/>
        <rFont val="宋体"/>
        <charset val="134"/>
      </rPr>
      <t>总额</t>
    </r>
  </si>
  <si>
    <r>
      <rPr>
        <sz val="10"/>
        <rFont val="宋体"/>
        <charset val="134"/>
      </rPr>
      <t>用途</t>
    </r>
    <r>
      <rPr>
        <sz val="10"/>
        <rFont val="Arial"/>
        <charset val="134"/>
      </rPr>
      <t>/</t>
    </r>
    <r>
      <rPr>
        <sz val="10"/>
        <rFont val="宋体"/>
        <charset val="134"/>
      </rPr>
      <t>地上主用途</t>
    </r>
  </si>
  <si>
    <r>
      <rPr>
        <sz val="10"/>
        <rFont val="宋体"/>
        <charset val="134"/>
      </rPr>
      <t>土地级别</t>
    </r>
  </si>
  <si>
    <r>
      <rPr>
        <sz val="10"/>
        <rFont val="宋体"/>
        <charset val="134"/>
      </rPr>
      <t>区片编号</t>
    </r>
  </si>
  <si>
    <r>
      <rPr>
        <sz val="10"/>
        <rFont val="宋体"/>
        <charset val="134"/>
      </rPr>
      <t>用途类别</t>
    </r>
  </si>
  <si>
    <t>居住用地（指二类居住用地）</t>
  </si>
  <si>
    <r>
      <rPr>
        <sz val="10"/>
        <rFont val="宋体"/>
        <charset val="134"/>
      </rPr>
      <t>容积率</t>
    </r>
  </si>
  <si>
    <r>
      <rPr>
        <sz val="10"/>
        <rFont val="宋体"/>
        <charset val="134"/>
      </rPr>
      <t>楼层</t>
    </r>
  </si>
  <si>
    <r>
      <rPr>
        <sz val="10"/>
        <rFont val="宋体"/>
        <charset val="134"/>
      </rPr>
      <t>（地上）</t>
    </r>
  </si>
  <si>
    <r>
      <rPr>
        <b/>
        <sz val="11"/>
        <rFont val="宋体"/>
        <charset val="134"/>
      </rPr>
      <t>一、</t>
    </r>
  </si>
  <si>
    <r>
      <rPr>
        <b/>
        <sz val="11"/>
        <rFont val="宋体"/>
        <charset val="134"/>
      </rPr>
      <t>适用的楼面熟地价</t>
    </r>
  </si>
  <si>
    <r>
      <rPr>
        <sz val="11"/>
        <color theme="1"/>
        <rFont val="宋体"/>
        <charset val="134"/>
      </rPr>
      <t>五级</t>
    </r>
  </si>
  <si>
    <r>
      <rPr>
        <b/>
        <sz val="10"/>
        <rFont val="宋体"/>
        <charset val="134"/>
      </rPr>
      <t>适用的楼面熟地价</t>
    </r>
  </si>
  <si>
    <r>
      <rPr>
        <sz val="10"/>
        <color indexed="10"/>
        <rFont val="宋体"/>
        <charset val="134"/>
      </rPr>
      <t>依据《北京市区片基准地价表》，能否通过用途和级别筛选？</t>
    </r>
  </si>
  <si>
    <r>
      <rPr>
        <b/>
        <sz val="10"/>
        <rFont val="宋体"/>
        <charset val="134"/>
      </rPr>
      <t>商业路线价修正（商业用途）</t>
    </r>
  </si>
  <si>
    <r>
      <rPr>
        <sz val="10"/>
        <rFont val="宋体"/>
        <charset val="134"/>
      </rPr>
      <t>宗地深度（米）</t>
    </r>
  </si>
  <si>
    <r>
      <rPr>
        <sz val="10"/>
        <rFont val="宋体"/>
        <charset val="134"/>
      </rPr>
      <t>估价对象级别</t>
    </r>
  </si>
  <si>
    <r>
      <rPr>
        <sz val="10"/>
        <rFont val="宋体"/>
        <charset val="134"/>
      </rPr>
      <t>所在商业街</t>
    </r>
  </si>
  <si>
    <t>A1</t>
  </si>
  <si>
    <r>
      <rPr>
        <sz val="10"/>
        <rFont val="宋体"/>
        <charset val="134"/>
      </rPr>
      <t>临商业街红线</t>
    </r>
    <r>
      <rPr>
        <sz val="10"/>
        <rFont val="Arial"/>
        <charset val="134"/>
      </rPr>
      <t>1/4</t>
    </r>
    <r>
      <rPr>
        <sz val="10"/>
        <rFont val="宋体"/>
        <charset val="134"/>
      </rPr>
      <t>标准深度占地面积／宗地总面积</t>
    </r>
  </si>
  <si>
    <r>
      <rPr>
        <sz val="10"/>
        <rFont val="宋体"/>
        <charset val="134"/>
      </rPr>
      <t>容积率</t>
    </r>
    <r>
      <rPr>
        <sz val="10"/>
        <rFont val="Arial"/>
        <charset val="134"/>
      </rPr>
      <t xml:space="preserve">             </t>
    </r>
    <r>
      <rPr>
        <sz val="10"/>
        <rFont val="宋体"/>
        <charset val="134"/>
      </rPr>
      <t>级别</t>
    </r>
  </si>
  <si>
    <r>
      <rPr>
        <sz val="10"/>
        <color theme="1"/>
        <rFont val="宋体"/>
        <charset val="134"/>
      </rPr>
      <t>一级</t>
    </r>
  </si>
  <si>
    <r>
      <rPr>
        <sz val="10"/>
        <color theme="1"/>
        <rFont val="宋体"/>
        <charset val="134"/>
      </rPr>
      <t>二级</t>
    </r>
  </si>
  <si>
    <r>
      <rPr>
        <sz val="10"/>
        <color theme="1"/>
        <rFont val="宋体"/>
        <charset val="134"/>
      </rPr>
      <t>三级</t>
    </r>
  </si>
  <si>
    <r>
      <rPr>
        <sz val="10"/>
        <color theme="1"/>
        <rFont val="宋体"/>
        <charset val="134"/>
      </rPr>
      <t>四级</t>
    </r>
  </si>
  <si>
    <r>
      <rPr>
        <sz val="10"/>
        <color theme="1"/>
        <rFont val="宋体"/>
        <charset val="134"/>
      </rPr>
      <t>五级</t>
    </r>
  </si>
  <si>
    <r>
      <rPr>
        <sz val="10"/>
        <color theme="1"/>
        <rFont val="宋体"/>
        <charset val="134"/>
      </rPr>
      <t>六级</t>
    </r>
  </si>
  <si>
    <r>
      <rPr>
        <sz val="10"/>
        <color theme="1"/>
        <rFont val="宋体"/>
        <charset val="134"/>
      </rPr>
      <t>七级</t>
    </r>
  </si>
  <si>
    <r>
      <rPr>
        <sz val="10"/>
        <color theme="1"/>
        <rFont val="宋体"/>
        <charset val="134"/>
      </rPr>
      <t>八级</t>
    </r>
  </si>
  <si>
    <r>
      <rPr>
        <sz val="10"/>
        <color theme="1"/>
        <rFont val="宋体"/>
        <charset val="134"/>
      </rPr>
      <t>九级</t>
    </r>
  </si>
  <si>
    <r>
      <rPr>
        <sz val="10"/>
        <color theme="1"/>
        <rFont val="宋体"/>
        <charset val="134"/>
      </rPr>
      <t>十级</t>
    </r>
  </si>
  <si>
    <r>
      <rPr>
        <sz val="10"/>
        <color theme="1"/>
        <rFont val="宋体"/>
        <charset val="134"/>
      </rPr>
      <t>十一级</t>
    </r>
  </si>
  <si>
    <r>
      <rPr>
        <sz val="10"/>
        <color theme="1"/>
        <rFont val="宋体"/>
        <charset val="134"/>
      </rPr>
      <t>十二级</t>
    </r>
  </si>
  <si>
    <r>
      <rPr>
        <sz val="10"/>
        <rFont val="宋体"/>
        <charset val="134"/>
      </rPr>
      <t>加价幅度</t>
    </r>
  </si>
  <si>
    <t>A2</t>
  </si>
  <si>
    <r>
      <rPr>
        <sz val="10"/>
        <rFont val="宋体"/>
        <charset val="134"/>
      </rPr>
      <t>临商业街红线</t>
    </r>
    <r>
      <rPr>
        <sz val="10"/>
        <rFont val="Arial"/>
        <charset val="134"/>
      </rPr>
      <t>1/4</t>
    </r>
    <r>
      <rPr>
        <sz val="10"/>
        <rFont val="宋体"/>
        <charset val="134"/>
      </rPr>
      <t>至</t>
    </r>
    <r>
      <rPr>
        <sz val="10"/>
        <rFont val="Arial"/>
        <charset val="134"/>
      </rPr>
      <t>2/4</t>
    </r>
    <r>
      <rPr>
        <sz val="10"/>
        <rFont val="宋体"/>
        <charset val="134"/>
      </rPr>
      <t>标准深度占地面积／宗地总面积</t>
    </r>
  </si>
  <si>
    <r>
      <rPr>
        <sz val="10"/>
        <rFont val="宋体"/>
        <charset val="134"/>
      </rPr>
      <t>商业</t>
    </r>
    <r>
      <rPr>
        <sz val="10"/>
        <rFont val="Arial"/>
        <charset val="134"/>
      </rPr>
      <t>R</t>
    </r>
    <r>
      <rPr>
        <sz val="10"/>
        <rFont val="宋体"/>
        <charset val="134"/>
      </rPr>
      <t>≥</t>
    </r>
    <r>
      <rPr>
        <sz val="10"/>
        <rFont val="Arial"/>
        <charset val="134"/>
      </rPr>
      <t>1</t>
    </r>
  </si>
  <si>
    <r>
      <rPr>
        <sz val="10"/>
        <color theme="1"/>
        <rFont val="Arial"/>
        <charset val="134"/>
      </rPr>
      <t>7</t>
    </r>
    <r>
      <rPr>
        <sz val="10"/>
        <color theme="1"/>
        <rFont val="宋体"/>
        <charset val="134"/>
      </rPr>
      <t>层及以上</t>
    </r>
  </si>
  <si>
    <r>
      <rPr>
        <sz val="10"/>
        <rFont val="宋体"/>
        <charset val="134"/>
      </rPr>
      <t>标准深度（米）</t>
    </r>
  </si>
  <si>
    <t>A3</t>
  </si>
  <si>
    <r>
      <rPr>
        <sz val="10"/>
        <rFont val="宋体"/>
        <charset val="134"/>
      </rPr>
      <t>临商业街红线</t>
    </r>
    <r>
      <rPr>
        <sz val="10"/>
        <rFont val="Arial"/>
        <charset val="134"/>
      </rPr>
      <t>2/4</t>
    </r>
    <r>
      <rPr>
        <sz val="10"/>
        <rFont val="宋体"/>
        <charset val="134"/>
      </rPr>
      <t>至</t>
    </r>
    <r>
      <rPr>
        <sz val="10"/>
        <rFont val="Arial"/>
        <charset val="134"/>
      </rPr>
      <t>3/4</t>
    </r>
    <r>
      <rPr>
        <sz val="10"/>
        <rFont val="宋体"/>
        <charset val="134"/>
      </rPr>
      <t>标准深度占地面积／宗地总面积</t>
    </r>
  </si>
  <si>
    <r>
      <rPr>
        <sz val="10"/>
        <rFont val="Arial"/>
        <charset val="134"/>
      </rPr>
      <t>1/4</t>
    </r>
    <r>
      <rPr>
        <sz val="10"/>
        <rFont val="宋体"/>
        <charset val="134"/>
      </rPr>
      <t>标准深度</t>
    </r>
  </si>
  <si>
    <t>A4</t>
  </si>
  <si>
    <r>
      <rPr>
        <sz val="10"/>
        <rFont val="宋体"/>
        <charset val="134"/>
      </rPr>
      <t>临商业街红线</t>
    </r>
    <r>
      <rPr>
        <sz val="10"/>
        <rFont val="Arial"/>
        <charset val="134"/>
      </rPr>
      <t>3/4</t>
    </r>
    <r>
      <rPr>
        <sz val="10"/>
        <rFont val="宋体"/>
        <charset val="134"/>
      </rPr>
      <t>至</t>
    </r>
    <r>
      <rPr>
        <sz val="10"/>
        <rFont val="Arial"/>
        <charset val="134"/>
      </rPr>
      <t>4/4</t>
    </r>
    <r>
      <rPr>
        <sz val="10"/>
        <rFont val="宋体"/>
        <charset val="134"/>
      </rPr>
      <t>标准深度占地面积／宗地总面积</t>
    </r>
  </si>
  <si>
    <r>
      <rPr>
        <sz val="10"/>
        <rFont val="宋体"/>
        <charset val="134"/>
      </rPr>
      <t>商业</t>
    </r>
    <r>
      <rPr>
        <sz val="10"/>
        <rFont val="Arial"/>
        <charset val="134"/>
      </rPr>
      <t>R&lt;1</t>
    </r>
  </si>
  <si>
    <r>
      <rPr>
        <b/>
        <sz val="10"/>
        <rFont val="宋体"/>
        <charset val="134"/>
      </rPr>
      <t>特殊情况修正（居住用途）</t>
    </r>
  </si>
  <si>
    <r>
      <rPr>
        <sz val="10"/>
        <rFont val="宋体"/>
        <charset val="134"/>
      </rPr>
      <t>需根据项目情况调整公式修正项</t>
    </r>
  </si>
  <si>
    <r>
      <rPr>
        <sz val="10"/>
        <color theme="1"/>
        <rFont val="宋体"/>
        <charset val="134"/>
      </rPr>
      <t>地上第</t>
    </r>
    <r>
      <rPr>
        <sz val="10"/>
        <color theme="1"/>
        <rFont val="Arial"/>
        <charset val="134"/>
      </rPr>
      <t>7</t>
    </r>
    <r>
      <rPr>
        <sz val="10"/>
        <color theme="1"/>
        <rFont val="宋体"/>
        <charset val="134"/>
      </rPr>
      <t>层及以上各层</t>
    </r>
  </si>
  <si>
    <r>
      <rPr>
        <sz val="10"/>
        <color indexed="8"/>
        <rFont val="宋体"/>
        <charset val="134"/>
      </rPr>
      <t>特殊情况</t>
    </r>
  </si>
  <si>
    <r>
      <rPr>
        <sz val="10"/>
        <color indexed="8"/>
        <rFont val="宋体"/>
        <charset val="134"/>
      </rPr>
      <t>公园</t>
    </r>
  </si>
  <si>
    <r>
      <rPr>
        <sz val="10"/>
        <color indexed="8"/>
        <rFont val="宋体"/>
        <charset val="134"/>
      </rPr>
      <t>水系</t>
    </r>
  </si>
  <si>
    <r>
      <rPr>
        <sz val="10"/>
        <color indexed="8"/>
        <rFont val="宋体"/>
        <charset val="134"/>
      </rPr>
      <t>中小学名校</t>
    </r>
  </si>
  <si>
    <r>
      <rPr>
        <sz val="10"/>
        <color indexed="8"/>
        <rFont val="宋体"/>
        <charset val="134"/>
      </rPr>
      <t>轨道交通站点周边</t>
    </r>
  </si>
  <si>
    <r>
      <rPr>
        <sz val="10"/>
        <rFont val="宋体"/>
        <charset val="134"/>
      </rPr>
      <t>无</t>
    </r>
  </si>
  <si>
    <r>
      <rPr>
        <sz val="10"/>
        <color theme="1"/>
        <rFont val="宋体"/>
        <charset val="134"/>
      </rPr>
      <t>有</t>
    </r>
  </si>
  <si>
    <r>
      <rPr>
        <sz val="10"/>
        <color theme="1"/>
        <rFont val="宋体"/>
        <charset val="134"/>
      </rPr>
      <t>无</t>
    </r>
  </si>
  <si>
    <r>
      <rPr>
        <sz val="10"/>
        <color theme="1"/>
        <rFont val="Arial"/>
        <charset val="134"/>
      </rPr>
      <t>500</t>
    </r>
    <r>
      <rPr>
        <sz val="10"/>
        <color theme="1"/>
        <rFont val="宋体"/>
        <charset val="134"/>
      </rPr>
      <t>米范围内</t>
    </r>
  </si>
  <si>
    <r>
      <rPr>
        <sz val="10"/>
        <color indexed="10"/>
        <rFont val="宋体"/>
        <charset val="134"/>
      </rPr>
      <t>其他（垃圾填埋场</t>
    </r>
    <r>
      <rPr>
        <sz val="10"/>
        <color indexed="10"/>
        <rFont val="Arial"/>
        <charset val="134"/>
      </rPr>
      <t>/</t>
    </r>
    <r>
      <rPr>
        <sz val="10"/>
        <color indexed="10"/>
        <rFont val="宋体"/>
        <charset val="134"/>
      </rPr>
      <t>污水处理厂等），自定义，修正幅度不超过</t>
    </r>
    <r>
      <rPr>
        <sz val="10"/>
        <color indexed="10"/>
        <rFont val="Arial"/>
        <charset val="134"/>
      </rPr>
      <t>±10%</t>
    </r>
  </si>
  <si>
    <r>
      <rPr>
        <b/>
        <sz val="10"/>
        <rFont val="宋体"/>
        <charset val="134"/>
      </rPr>
      <t>开发程度差异修正</t>
    </r>
  </si>
  <si>
    <r>
      <rPr>
        <sz val="10"/>
        <rFont val="宋体"/>
        <charset val="134"/>
      </rPr>
      <t>级别开发程度</t>
    </r>
  </si>
  <si>
    <r>
      <rPr>
        <sz val="10"/>
        <rFont val="宋体"/>
        <charset val="134"/>
      </rPr>
      <t>估价对象开发程度</t>
    </r>
  </si>
  <si>
    <r>
      <rPr>
        <sz val="10"/>
        <rFont val="宋体"/>
        <charset val="134"/>
      </rPr>
      <t>级别平均容积率</t>
    </r>
  </si>
  <si>
    <t>与级别开发程度一致</t>
  </si>
  <si>
    <r>
      <rPr>
        <b/>
        <sz val="11"/>
        <rFont val="宋体"/>
        <charset val="134"/>
      </rPr>
      <t>二、</t>
    </r>
  </si>
  <si>
    <r>
      <rPr>
        <b/>
        <sz val="11"/>
        <rFont val="宋体"/>
        <charset val="134"/>
      </rPr>
      <t>用途修正系数</t>
    </r>
  </si>
  <si>
    <r>
      <rPr>
        <b/>
        <sz val="11"/>
        <rFont val="宋体"/>
        <charset val="134"/>
      </rPr>
      <t>三、</t>
    </r>
  </si>
  <si>
    <r>
      <rPr>
        <b/>
        <sz val="11"/>
        <rFont val="宋体"/>
        <charset val="134"/>
      </rPr>
      <t>期日修正指数</t>
    </r>
  </si>
  <si>
    <r>
      <rPr>
        <sz val="11"/>
        <rFont val="宋体"/>
        <charset val="134"/>
      </rPr>
      <t>基准期日</t>
    </r>
  </si>
  <si>
    <r>
      <rPr>
        <sz val="11"/>
        <rFont val="宋体"/>
        <charset val="134"/>
      </rPr>
      <t>估价期日</t>
    </r>
  </si>
  <si>
    <t>按公示增长率计算</t>
  </si>
  <si>
    <r>
      <rPr>
        <sz val="11"/>
        <rFont val="宋体"/>
        <charset val="134"/>
      </rPr>
      <t>基准日地价指数</t>
    </r>
  </si>
  <si>
    <r>
      <rPr>
        <sz val="10"/>
        <rFont val="宋体"/>
        <charset val="134"/>
      </rPr>
      <t>相差季度数</t>
    </r>
  </si>
  <si>
    <r>
      <rPr>
        <b/>
        <sz val="11"/>
        <rFont val="宋体"/>
        <charset val="134"/>
      </rPr>
      <t>四、</t>
    </r>
  </si>
  <si>
    <r>
      <rPr>
        <b/>
        <sz val="11"/>
        <rFont val="宋体"/>
        <charset val="134"/>
      </rPr>
      <t>年期修正系数</t>
    </r>
  </si>
  <si>
    <r>
      <rPr>
        <sz val="10"/>
        <rFont val="宋体"/>
        <charset val="134"/>
      </rPr>
      <t>现行一年期贷款利率</t>
    </r>
  </si>
  <si>
    <r>
      <rPr>
        <sz val="10"/>
        <rFont val="宋体"/>
        <charset val="134"/>
      </rPr>
      <t>土地还原率</t>
    </r>
  </si>
  <si>
    <r>
      <rPr>
        <sz val="10"/>
        <rFont val="宋体"/>
        <charset val="134"/>
      </rPr>
      <t>剩余使用年限</t>
    </r>
  </si>
  <si>
    <r>
      <rPr>
        <sz val="11"/>
        <rFont val="宋体"/>
        <charset val="134"/>
      </rPr>
      <t>所在季度地价指数</t>
    </r>
  </si>
  <si>
    <r>
      <rPr>
        <sz val="11"/>
        <rFont val="宋体"/>
        <charset val="134"/>
      </rPr>
      <t>季度增幅</t>
    </r>
  </si>
  <si>
    <r>
      <rPr>
        <sz val="11"/>
        <rFont val="宋体"/>
        <charset val="134"/>
      </rPr>
      <t>自定义涨幅</t>
    </r>
  </si>
  <si>
    <r>
      <rPr>
        <sz val="11"/>
        <rFont val="宋体"/>
        <charset val="134"/>
      </rPr>
      <t>平均季度涨幅（公示）</t>
    </r>
  </si>
  <si>
    <r>
      <rPr>
        <b/>
        <sz val="11"/>
        <rFont val="宋体"/>
        <charset val="134"/>
      </rPr>
      <t>五、</t>
    </r>
  </si>
  <si>
    <r>
      <rPr>
        <b/>
        <sz val="11"/>
        <rFont val="宋体"/>
        <charset val="134"/>
      </rPr>
      <t>容积率修正</t>
    </r>
  </si>
  <si>
    <r>
      <rPr>
        <sz val="11"/>
        <rFont val="宋体"/>
        <charset val="134"/>
      </rPr>
      <t>商业</t>
    </r>
  </si>
  <si>
    <r>
      <rPr>
        <sz val="11"/>
        <rFont val="宋体"/>
        <charset val="134"/>
      </rPr>
      <t>容积率修正系数</t>
    </r>
  </si>
  <si>
    <r>
      <rPr>
        <sz val="11"/>
        <rFont val="Arial"/>
        <charset val="134"/>
      </rPr>
      <t>R</t>
    </r>
    <r>
      <rPr>
        <sz val="11"/>
        <rFont val="宋体"/>
        <charset val="134"/>
      </rPr>
      <t>≤</t>
    </r>
    <r>
      <rPr>
        <sz val="11"/>
        <rFont val="Arial"/>
        <charset val="134"/>
      </rPr>
      <t>10</t>
    </r>
  </si>
  <si>
    <t>R&gt;10</t>
  </si>
  <si>
    <r>
      <rPr>
        <sz val="11"/>
        <rFont val="宋体"/>
        <charset val="134"/>
      </rPr>
      <t>办公</t>
    </r>
  </si>
  <si>
    <r>
      <rPr>
        <sz val="11"/>
        <rFont val="宋体"/>
        <charset val="134"/>
      </rPr>
      <t>楼层修正系数（商业）</t>
    </r>
  </si>
  <si>
    <r>
      <rPr>
        <sz val="11"/>
        <rFont val="宋体"/>
        <charset val="134"/>
      </rPr>
      <t>住宅</t>
    </r>
  </si>
  <si>
    <r>
      <rPr>
        <b/>
        <sz val="11"/>
        <rFont val="宋体"/>
        <charset val="134"/>
      </rPr>
      <t>六、</t>
    </r>
  </si>
  <si>
    <r>
      <rPr>
        <b/>
        <sz val="11"/>
        <rFont val="宋体"/>
        <charset val="134"/>
      </rPr>
      <t>因素修正系数</t>
    </r>
  </si>
  <si>
    <r>
      <rPr>
        <sz val="11"/>
        <rFont val="宋体"/>
        <charset val="134"/>
      </rPr>
      <t>工业</t>
    </r>
  </si>
  <si>
    <r>
      <rPr>
        <b/>
        <sz val="11"/>
        <rFont val="宋体"/>
        <charset val="134"/>
      </rPr>
      <t>七、</t>
    </r>
  </si>
  <si>
    <r>
      <rPr>
        <b/>
        <sz val="11"/>
        <rFont val="宋体"/>
        <charset val="134"/>
      </rPr>
      <t>估算结果</t>
    </r>
  </si>
  <si>
    <r>
      <rPr>
        <sz val="11"/>
        <rFont val="宋体"/>
        <charset val="134"/>
      </rPr>
      <t>综合</t>
    </r>
  </si>
  <si>
    <r>
      <rPr>
        <sz val="11"/>
        <rFont val="宋体"/>
        <charset val="134"/>
      </rPr>
      <t>熟地价</t>
    </r>
  </si>
  <si>
    <r>
      <rPr>
        <sz val="10"/>
        <rFont val="宋体"/>
        <charset val="134"/>
      </rPr>
      <t>用途</t>
    </r>
  </si>
  <si>
    <r>
      <rPr>
        <sz val="10"/>
        <rFont val="宋体"/>
        <charset val="134"/>
      </rPr>
      <t>商业</t>
    </r>
  </si>
  <si>
    <r>
      <rPr>
        <sz val="10"/>
        <rFont val="宋体"/>
        <charset val="134"/>
      </rPr>
      <t>办公</t>
    </r>
  </si>
  <si>
    <r>
      <rPr>
        <sz val="10"/>
        <rFont val="宋体"/>
        <charset val="134"/>
      </rPr>
      <t>住宅</t>
    </r>
  </si>
  <si>
    <r>
      <rPr>
        <sz val="10"/>
        <rFont val="宋体"/>
        <charset val="134"/>
      </rPr>
      <t>工业</t>
    </r>
  </si>
  <si>
    <r>
      <rPr>
        <sz val="11"/>
        <rFont val="宋体"/>
        <charset val="134"/>
      </rPr>
      <t>政府土地出让收益</t>
    </r>
  </si>
  <si>
    <r>
      <rPr>
        <sz val="10"/>
        <rFont val="宋体"/>
        <charset val="134"/>
      </rPr>
      <t>上浮比率</t>
    </r>
  </si>
  <si>
    <r>
      <rPr>
        <b/>
        <sz val="10"/>
        <rFont val="宋体"/>
        <charset val="134"/>
      </rPr>
      <t>地上部分</t>
    </r>
  </si>
  <si>
    <r>
      <rPr>
        <b/>
        <sz val="11"/>
        <rFont val="宋体"/>
        <charset val="134"/>
      </rPr>
      <t>单价</t>
    </r>
  </si>
  <si>
    <r>
      <rPr>
        <b/>
        <sz val="11"/>
        <rFont val="宋体"/>
        <charset val="134"/>
      </rPr>
      <t>建筑面积</t>
    </r>
  </si>
  <si>
    <r>
      <rPr>
        <b/>
        <sz val="11"/>
        <rFont val="宋体"/>
        <charset val="134"/>
      </rPr>
      <t>总额</t>
    </r>
  </si>
  <si>
    <r>
      <rPr>
        <sz val="10"/>
        <rFont val="宋体"/>
        <charset val="134"/>
      </rPr>
      <t>地上部分</t>
    </r>
    <r>
      <rPr>
        <sz val="10"/>
        <rFont val="Arial"/>
        <charset val="134"/>
      </rPr>
      <t>——</t>
    </r>
    <r>
      <rPr>
        <sz val="10"/>
        <rFont val="宋体"/>
        <charset val="134"/>
      </rPr>
      <t>楼面熟地价</t>
    </r>
  </si>
  <si>
    <r>
      <rPr>
        <sz val="10"/>
        <color indexed="8"/>
        <rFont val="宋体"/>
        <charset val="134"/>
      </rPr>
      <t>楼面熟地价</t>
    </r>
    <r>
      <rPr>
        <sz val="10"/>
        <color indexed="8"/>
        <rFont val="Arial"/>
        <charset val="134"/>
      </rPr>
      <t>=</t>
    </r>
    <r>
      <rPr>
        <sz val="10"/>
        <color indexed="8"/>
        <rFont val="宋体"/>
        <charset val="134"/>
      </rPr>
      <t>适用的基准地价</t>
    </r>
    <r>
      <rPr>
        <sz val="10"/>
        <color indexed="8"/>
        <rFont val="Arial"/>
        <charset val="134"/>
      </rPr>
      <t>×</t>
    </r>
    <r>
      <rPr>
        <sz val="10"/>
        <color indexed="8"/>
        <rFont val="宋体"/>
        <charset val="134"/>
      </rPr>
      <t>用途修正系数</t>
    </r>
    <r>
      <rPr>
        <sz val="10"/>
        <color indexed="8"/>
        <rFont val="Arial"/>
        <charset val="134"/>
      </rPr>
      <t>×</t>
    </r>
    <r>
      <rPr>
        <sz val="10"/>
        <color indexed="8"/>
        <rFont val="宋体"/>
        <charset val="134"/>
      </rPr>
      <t>期日修正系数</t>
    </r>
    <r>
      <rPr>
        <sz val="10"/>
        <color indexed="8"/>
        <rFont val="Arial"/>
        <charset val="134"/>
      </rPr>
      <t>×</t>
    </r>
    <r>
      <rPr>
        <sz val="10"/>
        <color indexed="8"/>
        <rFont val="宋体"/>
        <charset val="134"/>
      </rPr>
      <t>年期修正系数</t>
    </r>
    <r>
      <rPr>
        <sz val="10"/>
        <color indexed="8"/>
        <rFont val="Arial"/>
        <charset val="134"/>
      </rPr>
      <t>×</t>
    </r>
    <r>
      <rPr>
        <sz val="10"/>
        <color indexed="8"/>
        <rFont val="宋体"/>
        <charset val="134"/>
      </rPr>
      <t>（容积率修正系数或楼层修正系数）</t>
    </r>
    <r>
      <rPr>
        <sz val="10"/>
        <color indexed="8"/>
        <rFont val="Arial"/>
        <charset val="134"/>
      </rPr>
      <t>×</t>
    </r>
    <r>
      <rPr>
        <sz val="10"/>
        <color indexed="8"/>
        <rFont val="宋体"/>
        <charset val="134"/>
      </rPr>
      <t>因素修正系数</t>
    </r>
  </si>
  <si>
    <r>
      <rPr>
        <sz val="10"/>
        <rFont val="宋体"/>
        <charset val="134"/>
      </rPr>
      <t>地上部分</t>
    </r>
    <r>
      <rPr>
        <sz val="10"/>
        <rFont val="Arial"/>
        <charset val="134"/>
      </rPr>
      <t>——</t>
    </r>
    <r>
      <rPr>
        <sz val="10"/>
        <rFont val="宋体"/>
        <charset val="134"/>
      </rPr>
      <t>政府土地出让收益</t>
    </r>
  </si>
  <si>
    <r>
      <rPr>
        <sz val="10"/>
        <rFont val="宋体"/>
        <charset val="134"/>
      </rPr>
      <t>政府土地出让收益</t>
    </r>
    <r>
      <rPr>
        <sz val="10"/>
        <rFont val="Arial"/>
        <charset val="134"/>
      </rPr>
      <t>=</t>
    </r>
    <r>
      <rPr>
        <sz val="10"/>
        <rFont val="宋体"/>
        <charset val="134"/>
      </rPr>
      <t>楼面熟地价</t>
    </r>
    <r>
      <rPr>
        <sz val="10"/>
        <rFont val="Arial"/>
        <charset val="134"/>
      </rPr>
      <t>×</t>
    </r>
    <r>
      <rPr>
        <sz val="10"/>
        <rFont val="宋体"/>
        <charset val="134"/>
      </rPr>
      <t>政府土地出让收益比例</t>
    </r>
  </si>
  <si>
    <r>
      <rPr>
        <b/>
        <sz val="10"/>
        <rFont val="宋体"/>
        <charset val="134"/>
      </rPr>
      <t>地下部分</t>
    </r>
  </si>
  <si>
    <r>
      <rPr>
        <sz val="10"/>
        <rFont val="宋体"/>
        <charset val="134"/>
      </rPr>
      <t>楼面熟地价</t>
    </r>
    <r>
      <rPr>
        <sz val="10"/>
        <rFont val="Arial"/>
        <charset val="134"/>
      </rPr>
      <t>=</t>
    </r>
    <r>
      <rPr>
        <sz val="10"/>
        <rFont val="宋体"/>
        <charset val="134"/>
      </rPr>
      <t>适用的基准地价</t>
    </r>
    <r>
      <rPr>
        <sz val="10"/>
        <rFont val="Arial"/>
        <charset val="134"/>
      </rPr>
      <t>×</t>
    </r>
    <r>
      <rPr>
        <sz val="10"/>
        <rFont val="宋体"/>
        <charset val="134"/>
      </rPr>
      <t>期日修正系数</t>
    </r>
    <r>
      <rPr>
        <sz val="10"/>
        <rFont val="Arial"/>
        <charset val="134"/>
      </rPr>
      <t>×</t>
    </r>
    <r>
      <rPr>
        <sz val="10"/>
        <rFont val="宋体"/>
        <charset val="134"/>
      </rPr>
      <t>年期修正系数</t>
    </r>
    <r>
      <rPr>
        <sz val="10"/>
        <rFont val="Arial"/>
        <charset val="134"/>
      </rPr>
      <t>×</t>
    </r>
    <r>
      <rPr>
        <sz val="10"/>
        <rFont val="宋体"/>
        <charset val="134"/>
      </rPr>
      <t>因素修正系数</t>
    </r>
    <r>
      <rPr>
        <sz val="10"/>
        <rFont val="Arial"/>
        <charset val="134"/>
      </rPr>
      <t>×</t>
    </r>
    <r>
      <rPr>
        <sz val="10"/>
        <rFont val="宋体"/>
        <charset val="134"/>
      </rPr>
      <t>相应用途地下空间修正系数</t>
    </r>
  </si>
  <si>
    <r>
      <rPr>
        <sz val="10"/>
        <rFont val="宋体"/>
        <charset val="134"/>
      </rPr>
      <t>相应用途地下空间修正系数</t>
    </r>
  </si>
  <si>
    <r>
      <rPr>
        <b/>
        <sz val="10"/>
        <color rgb="FFFF0000"/>
        <rFont val="宋体"/>
        <charset val="134"/>
      </rPr>
      <t>地下商业不考虑路线价修正</t>
    </r>
  </si>
  <si>
    <r>
      <rPr>
        <sz val="10"/>
        <color theme="1"/>
        <rFont val="宋体"/>
        <charset val="134"/>
      </rPr>
      <t>地下第</t>
    </r>
    <r>
      <rPr>
        <sz val="10"/>
        <color theme="1"/>
        <rFont val="Arial"/>
        <charset val="134"/>
      </rPr>
      <t>1</t>
    </r>
    <r>
      <rPr>
        <sz val="10"/>
        <color theme="1"/>
        <rFont val="宋体"/>
        <charset val="134"/>
      </rPr>
      <t>层商业</t>
    </r>
  </si>
  <si>
    <r>
      <rPr>
        <sz val="10"/>
        <color theme="1"/>
        <rFont val="宋体"/>
        <charset val="134"/>
      </rPr>
      <t>地下第</t>
    </r>
    <r>
      <rPr>
        <sz val="10"/>
        <color theme="1"/>
        <rFont val="Arial"/>
        <charset val="134"/>
      </rPr>
      <t>2</t>
    </r>
    <r>
      <rPr>
        <sz val="10"/>
        <color theme="1"/>
        <rFont val="宋体"/>
        <charset val="134"/>
      </rPr>
      <t>层商业</t>
    </r>
  </si>
  <si>
    <r>
      <rPr>
        <sz val="10"/>
        <color theme="1"/>
        <rFont val="宋体"/>
        <charset val="134"/>
      </rPr>
      <t>地下第</t>
    </r>
    <r>
      <rPr>
        <sz val="10"/>
        <color theme="1"/>
        <rFont val="Arial"/>
        <charset val="134"/>
      </rPr>
      <t>3</t>
    </r>
    <r>
      <rPr>
        <sz val="10"/>
        <color theme="1"/>
        <rFont val="宋体"/>
        <charset val="134"/>
      </rPr>
      <t>层商业</t>
    </r>
  </si>
  <si>
    <r>
      <rPr>
        <sz val="10"/>
        <color theme="1"/>
        <rFont val="宋体"/>
        <charset val="134"/>
      </rPr>
      <t>地下第</t>
    </r>
    <r>
      <rPr>
        <sz val="10"/>
        <color theme="1"/>
        <rFont val="Arial"/>
        <charset val="134"/>
      </rPr>
      <t>4</t>
    </r>
    <r>
      <rPr>
        <sz val="10"/>
        <color theme="1"/>
        <rFont val="宋体"/>
        <charset val="134"/>
      </rPr>
      <t>层商业</t>
    </r>
  </si>
  <si>
    <r>
      <rPr>
        <sz val="10"/>
        <color theme="1"/>
        <rFont val="宋体"/>
        <charset val="134"/>
      </rPr>
      <t>地下办公</t>
    </r>
  </si>
  <si>
    <r>
      <rPr>
        <sz val="10"/>
        <rFont val="宋体"/>
        <charset val="134"/>
      </rPr>
      <t>政府土地出让收益比例</t>
    </r>
  </si>
  <si>
    <r>
      <rPr>
        <sz val="10"/>
        <color theme="1"/>
        <rFont val="宋体"/>
        <charset val="134"/>
      </rPr>
      <t>地下仓储</t>
    </r>
  </si>
  <si>
    <r>
      <rPr>
        <sz val="10"/>
        <rFont val="宋体"/>
        <charset val="134"/>
      </rPr>
      <t>商业</t>
    </r>
    <r>
      <rPr>
        <sz val="10"/>
        <rFont val="Arial"/>
        <charset val="134"/>
      </rPr>
      <t>/</t>
    </r>
    <r>
      <rPr>
        <sz val="10"/>
        <rFont val="宋体"/>
        <charset val="134"/>
      </rPr>
      <t>办公</t>
    </r>
    <r>
      <rPr>
        <sz val="10"/>
        <rFont val="Arial"/>
        <charset val="134"/>
      </rPr>
      <t>/</t>
    </r>
    <r>
      <rPr>
        <sz val="10"/>
        <rFont val="宋体"/>
        <charset val="134"/>
      </rPr>
      <t>居住</t>
    </r>
  </si>
  <si>
    <r>
      <rPr>
        <sz val="10"/>
        <color theme="1"/>
        <rFont val="宋体"/>
        <charset val="134"/>
      </rPr>
      <t>地下车库</t>
    </r>
  </si>
  <si>
    <t>地下车库及仓储年期修正</t>
  </si>
  <si>
    <r>
      <rPr>
        <b/>
        <sz val="11"/>
        <color rgb="FFFF0000"/>
        <rFont val="宋体"/>
        <charset val="134"/>
      </rPr>
      <t>结果不可超过《北京市区片基准地价因素总修正幅度表》所列修正幅度；依据估价对象用途调整链接</t>
    </r>
  </si>
  <si>
    <r>
      <rPr>
        <b/>
        <sz val="11"/>
        <color rgb="FFFF0000"/>
        <rFont val="宋体"/>
        <charset val="134"/>
      </rPr>
      <t>商业</t>
    </r>
  </si>
  <si>
    <r>
      <rPr>
        <sz val="10"/>
        <color theme="1"/>
        <rFont val="宋体"/>
        <charset val="134"/>
      </rPr>
      <t>影响因素</t>
    </r>
  </si>
  <si>
    <r>
      <rPr>
        <sz val="10"/>
        <color theme="1"/>
        <rFont val="宋体"/>
        <charset val="134"/>
      </rPr>
      <t>情况说明</t>
    </r>
  </si>
  <si>
    <r>
      <rPr>
        <sz val="10"/>
        <color theme="1"/>
        <rFont val="宋体"/>
        <charset val="134"/>
      </rPr>
      <t>等级</t>
    </r>
  </si>
  <si>
    <r>
      <rPr>
        <sz val="10"/>
        <color indexed="8"/>
        <rFont val="宋体"/>
        <charset val="134"/>
      </rPr>
      <t>修正幅度</t>
    </r>
  </si>
  <si>
    <r>
      <rPr>
        <sz val="10"/>
        <rFont val="宋体"/>
        <charset val="134"/>
      </rPr>
      <t>合计</t>
    </r>
  </si>
  <si>
    <r>
      <rPr>
        <sz val="10"/>
        <rFont val="宋体"/>
        <charset val="134"/>
      </rPr>
      <t>幅度控制</t>
    </r>
    <r>
      <rPr>
        <sz val="10"/>
        <rFont val="Arial"/>
        <charset val="134"/>
      </rPr>
      <t>(±)</t>
    </r>
  </si>
  <si>
    <r>
      <rPr>
        <sz val="10"/>
        <color rgb="FFFF0000"/>
        <rFont val="宋体"/>
        <charset val="134"/>
      </rPr>
      <t>各因素幅度控制</t>
    </r>
    <r>
      <rPr>
        <sz val="10"/>
        <color rgb="FFFF0000"/>
        <rFont val="Arial"/>
        <charset val="134"/>
      </rPr>
      <t>(±)</t>
    </r>
  </si>
  <si>
    <r>
      <rPr>
        <sz val="10"/>
        <color indexed="8"/>
        <rFont val="宋体"/>
        <charset val="134"/>
      </rPr>
      <t>权重</t>
    </r>
  </si>
  <si>
    <r>
      <rPr>
        <sz val="10"/>
        <color theme="1"/>
        <rFont val="Arial"/>
        <charset val="134"/>
      </rPr>
      <t xml:space="preserve"> </t>
    </r>
    <r>
      <rPr>
        <sz val="10"/>
        <color theme="1"/>
        <rFont val="宋体"/>
        <charset val="134"/>
      </rPr>
      <t>商业繁华程度</t>
    </r>
  </si>
  <si>
    <r>
      <rPr>
        <sz val="10"/>
        <color theme="1"/>
        <rFont val="宋体"/>
        <charset val="134"/>
      </rPr>
      <t>交通便捷度</t>
    </r>
  </si>
  <si>
    <r>
      <rPr>
        <sz val="10"/>
        <color theme="1"/>
        <rFont val="宋体"/>
        <charset val="134"/>
      </rPr>
      <t>区域土地利用方向</t>
    </r>
  </si>
  <si>
    <r>
      <rPr>
        <sz val="10"/>
        <color theme="1"/>
        <rFont val="宋体"/>
        <charset val="134"/>
      </rPr>
      <t>临街宽度和深度</t>
    </r>
  </si>
  <si>
    <r>
      <rPr>
        <sz val="10"/>
        <color theme="9" tint="-0.249977111117893"/>
        <rFont val="宋体"/>
        <charset val="134"/>
      </rPr>
      <t>宽度</t>
    </r>
    <r>
      <rPr>
        <sz val="10"/>
        <color theme="9" tint="-0.249977111117893"/>
        <rFont val="Arial"/>
        <charset val="134"/>
      </rPr>
      <t>XX</t>
    </r>
    <r>
      <rPr>
        <sz val="10"/>
        <color theme="9" tint="-0.249977111117893"/>
        <rFont val="宋体"/>
        <charset val="134"/>
      </rPr>
      <t>米，深度</t>
    </r>
    <r>
      <rPr>
        <sz val="10"/>
        <color theme="9" tint="-0.249977111117893"/>
        <rFont val="Arial"/>
        <charset val="134"/>
      </rPr>
      <t>XX</t>
    </r>
    <r>
      <rPr>
        <sz val="10"/>
        <color theme="9" tint="-0.249977111117893"/>
        <rFont val="宋体"/>
        <charset val="134"/>
      </rPr>
      <t>米</t>
    </r>
    <r>
      <rPr>
        <sz val="10"/>
        <color theme="9" tint="-0.249977111117893"/>
        <rFont val="Arial"/>
        <charset val="134"/>
      </rPr>
      <t>,</t>
    </r>
    <r>
      <rPr>
        <sz val="10"/>
        <color theme="9" tint="-0.249977111117893"/>
        <rFont val="宋体"/>
        <charset val="134"/>
      </rPr>
      <t>临街宽度及深度比例适宜程度？对土地利用的影响？</t>
    </r>
  </si>
  <si>
    <r>
      <rPr>
        <sz val="10"/>
        <color theme="1"/>
        <rFont val="宋体"/>
        <charset val="134"/>
      </rPr>
      <t>临街道路状况</t>
    </r>
  </si>
  <si>
    <r>
      <rPr>
        <sz val="10"/>
        <color theme="1"/>
        <rFont val="宋体"/>
        <charset val="134"/>
      </rPr>
      <t>宗地形状及可利用程度</t>
    </r>
  </si>
  <si>
    <r>
      <rPr>
        <sz val="10"/>
        <color theme="9" tint="-0.249977111117893"/>
        <rFont val="宋体"/>
        <charset val="134"/>
      </rPr>
      <t>宗地形状？，但对宗地利用影响？</t>
    </r>
  </si>
  <si>
    <r>
      <rPr>
        <sz val="10"/>
        <color theme="1"/>
        <rFont val="宋体"/>
        <charset val="134"/>
      </rPr>
      <t>公共服务设施状况</t>
    </r>
  </si>
  <si>
    <r>
      <rPr>
        <sz val="10"/>
        <color theme="1"/>
        <rFont val="宋体"/>
        <charset val="134"/>
      </rPr>
      <t>基础设施完备状况</t>
    </r>
  </si>
  <si>
    <r>
      <rPr>
        <sz val="10"/>
        <color theme="1"/>
        <rFont val="宋体"/>
        <charset val="134"/>
      </rPr>
      <t>自然和人文环境状况</t>
    </r>
  </si>
  <si>
    <r>
      <rPr>
        <b/>
        <sz val="11"/>
        <color rgb="FFFF0000"/>
        <rFont val="宋体"/>
        <charset val="134"/>
      </rPr>
      <t>办公</t>
    </r>
  </si>
  <si>
    <r>
      <rPr>
        <sz val="10"/>
        <color theme="1"/>
        <rFont val="宋体"/>
        <charset val="134"/>
      </rPr>
      <t>办公集聚程度</t>
    </r>
  </si>
  <si>
    <r>
      <rPr>
        <b/>
        <sz val="11"/>
        <color rgb="FFFF0000"/>
        <rFont val="宋体"/>
        <charset val="134"/>
      </rPr>
      <t>住宅</t>
    </r>
  </si>
  <si>
    <r>
      <rPr>
        <sz val="10"/>
        <color theme="1"/>
        <rFont val="宋体"/>
        <charset val="134"/>
      </rPr>
      <t>居住社区成熟度</t>
    </r>
  </si>
  <si>
    <r>
      <rPr>
        <sz val="10"/>
        <color theme="1"/>
        <rFont val="宋体"/>
        <charset val="134"/>
      </rPr>
      <t>临路状况</t>
    </r>
  </si>
  <si>
    <r>
      <rPr>
        <sz val="10"/>
        <color theme="1"/>
        <rFont val="宋体"/>
        <charset val="134"/>
      </rPr>
      <t>与区域中心的接近程度</t>
    </r>
  </si>
  <si>
    <r>
      <rPr>
        <b/>
        <sz val="11"/>
        <color rgb="FFFF0000"/>
        <rFont val="宋体"/>
        <charset val="134"/>
      </rPr>
      <t>工业</t>
    </r>
  </si>
  <si>
    <r>
      <rPr>
        <sz val="10"/>
        <color theme="1"/>
        <rFont val="宋体"/>
        <charset val="134"/>
      </rPr>
      <t>产业集聚程度</t>
    </r>
  </si>
  <si>
    <r>
      <rPr>
        <sz val="10"/>
        <color theme="1"/>
        <rFont val="宋体"/>
        <charset val="134"/>
      </rPr>
      <t>环境状况</t>
    </r>
  </si>
  <si>
    <r>
      <rPr>
        <b/>
        <sz val="10"/>
        <color theme="1"/>
        <rFont val="宋体"/>
        <charset val="134"/>
      </rPr>
      <t>北京市基准地价商业用途楼层修正系数表</t>
    </r>
  </si>
  <si>
    <r>
      <rPr>
        <sz val="10"/>
        <color theme="1"/>
        <rFont val="宋体"/>
        <charset val="134"/>
      </rPr>
      <t>用途</t>
    </r>
  </si>
  <si>
    <r>
      <rPr>
        <sz val="10"/>
        <color theme="1"/>
        <rFont val="宋体"/>
        <charset val="134"/>
      </rPr>
      <t>所在楼层</t>
    </r>
  </si>
  <si>
    <r>
      <rPr>
        <sz val="10"/>
        <color theme="1"/>
        <rFont val="宋体"/>
        <charset val="134"/>
      </rPr>
      <t>楼层修正系数</t>
    </r>
  </si>
  <si>
    <r>
      <rPr>
        <sz val="10"/>
        <color theme="1"/>
        <rFont val="宋体"/>
        <charset val="134"/>
      </rPr>
      <t>商业</t>
    </r>
    <r>
      <rPr>
        <sz val="10"/>
        <color theme="1"/>
        <rFont val="Arial"/>
        <charset val="134"/>
      </rPr>
      <t>R</t>
    </r>
    <r>
      <rPr>
        <sz val="10"/>
        <color indexed="8"/>
        <rFont val="宋体"/>
        <charset val="134"/>
      </rPr>
      <t>≥</t>
    </r>
    <r>
      <rPr>
        <sz val="10"/>
        <color indexed="8"/>
        <rFont val="Arial"/>
        <charset val="134"/>
      </rPr>
      <t>1</t>
    </r>
  </si>
  <si>
    <r>
      <rPr>
        <sz val="10"/>
        <color theme="1"/>
        <rFont val="宋体"/>
        <charset val="134"/>
      </rPr>
      <t>商业</t>
    </r>
    <r>
      <rPr>
        <sz val="10"/>
        <color theme="1"/>
        <rFont val="Arial"/>
        <charset val="134"/>
      </rPr>
      <t>R</t>
    </r>
    <r>
      <rPr>
        <sz val="10"/>
        <color indexed="8"/>
        <rFont val="Arial"/>
        <charset val="134"/>
      </rPr>
      <t>&lt;1</t>
    </r>
  </si>
  <si>
    <r>
      <rPr>
        <sz val="10"/>
        <color theme="1"/>
        <rFont val="宋体"/>
        <charset val="134"/>
      </rPr>
      <t>容积率</t>
    </r>
  </si>
  <si>
    <r>
      <rPr>
        <sz val="10"/>
        <color theme="1"/>
        <rFont val="宋体"/>
        <charset val="134"/>
      </rPr>
      <t>说明：</t>
    </r>
    <r>
      <rPr>
        <sz val="10"/>
        <color theme="1"/>
        <rFont val="Arial"/>
        <charset val="134"/>
      </rPr>
      <t>R</t>
    </r>
    <r>
      <rPr>
        <sz val="10"/>
        <color theme="1"/>
        <rFont val="宋体"/>
        <charset val="134"/>
      </rPr>
      <t>为宗地地上容积率</t>
    </r>
  </si>
  <si>
    <r>
      <rPr>
        <sz val="10"/>
        <rFont val="宋体"/>
        <charset val="134"/>
      </rPr>
      <t>宗地容积率</t>
    </r>
    <r>
      <rPr>
        <sz val="10"/>
        <rFont val="Arial"/>
        <charset val="134"/>
      </rPr>
      <t>R</t>
    </r>
  </si>
  <si>
    <r>
      <rPr>
        <sz val="10"/>
        <rFont val="宋体"/>
        <charset val="134"/>
      </rPr>
      <t>修正系数</t>
    </r>
  </si>
  <si>
    <r>
      <rPr>
        <sz val="10"/>
        <rFont val="宋体"/>
        <charset val="134"/>
      </rPr>
      <t>一级</t>
    </r>
  </si>
  <si>
    <r>
      <rPr>
        <sz val="10"/>
        <rFont val="宋体"/>
        <charset val="134"/>
      </rPr>
      <t>二级</t>
    </r>
  </si>
  <si>
    <r>
      <rPr>
        <sz val="10"/>
        <rFont val="宋体"/>
        <charset val="134"/>
      </rPr>
      <t>三级</t>
    </r>
  </si>
  <si>
    <r>
      <rPr>
        <sz val="10"/>
        <rFont val="宋体"/>
        <charset val="134"/>
      </rPr>
      <t>四级</t>
    </r>
  </si>
  <si>
    <r>
      <rPr>
        <sz val="10"/>
        <rFont val="宋体"/>
        <charset val="134"/>
      </rPr>
      <t>五级</t>
    </r>
  </si>
  <si>
    <r>
      <rPr>
        <sz val="10"/>
        <rFont val="宋体"/>
        <charset val="134"/>
      </rPr>
      <t>六级</t>
    </r>
  </si>
  <si>
    <r>
      <rPr>
        <sz val="10"/>
        <rFont val="宋体"/>
        <charset val="134"/>
      </rPr>
      <t>七级</t>
    </r>
  </si>
  <si>
    <r>
      <rPr>
        <sz val="10"/>
        <rFont val="宋体"/>
        <charset val="134"/>
      </rPr>
      <t>八级</t>
    </r>
  </si>
  <si>
    <r>
      <rPr>
        <sz val="10"/>
        <rFont val="宋体"/>
        <charset val="134"/>
      </rPr>
      <t>九级</t>
    </r>
  </si>
  <si>
    <r>
      <rPr>
        <sz val="10"/>
        <rFont val="宋体"/>
        <charset val="134"/>
      </rPr>
      <t>十级</t>
    </r>
  </si>
  <si>
    <r>
      <rPr>
        <sz val="10"/>
        <rFont val="宋体"/>
        <charset val="134"/>
      </rPr>
      <t>十一级</t>
    </r>
  </si>
  <si>
    <r>
      <rPr>
        <sz val="10"/>
        <rFont val="宋体"/>
        <charset val="134"/>
      </rPr>
      <t>十二级</t>
    </r>
  </si>
  <si>
    <t>北京市区片基准地价因素总修正幅度表</t>
  </si>
  <si>
    <t>商业</t>
  </si>
  <si>
    <t>办公</t>
  </si>
  <si>
    <t>工业</t>
  </si>
  <si>
    <t>级别</t>
  </si>
  <si>
    <t>区片编号</t>
  </si>
  <si>
    <t>一级</t>
  </si>
  <si>
    <t>Ⅰ—01</t>
  </si>
  <si>
    <t>Ⅰ—02</t>
  </si>
  <si>
    <t>Ⅰ—03</t>
  </si>
  <si>
    <t>Ⅰ—04</t>
  </si>
  <si>
    <t>Ⅰ—05</t>
  </si>
  <si>
    <t>二级</t>
  </si>
  <si>
    <t>Ⅱ—01</t>
  </si>
  <si>
    <t>Ⅱ—02</t>
  </si>
  <si>
    <t>Ⅱ—03</t>
  </si>
  <si>
    <t>Ⅱ—04</t>
  </si>
  <si>
    <t>Ⅱ—05</t>
  </si>
  <si>
    <t>Ⅱ—06</t>
  </si>
  <si>
    <t>Ⅱ—07</t>
  </si>
  <si>
    <t>Ⅱ—08</t>
  </si>
  <si>
    <t>Ⅱ—09</t>
  </si>
  <si>
    <t>Ⅱ—10</t>
  </si>
  <si>
    <t>Ⅱ—11</t>
  </si>
  <si>
    <t>Ⅱ—12</t>
  </si>
  <si>
    <t>Ⅱ—13</t>
  </si>
  <si>
    <t>Ⅱ—14</t>
  </si>
  <si>
    <t>Ⅱ—15</t>
  </si>
  <si>
    <t>Ⅱ—16</t>
  </si>
  <si>
    <t>Ⅱ—17</t>
  </si>
  <si>
    <t>Ⅱ—18</t>
  </si>
  <si>
    <t>Ⅱ—19</t>
  </si>
  <si>
    <t>三级</t>
  </si>
  <si>
    <t>Ⅲ—01</t>
  </si>
  <si>
    <t>Ⅲ—02</t>
  </si>
  <si>
    <t>Ⅲ—03</t>
  </si>
  <si>
    <t>Ⅲ—04</t>
  </si>
  <si>
    <t>Ⅲ—05</t>
  </si>
  <si>
    <t>Ⅲ—06</t>
  </si>
  <si>
    <t>Ⅲ—07</t>
  </si>
  <si>
    <t>Ⅲ—08</t>
  </si>
  <si>
    <t>Ⅲ—09</t>
  </si>
  <si>
    <t>Ⅲ—10</t>
  </si>
  <si>
    <t>Ⅲ—11</t>
  </si>
  <si>
    <t>Ⅲ—12</t>
  </si>
  <si>
    <t>Ⅲ—13</t>
  </si>
  <si>
    <t>Ⅲ—14</t>
  </si>
  <si>
    <t>Ⅲ—15</t>
  </si>
  <si>
    <t>Ⅲ—16</t>
  </si>
  <si>
    <t>Ⅲ—17</t>
  </si>
  <si>
    <t>Ⅲ—18</t>
  </si>
  <si>
    <t>Ⅲ—19</t>
  </si>
  <si>
    <t>Ⅲ—20</t>
  </si>
  <si>
    <t>四级</t>
  </si>
  <si>
    <t>Ⅳ-01</t>
  </si>
  <si>
    <t>Ⅳ-02</t>
  </si>
  <si>
    <t>Ⅳ-03</t>
  </si>
  <si>
    <t>Ⅳ-04</t>
  </si>
  <si>
    <t>Ⅳ-05</t>
  </si>
  <si>
    <t>Ⅳ-06</t>
  </si>
  <si>
    <t>Ⅳ-07</t>
  </si>
  <si>
    <t>Ⅳ-08</t>
  </si>
  <si>
    <t>Ⅳ-09</t>
  </si>
  <si>
    <t>Ⅳ-10</t>
  </si>
  <si>
    <t>Ⅳ-11</t>
  </si>
  <si>
    <t>Ⅳ-12</t>
  </si>
  <si>
    <t>Ⅳ-13</t>
  </si>
  <si>
    <t>Ⅳ-14</t>
  </si>
  <si>
    <t>Ⅳ-15</t>
  </si>
  <si>
    <t>Ⅳ-16</t>
  </si>
  <si>
    <t>Ⅳ-17</t>
  </si>
  <si>
    <t>Ⅳ-18</t>
  </si>
  <si>
    <t>Ⅳ-19</t>
  </si>
  <si>
    <t>Ⅳ-20</t>
  </si>
  <si>
    <t>Ⅳ-21</t>
  </si>
  <si>
    <t>Ⅳ-22</t>
  </si>
  <si>
    <t>Ⅳ-23</t>
  </si>
  <si>
    <t>Ⅳ-电子城东</t>
  </si>
  <si>
    <t>Ⅳ-电子城西</t>
  </si>
  <si>
    <t>Ⅳ-上地核心</t>
  </si>
  <si>
    <t>Ⅳ-丰台园东</t>
  </si>
  <si>
    <t>五级</t>
  </si>
  <si>
    <t>Ⅴ-01</t>
  </si>
  <si>
    <t>Ⅴ-02</t>
  </si>
  <si>
    <t>Ⅴ-03</t>
  </si>
  <si>
    <t>Ⅴ-04</t>
  </si>
  <si>
    <t>Ⅴ-05</t>
  </si>
  <si>
    <t>Ⅴ-06</t>
  </si>
  <si>
    <t>Ⅴ-07</t>
  </si>
  <si>
    <t>Ⅴ-08</t>
  </si>
  <si>
    <t>Ⅴ-09</t>
  </si>
  <si>
    <t>Ⅴ-10</t>
  </si>
  <si>
    <t>Ⅴ-11</t>
  </si>
  <si>
    <t>Ⅴ-12</t>
  </si>
  <si>
    <t>Ⅴ-13</t>
  </si>
  <si>
    <t>Ⅴ-14</t>
  </si>
  <si>
    <t>Ⅴ-15</t>
  </si>
  <si>
    <t>Ⅴ-16</t>
  </si>
  <si>
    <t>Ⅴ-17</t>
  </si>
  <si>
    <t>Ⅴ-18</t>
  </si>
  <si>
    <t>Ⅴ-19</t>
  </si>
  <si>
    <t>Ⅴ-20</t>
  </si>
  <si>
    <t>Ⅴ-21</t>
  </si>
  <si>
    <t>Ⅴ-22</t>
  </si>
  <si>
    <t>Ⅴ-23</t>
  </si>
  <si>
    <t>Ⅴ-24</t>
  </si>
  <si>
    <t>Ⅴ-25</t>
  </si>
  <si>
    <t>Ⅴ-26</t>
  </si>
  <si>
    <t>Ⅴ-电子城北</t>
  </si>
  <si>
    <t>Ⅴ-永丰产业基地</t>
  </si>
  <si>
    <t>Ⅴ-航天城</t>
  </si>
  <si>
    <r>
      <rPr>
        <sz val="10"/>
        <color theme="1"/>
        <rFont val="仿宋_GB2312"/>
        <charset val="134"/>
      </rPr>
      <t>Ⅴ-西北旺</t>
    </r>
    <r>
      <rPr>
        <sz val="10"/>
        <color indexed="8"/>
        <rFont val="宋体"/>
        <charset val="134"/>
      </rPr>
      <t>Ⅰ</t>
    </r>
  </si>
  <si>
    <r>
      <rPr>
        <sz val="10"/>
        <color theme="1"/>
        <rFont val="仿宋_GB2312"/>
        <charset val="134"/>
      </rPr>
      <t>Ⅴ-西北旺</t>
    </r>
    <r>
      <rPr>
        <sz val="10"/>
        <color indexed="8"/>
        <rFont val="宋体"/>
        <charset val="134"/>
      </rPr>
      <t>Ⅱ</t>
    </r>
  </si>
  <si>
    <t>Ⅴ-石景山园南区</t>
  </si>
  <si>
    <r>
      <rPr>
        <sz val="10"/>
        <color theme="1"/>
        <rFont val="仿宋_GB2312"/>
        <charset val="134"/>
      </rPr>
      <t>Ⅴ-石景山园北</t>
    </r>
    <r>
      <rPr>
        <sz val="10"/>
        <color indexed="8"/>
        <rFont val="宋体"/>
        <charset val="134"/>
      </rPr>
      <t>Ⅰ</t>
    </r>
  </si>
  <si>
    <r>
      <rPr>
        <sz val="10"/>
        <color theme="1"/>
        <rFont val="仿宋_GB2312"/>
        <charset val="134"/>
      </rPr>
      <t>Ⅴ-石景山园北</t>
    </r>
    <r>
      <rPr>
        <sz val="10"/>
        <color indexed="8"/>
        <rFont val="宋体"/>
        <charset val="134"/>
      </rPr>
      <t>Ⅱ</t>
    </r>
  </si>
  <si>
    <t>六级</t>
  </si>
  <si>
    <t>Ⅵ-01</t>
  </si>
  <si>
    <t>Ⅵ-02</t>
  </si>
  <si>
    <t>Ⅵ-03</t>
  </si>
  <si>
    <t>Ⅵ-04</t>
  </si>
  <si>
    <t>Ⅵ-05</t>
  </si>
  <si>
    <t>Ⅵ-06</t>
  </si>
  <si>
    <t>Ⅵ-07</t>
  </si>
  <si>
    <t>Ⅵ-08</t>
  </si>
  <si>
    <t>Ⅵ-09</t>
  </si>
  <si>
    <t>Ⅵ-10</t>
  </si>
  <si>
    <t>Ⅵ-11</t>
  </si>
  <si>
    <t>Ⅵ-12</t>
  </si>
  <si>
    <t>Ⅵ-13</t>
  </si>
  <si>
    <t>Ⅵ-14</t>
  </si>
  <si>
    <t>Ⅵ-15</t>
  </si>
  <si>
    <t>Ⅵ-16</t>
  </si>
  <si>
    <t>Ⅵ-17</t>
  </si>
  <si>
    <t>Ⅵ-18</t>
  </si>
  <si>
    <t>Ⅵ-19</t>
  </si>
  <si>
    <t>Ⅵ-20</t>
  </si>
  <si>
    <t>Ⅵ-21</t>
  </si>
  <si>
    <t>Ⅵ-22</t>
  </si>
  <si>
    <t>Ⅵ-23</t>
  </si>
  <si>
    <t>Ⅵ-24</t>
  </si>
  <si>
    <t>Ⅵ-通1</t>
  </si>
  <si>
    <t>Ⅵ-通2</t>
  </si>
  <si>
    <t>Ⅵ-通3</t>
  </si>
  <si>
    <t>Ⅵ-通4</t>
  </si>
  <si>
    <t>Ⅵ-顺1</t>
  </si>
  <si>
    <t>Ⅵ-兴1</t>
  </si>
  <si>
    <t>Ⅵ-昌1</t>
  </si>
  <si>
    <t>Ⅵ-昌2</t>
  </si>
  <si>
    <t>Ⅵ-昌3</t>
  </si>
  <si>
    <t>Ⅵ-昌4</t>
  </si>
  <si>
    <t>Ⅵ-亦1</t>
  </si>
  <si>
    <t>Ⅵ-创新园</t>
  </si>
  <si>
    <t>Ⅵ-海淀环保园</t>
  </si>
  <si>
    <r>
      <rPr>
        <sz val="10"/>
        <color theme="1"/>
        <rFont val="仿宋_GB2312"/>
        <charset val="134"/>
      </rPr>
      <t>Ⅵ-温泉科技</t>
    </r>
    <r>
      <rPr>
        <sz val="10"/>
        <color indexed="8"/>
        <rFont val="宋体"/>
        <charset val="134"/>
      </rPr>
      <t>Ⅰ</t>
    </r>
  </si>
  <si>
    <r>
      <rPr>
        <sz val="10"/>
        <color theme="1"/>
        <rFont val="仿宋_GB2312"/>
        <charset val="134"/>
      </rPr>
      <t>Ⅵ-温泉科技</t>
    </r>
    <r>
      <rPr>
        <sz val="10"/>
        <color indexed="8"/>
        <rFont val="宋体"/>
        <charset val="134"/>
      </rPr>
      <t>Ⅱ</t>
    </r>
  </si>
  <si>
    <r>
      <rPr>
        <sz val="10"/>
        <color theme="1"/>
        <rFont val="仿宋_GB2312"/>
        <charset val="134"/>
      </rPr>
      <t>Ⅵ-温泉科技</t>
    </r>
    <r>
      <rPr>
        <sz val="10"/>
        <color indexed="8"/>
        <rFont val="宋体"/>
        <charset val="134"/>
      </rPr>
      <t>Ⅲ</t>
    </r>
  </si>
  <si>
    <t>Ⅵ-天竺保税区南</t>
  </si>
  <si>
    <t>Ⅵ-天竺保税区北1</t>
  </si>
  <si>
    <t>Ⅵ-天竺保税区北2</t>
  </si>
  <si>
    <t>Ⅵ-空港A</t>
  </si>
  <si>
    <t>Ⅵ-空港B</t>
  </si>
  <si>
    <t>Ⅵ-生命科学园</t>
  </si>
  <si>
    <t>Ⅵ-昌三一光电</t>
  </si>
  <si>
    <t>Ⅵ-BDA核心</t>
  </si>
  <si>
    <t>七级</t>
  </si>
  <si>
    <t>Ⅶ-01</t>
  </si>
  <si>
    <t>Ⅶ-02</t>
  </si>
  <si>
    <t>Ⅶ-03</t>
  </si>
  <si>
    <t>Ⅶ-04</t>
  </si>
  <si>
    <t>Ⅶ-05</t>
  </si>
  <si>
    <t>Ⅶ-06</t>
  </si>
  <si>
    <t>Ⅶ-07</t>
  </si>
  <si>
    <t>Ⅶ-08</t>
  </si>
  <si>
    <t>Ⅶ-09</t>
  </si>
  <si>
    <t>Ⅶ-10</t>
  </si>
  <si>
    <t>Ⅶ-11</t>
  </si>
  <si>
    <t>Ⅶ-12</t>
  </si>
  <si>
    <t>Ⅶ-13</t>
  </si>
  <si>
    <t>Ⅶ-门1</t>
  </si>
  <si>
    <t>Ⅶ-房1</t>
  </si>
  <si>
    <t>Ⅶ-房2</t>
  </si>
  <si>
    <t>Ⅶ-通1</t>
  </si>
  <si>
    <t>Ⅶ-顺1</t>
  </si>
  <si>
    <t>Ⅶ-顺2</t>
  </si>
  <si>
    <t>Ⅶ-兴1</t>
  </si>
  <si>
    <t>Ⅶ-兴2</t>
  </si>
  <si>
    <t>Ⅶ-兴3</t>
  </si>
  <si>
    <t>Ⅶ-昌1</t>
  </si>
  <si>
    <t>Ⅶ-昌2</t>
  </si>
  <si>
    <t>Ⅶ-昌3</t>
  </si>
  <si>
    <t>Ⅶ-昌4</t>
  </si>
  <si>
    <t>Ⅶ-昌5</t>
  </si>
  <si>
    <t>Ⅶ-亦1</t>
  </si>
  <si>
    <t>Ⅶ-国际教育园</t>
  </si>
  <si>
    <t>Ⅶ-农林园</t>
  </si>
  <si>
    <t>Ⅶ-上庄科技</t>
  </si>
  <si>
    <t>Ⅶ-文化教育基地</t>
  </si>
  <si>
    <r>
      <rPr>
        <sz val="10"/>
        <color theme="1"/>
        <rFont val="仿宋_GB2312"/>
        <charset val="134"/>
      </rPr>
      <t>Ⅶ-苏家坨科技</t>
    </r>
    <r>
      <rPr>
        <sz val="10"/>
        <color indexed="8"/>
        <rFont val="宋体"/>
        <charset val="134"/>
      </rPr>
      <t>Ⅰ</t>
    </r>
  </si>
  <si>
    <r>
      <rPr>
        <sz val="10"/>
        <color theme="1"/>
        <rFont val="仿宋_GB2312"/>
        <charset val="134"/>
      </rPr>
      <t>Ⅶ-苏家坨科技</t>
    </r>
    <r>
      <rPr>
        <sz val="10"/>
        <color indexed="8"/>
        <rFont val="宋体"/>
        <charset val="134"/>
      </rPr>
      <t>Ⅱ</t>
    </r>
  </si>
  <si>
    <r>
      <rPr>
        <sz val="10"/>
        <color theme="1"/>
        <rFont val="仿宋_GB2312"/>
        <charset val="134"/>
      </rPr>
      <t>Ⅶ-丰台园西</t>
    </r>
    <r>
      <rPr>
        <sz val="10"/>
        <color indexed="8"/>
        <rFont val="宋体"/>
        <charset val="134"/>
      </rPr>
      <t>Ⅰ</t>
    </r>
  </si>
  <si>
    <r>
      <rPr>
        <sz val="10"/>
        <color theme="1"/>
        <rFont val="仿宋_GB2312"/>
        <charset val="134"/>
      </rPr>
      <t>Ⅶ-丰台园西</t>
    </r>
    <r>
      <rPr>
        <sz val="10"/>
        <color indexed="8"/>
        <rFont val="宋体"/>
        <charset val="134"/>
      </rPr>
      <t>Ⅱ</t>
    </r>
  </si>
  <si>
    <t>Ⅶ-石龙开发区</t>
  </si>
  <si>
    <t>Ⅶ-光机电</t>
  </si>
  <si>
    <t>Ⅶ-通州开发区西</t>
  </si>
  <si>
    <t>Ⅶ-林河开发区</t>
  </si>
  <si>
    <t>Ⅶ-大兴开发区</t>
  </si>
  <si>
    <r>
      <rPr>
        <sz val="10"/>
        <color theme="1"/>
        <rFont val="仿宋_GB2312"/>
        <charset val="134"/>
      </rPr>
      <t>Ⅶ-昌平园南</t>
    </r>
    <r>
      <rPr>
        <sz val="10"/>
        <color indexed="8"/>
        <rFont val="宋体"/>
        <charset val="134"/>
      </rPr>
      <t>Ⅰ</t>
    </r>
  </si>
  <si>
    <r>
      <rPr>
        <sz val="10"/>
        <color theme="1"/>
        <rFont val="仿宋_GB2312"/>
        <charset val="134"/>
      </rPr>
      <t>Ⅶ-昌平园南</t>
    </r>
    <r>
      <rPr>
        <sz val="10"/>
        <color indexed="8"/>
        <rFont val="宋体"/>
        <charset val="134"/>
      </rPr>
      <t>Ⅱ</t>
    </r>
  </si>
  <si>
    <r>
      <rPr>
        <sz val="10"/>
        <color theme="1"/>
        <rFont val="仿宋_GB2312"/>
        <charset val="134"/>
      </rPr>
      <t>Ⅶ-昌平园北</t>
    </r>
    <r>
      <rPr>
        <sz val="10"/>
        <color indexed="8"/>
        <rFont val="宋体"/>
        <charset val="134"/>
      </rPr>
      <t>Ⅰ</t>
    </r>
  </si>
  <si>
    <r>
      <rPr>
        <sz val="10"/>
        <color theme="1"/>
        <rFont val="仿宋_GB2312"/>
        <charset val="134"/>
      </rPr>
      <t>Ⅶ-昌平园北</t>
    </r>
    <r>
      <rPr>
        <sz val="10"/>
        <color indexed="8"/>
        <rFont val="宋体"/>
        <charset val="134"/>
      </rPr>
      <t>Ⅱ</t>
    </r>
  </si>
  <si>
    <r>
      <rPr>
        <sz val="10"/>
        <color theme="1"/>
        <rFont val="仿宋_GB2312"/>
        <charset val="134"/>
      </rPr>
      <t>Ⅶ-昌平园北</t>
    </r>
    <r>
      <rPr>
        <sz val="10"/>
        <color indexed="8"/>
        <rFont val="宋体"/>
        <charset val="134"/>
      </rPr>
      <t>Ⅲ</t>
    </r>
  </si>
  <si>
    <t>Ⅶ-BDA东</t>
  </si>
  <si>
    <t>Ⅶ-BDA西</t>
  </si>
  <si>
    <t>八级</t>
  </si>
  <si>
    <t>Ⅷ-01</t>
  </si>
  <si>
    <t>Ⅷ-02</t>
  </si>
  <si>
    <t>Ⅷ-03</t>
  </si>
  <si>
    <t>Ⅷ-04</t>
  </si>
  <si>
    <t>Ⅷ-门1</t>
  </si>
  <si>
    <t>Ⅷ-门军</t>
  </si>
  <si>
    <t>Ⅷ-房1</t>
  </si>
  <si>
    <t>Ⅷ-房2</t>
  </si>
  <si>
    <t>Ⅷ-房3</t>
  </si>
  <si>
    <t>Ⅷ-通1</t>
  </si>
  <si>
    <t>Ⅷ-通2</t>
  </si>
  <si>
    <t>Ⅷ-通3</t>
  </si>
  <si>
    <t>Ⅷ-顺1</t>
  </si>
  <si>
    <t>Ⅷ-顺2</t>
  </si>
  <si>
    <t>Ⅷ-顺3</t>
  </si>
  <si>
    <t>Ⅷ-顺4</t>
  </si>
  <si>
    <t>Ⅷ-顺5</t>
  </si>
  <si>
    <t>Ⅷ-顺6</t>
  </si>
  <si>
    <t>Ⅷ-顺7</t>
  </si>
  <si>
    <t>Ⅷ-兴1</t>
  </si>
  <si>
    <t>Ⅷ-兴2</t>
  </si>
  <si>
    <t>Ⅷ-昌1</t>
  </si>
  <si>
    <t>Ⅷ-昌2</t>
  </si>
  <si>
    <t>Ⅷ-昌3</t>
  </si>
  <si>
    <t>Ⅷ-昌4</t>
  </si>
  <si>
    <t>Ⅷ-平1</t>
  </si>
  <si>
    <t>Ⅷ-怀1</t>
  </si>
  <si>
    <t>Ⅷ-密1</t>
  </si>
  <si>
    <t>Ⅷ-廷1</t>
  </si>
  <si>
    <t>Ⅷ-亦1</t>
  </si>
  <si>
    <t>Ⅷ-亦2</t>
  </si>
  <si>
    <t>Ⅷ-良乡开发区A</t>
  </si>
  <si>
    <t>Ⅷ-良乡开发区B</t>
  </si>
  <si>
    <t>Ⅷ-良乡开发区C</t>
  </si>
  <si>
    <t>Ⅷ-通州环保园</t>
  </si>
  <si>
    <t>Ⅷ-空港北区A</t>
  </si>
  <si>
    <t>Ⅷ-空港北区B</t>
  </si>
  <si>
    <t>Ⅷ-生物医药基地</t>
  </si>
  <si>
    <t>Ⅷ-小汤山工业园</t>
  </si>
  <si>
    <t>九级</t>
  </si>
  <si>
    <t>Ⅸ-01</t>
  </si>
  <si>
    <t>Ⅸ-02</t>
  </si>
  <si>
    <t>Ⅸ-门1</t>
  </si>
  <si>
    <t>Ⅸ-门2</t>
  </si>
  <si>
    <t>Ⅸ-门潭</t>
  </si>
  <si>
    <t>Ⅸ-房1</t>
  </si>
  <si>
    <t>Ⅸ-房2</t>
  </si>
  <si>
    <t>Ⅸ-房3</t>
  </si>
  <si>
    <t>Ⅸ-房4</t>
  </si>
  <si>
    <t>Ⅸ-房5</t>
  </si>
  <si>
    <t>Ⅸ-房6</t>
  </si>
  <si>
    <t>Ⅸ-通1</t>
  </si>
  <si>
    <t>Ⅸ-通2</t>
  </si>
  <si>
    <t>Ⅸ-通3</t>
  </si>
  <si>
    <t>Ⅸ-顺1</t>
  </si>
  <si>
    <t>Ⅸ-顺2</t>
  </si>
  <si>
    <t>Ⅸ-顺3</t>
  </si>
  <si>
    <t>Ⅸ-顺4</t>
  </si>
  <si>
    <t>Ⅸ-兴1</t>
  </si>
  <si>
    <t>Ⅸ-兴2</t>
  </si>
  <si>
    <t>Ⅸ-兴3</t>
  </si>
  <si>
    <t>Ⅸ-兴4</t>
  </si>
  <si>
    <t>Ⅸ-兴5</t>
  </si>
  <si>
    <t>Ⅸ-昌1</t>
  </si>
  <si>
    <t>Ⅸ-昌2</t>
  </si>
  <si>
    <t>Ⅸ-昌3</t>
  </si>
  <si>
    <t>Ⅸ-昌4</t>
  </si>
  <si>
    <t>Ⅸ-昌5</t>
  </si>
  <si>
    <t>Ⅸ-昌南</t>
  </si>
  <si>
    <t>Ⅸ-平1</t>
  </si>
  <si>
    <t>Ⅸ-怀1</t>
  </si>
  <si>
    <t>Ⅸ-密1</t>
  </si>
  <si>
    <t>Ⅸ-延1</t>
  </si>
  <si>
    <t>Ⅸ-亦1</t>
  </si>
  <si>
    <t>Ⅸ-房山工业园东</t>
  </si>
  <si>
    <t>Ⅸ-房山工业园西</t>
  </si>
  <si>
    <t>Ⅸ-通州开发区东</t>
  </si>
  <si>
    <t>Ⅸ-永乐开发区</t>
  </si>
  <si>
    <t>Ⅸ-采育开发区</t>
  </si>
  <si>
    <t>Ⅸ-兴谷开发区A</t>
  </si>
  <si>
    <t>Ⅸ-兴谷开发区B</t>
  </si>
  <si>
    <t>Ⅸ-雁栖开发区A</t>
  </si>
  <si>
    <t>Ⅸ-雁栖开发区B</t>
  </si>
  <si>
    <t>Ⅸ-雁栖开发区C</t>
  </si>
  <si>
    <t>Ⅸ-密云开发区</t>
  </si>
  <si>
    <t>十级</t>
  </si>
  <si>
    <t>Ⅹ-01</t>
  </si>
  <si>
    <t>Ⅹ-02</t>
  </si>
  <si>
    <t>Ⅹ-门1</t>
  </si>
  <si>
    <t>Ⅹ-门斋</t>
  </si>
  <si>
    <t>Ⅹ-房1</t>
  </si>
  <si>
    <t>Ⅹ-房2</t>
  </si>
  <si>
    <t>Ⅹ-通1</t>
  </si>
  <si>
    <t>Ⅹ-顺1</t>
  </si>
  <si>
    <t>Ⅹ-顺2</t>
  </si>
  <si>
    <t>Ⅹ-顺3</t>
  </si>
  <si>
    <t>Ⅹ-兴1</t>
  </si>
  <si>
    <t>Ⅹ-兴2</t>
  </si>
  <si>
    <t>Ⅹ-昌1</t>
  </si>
  <si>
    <t>Ⅹ-昌2</t>
  </si>
  <si>
    <t>Ⅹ-昌3</t>
  </si>
  <si>
    <t>Ⅹ-平1</t>
  </si>
  <si>
    <t>Ⅹ-平2</t>
  </si>
  <si>
    <t>Ⅹ-怀1</t>
  </si>
  <si>
    <t>Ⅹ-怀2</t>
  </si>
  <si>
    <t>Ⅹ-怀3</t>
  </si>
  <si>
    <t>Ⅹ-密1</t>
  </si>
  <si>
    <t>Ⅹ-延1</t>
  </si>
  <si>
    <t>Ⅹ-延2</t>
  </si>
  <si>
    <t>Ⅹ-亦1</t>
  </si>
  <si>
    <t>Ⅹ-马坊工业园</t>
  </si>
  <si>
    <t>Ⅹ-延庆开发区</t>
  </si>
  <si>
    <t>Ⅹ-八达岭开发区</t>
  </si>
  <si>
    <t>十一级</t>
  </si>
  <si>
    <t>Ⅺ-门1</t>
  </si>
  <si>
    <t>Ⅺ-门斋</t>
  </si>
  <si>
    <t>Ⅺ-房1</t>
  </si>
  <si>
    <t>Ⅺ-房2</t>
  </si>
  <si>
    <t>Ⅺ-通1</t>
  </si>
  <si>
    <t>Ⅺ-顺1</t>
  </si>
  <si>
    <t>Ⅺ-兴1</t>
  </si>
  <si>
    <t>Ⅺ-兴2</t>
  </si>
  <si>
    <t>Ⅺ-昌1</t>
  </si>
  <si>
    <t>Ⅺ-昌2</t>
  </si>
  <si>
    <t>Ⅺ-平1</t>
  </si>
  <si>
    <t>Ⅺ-平2</t>
  </si>
  <si>
    <t>Ⅺ-平3</t>
  </si>
  <si>
    <t>Ⅺ-平4</t>
  </si>
  <si>
    <t>Ⅺ-怀1</t>
  </si>
  <si>
    <t>Ⅺ-怀2</t>
  </si>
  <si>
    <t>Ⅺ-密1</t>
  </si>
  <si>
    <t>Ⅺ-密2</t>
  </si>
  <si>
    <t>Ⅺ-密3</t>
  </si>
  <si>
    <t>Ⅺ-延1</t>
  </si>
  <si>
    <t>Ⅺ-延2</t>
  </si>
  <si>
    <t>十二级</t>
  </si>
  <si>
    <t>Ⅻ-门1</t>
  </si>
  <si>
    <t>Ⅻ-房1</t>
  </si>
  <si>
    <t>Ⅻ-昌1</t>
  </si>
  <si>
    <t>Ⅻ-平1</t>
  </si>
  <si>
    <t>Ⅻ-怀1</t>
  </si>
  <si>
    <t>Ⅻ-密1</t>
  </si>
  <si>
    <t>Ⅻ-延1</t>
  </si>
  <si>
    <t>结果不可超过《北京市区片基准地价因素总修正幅度表》所列修正幅度；依据估价对象用途调整链接</t>
  </si>
  <si>
    <t>影响因素</t>
  </si>
  <si>
    <t>情况说明</t>
  </si>
  <si>
    <t>等级</t>
  </si>
  <si>
    <r>
      <rPr>
        <sz val="10"/>
        <color indexed="8"/>
        <rFont val="楷体_GB2312"/>
        <charset val="134"/>
      </rPr>
      <t>修正幅度</t>
    </r>
  </si>
  <si>
    <r>
      <rPr>
        <sz val="10"/>
        <color indexed="8"/>
        <rFont val="楷体_GB2312"/>
        <charset val="134"/>
      </rPr>
      <t>权重</t>
    </r>
  </si>
  <si>
    <r>
      <rPr>
        <sz val="10"/>
        <rFont val="楷体_GB2312"/>
        <charset val="134"/>
      </rPr>
      <t>合计</t>
    </r>
  </si>
  <si>
    <t>幅度控制(±)</t>
  </si>
  <si>
    <r>
      <rPr>
        <sz val="11"/>
        <color indexed="8"/>
        <rFont val="楷体_GB2312"/>
        <charset val="134"/>
      </rPr>
      <t>好</t>
    </r>
  </si>
  <si>
    <r>
      <rPr>
        <sz val="11"/>
        <color indexed="8"/>
        <rFont val="楷体_GB2312"/>
        <charset val="134"/>
      </rPr>
      <t>较好</t>
    </r>
  </si>
  <si>
    <r>
      <rPr>
        <sz val="11"/>
        <color indexed="8"/>
        <rFont val="楷体_GB2312"/>
        <charset val="134"/>
      </rPr>
      <t>一般</t>
    </r>
  </si>
  <si>
    <r>
      <rPr>
        <sz val="11"/>
        <color indexed="8"/>
        <rFont val="楷体_GB2312"/>
        <charset val="134"/>
      </rPr>
      <t>较差</t>
    </r>
  </si>
  <si>
    <r>
      <rPr>
        <sz val="11"/>
        <color indexed="8"/>
        <rFont val="楷体_GB2312"/>
        <charset val="134"/>
      </rPr>
      <t>差</t>
    </r>
  </si>
  <si>
    <t xml:space="preserve"> 商业繁华程度</t>
  </si>
  <si>
    <t>交通便捷度</t>
  </si>
  <si>
    <t>一般</t>
  </si>
  <si>
    <t>区域土地利用方向</t>
  </si>
  <si>
    <t>临街宽度和深度</t>
  </si>
  <si>
    <t>宽度XX米，深度XX米,临街宽度及深度比例较适宜，对土地利用无不利影响</t>
  </si>
  <si>
    <t>差</t>
  </si>
  <si>
    <t>临街道路状况</t>
  </si>
  <si>
    <t>宗地形状及可利用程度</t>
  </si>
  <si>
    <t>宗地形状不规则，但对宗地利用影响较小</t>
  </si>
  <si>
    <t>公共服务设施状况</t>
  </si>
  <si>
    <t>基础设施完备状况</t>
  </si>
  <si>
    <t>自然和人文环境状况</t>
  </si>
  <si>
    <t>办公集聚程度</t>
  </si>
  <si>
    <t>居住社区成熟度</t>
  </si>
  <si>
    <t>临路状况</t>
  </si>
  <si>
    <t>与区域中心的接近程度</t>
  </si>
  <si>
    <t>临近区域中心，距离小于500米</t>
  </si>
  <si>
    <t>产业集聚程度</t>
  </si>
  <si>
    <t>较差</t>
  </si>
  <si>
    <t>环境状况</t>
  </si>
  <si>
    <t>北京市区片基准地价表</t>
  </si>
  <si>
    <t>基准日期：2014年1月1日                                                    单位：元/建筑平方米</t>
  </si>
  <si>
    <t>区片价格</t>
  </si>
  <si>
    <t>Ⅷ-延1</t>
  </si>
  <si>
    <t>土地级别</t>
  </si>
  <si>
    <t>通路</t>
  </si>
  <si>
    <t>通电</t>
  </si>
  <si>
    <t>通讯</t>
  </si>
  <si>
    <t>通上水</t>
  </si>
  <si>
    <t>通下水</t>
  </si>
  <si>
    <t>通热</t>
  </si>
  <si>
    <t>燃气</t>
  </si>
  <si>
    <t>平整</t>
  </si>
  <si>
    <t>级别开发程度</t>
  </si>
  <si>
    <t>北京市基准地价用途修正系数表</t>
  </si>
  <si>
    <t>用途</t>
  </si>
  <si>
    <t>用途类别划分</t>
  </si>
  <si>
    <t>二级分类</t>
  </si>
  <si>
    <t>用途修正  系数</t>
  </si>
  <si>
    <t>比准类别</t>
  </si>
  <si>
    <t>批发零售用地</t>
  </si>
  <si>
    <t>（指主要用于商品批发、零售的用地，包括商场、商店、超市、各类批发（零售）市场、加油站等及其附属的小型仓库、车间、工场等）</t>
  </si>
  <si>
    <t>其他类别</t>
  </si>
  <si>
    <t>住宿餐饮用地</t>
  </si>
  <si>
    <t>（指主要用于提供住宿、餐饮服务的用地，包括宾馆、酒店、饭店、旅馆、招待所、度假村、餐厅、酒吧等）</t>
  </si>
  <si>
    <t>商务金融用地（商业类）</t>
  </si>
  <si>
    <t>（指金融、证券、通讯、保险等营业网点用地）</t>
  </si>
  <si>
    <t>其他商服用地</t>
  </si>
  <si>
    <t>（指上述用地以外的其他商业、服务业用地，包括洗车场、洗染店、废旧物资回收站、维修网点、照相馆、理发美容店、洗浴场所、俱乐部、康乐中心、歌舞厅、赛车场、影视基地、影剧院、邮政、电信营业网点等）</t>
  </si>
  <si>
    <t>殡葬用地等特殊用地</t>
  </si>
  <si>
    <t>商务金融用地（办公类）</t>
  </si>
  <si>
    <t>（指企业、服务业等办公用地，以及经营性的办公场所用地，包括写字楼、商业性办公楼和企业厂区外独立的办公楼）</t>
  </si>
  <si>
    <t>其他商服用地（停车场、停车楼等用地）</t>
  </si>
  <si>
    <t>其他商服用地（指展览馆、会展中心等用地）</t>
  </si>
  <si>
    <t>机场航站楼用地</t>
  </si>
  <si>
    <t>科教用地</t>
  </si>
  <si>
    <t>（指用于各类教育，独立的科研、勘测、设计、技术推广、科普等的用地）</t>
  </si>
  <si>
    <t>新闻出版用地</t>
  </si>
  <si>
    <t>（指用于广播电台、电视台、电影厂、报社、杂志社、通讯社、出版社等的用地）、</t>
  </si>
  <si>
    <t>机关团体用地</t>
  </si>
  <si>
    <t>（指用于党政机关、社会团体、群众自治组织等的用地）</t>
  </si>
  <si>
    <t>医卫慈善用地</t>
  </si>
  <si>
    <t>（指用于医疗保健、卫生防疫、急救康复、医检药检、福利救助、养老设施等的用地）</t>
  </si>
  <si>
    <t>文体娱乐用地</t>
  </si>
  <si>
    <t>（指各类文化、体育及公共广场用地）</t>
  </si>
  <si>
    <t>产业用地</t>
  </si>
  <si>
    <t>（指高新技术产业研发与展示中心等产业用地）</t>
  </si>
  <si>
    <t>居住</t>
  </si>
  <si>
    <t>（指二类居住用地（地上容积率≥１。）</t>
  </si>
  <si>
    <t>居住用地（指一类居住用地）</t>
  </si>
  <si>
    <t>（指一类居住用地（地上容积率＜１。）</t>
  </si>
  <si>
    <t>工业用地</t>
  </si>
  <si>
    <t>（指工业生产及直接为工业生产服务的附属设施用地）</t>
  </si>
  <si>
    <t>采矿用地</t>
  </si>
  <si>
    <t>（指采矿、采石、采砂（沙）场，盐田，砖瓦窑等地面生产设施及尾矿堆放地）</t>
  </si>
  <si>
    <t>仓储用地</t>
  </si>
  <si>
    <t>（指用于物资储备、中转的物流仓储场所等用地）</t>
  </si>
  <si>
    <t>公共设施用地</t>
  </si>
  <si>
    <t>（指用于城乡基础设施的用地，包括给排水、供电、供热、供气、邮政、电信、消防、环卫、公用设施维修等用地。）</t>
  </si>
  <si>
    <t>交通用地</t>
  </si>
  <si>
    <t>（指铁路用地、公路用地、机场用地、管道运输用地等，包括铁路、公路、机场、管道运输的地面线路、站场等用地以及城市道路、车站及其相应附属设施用地）</t>
  </si>
  <si>
    <t>备注：本用途修正系数仅适用于地上部分各类用途的修正，地下空间部分不适用上表中的用途修正，直接使用地下空间修正</t>
  </si>
  <si>
    <t>地下</t>
  </si>
  <si>
    <t>地下仓储</t>
  </si>
  <si>
    <t>车库</t>
  </si>
  <si>
    <t>—</t>
  </si>
  <si>
    <t>北京市商业路线价加价幅度表</t>
  </si>
  <si>
    <t>区县</t>
  </si>
  <si>
    <t>商业街名称</t>
  </si>
  <si>
    <t>起止点</t>
  </si>
  <si>
    <t>加价幅度</t>
  </si>
  <si>
    <t>标准深度（m）</t>
  </si>
  <si>
    <t>不临58条商业街</t>
  </si>
  <si>
    <t>东城区</t>
  </si>
  <si>
    <t>东长安街</t>
  </si>
  <si>
    <t>天安门——东单</t>
  </si>
  <si>
    <t>建国门内大街</t>
  </si>
  <si>
    <t>建国门——东单</t>
  </si>
  <si>
    <t>王府井商业街</t>
  </si>
  <si>
    <t>东长安街——五四大街</t>
  </si>
  <si>
    <t>东单北大街</t>
  </si>
  <si>
    <t>金鱼胡同——东单路口</t>
  </si>
  <si>
    <t>东四南大街</t>
  </si>
  <si>
    <t>东四路口——金鱼胡同</t>
  </si>
  <si>
    <t>东直门内大街      （簋街）</t>
  </si>
  <si>
    <t>东直门桥——北新桥</t>
  </si>
  <si>
    <t>北京站东街</t>
  </si>
  <si>
    <t>建国门南大街——北京站</t>
  </si>
  <si>
    <t>北京站街</t>
  </si>
  <si>
    <t>建国门内大街——北京站</t>
  </si>
  <si>
    <t>东四十条</t>
  </si>
  <si>
    <t>东四十条桥——东四北大街</t>
  </si>
  <si>
    <t>张自忠路</t>
  </si>
  <si>
    <t>东四北大街——交道口南大街</t>
  </si>
  <si>
    <t>地安门东大街</t>
  </si>
  <si>
    <t>交道口南大街——地安门外大街</t>
  </si>
  <si>
    <t>前门商业街</t>
  </si>
  <si>
    <t>前门箭楼——珠市口</t>
  </si>
  <si>
    <t>崇外商业街</t>
  </si>
  <si>
    <t>崇文门——磁器口</t>
  </si>
  <si>
    <t>广渠门内大街</t>
  </si>
  <si>
    <t>广渠门——磁器口</t>
  </si>
  <si>
    <t>珠市口东大街</t>
  </si>
  <si>
    <t>磁器口——珠市口</t>
  </si>
  <si>
    <t>西城区</t>
  </si>
  <si>
    <t>西长安街</t>
  </si>
  <si>
    <t>天安门——西单</t>
  </si>
  <si>
    <t>复兴门内大街</t>
  </si>
  <si>
    <t>西单——复兴门</t>
  </si>
  <si>
    <t>复兴门外大街</t>
  </si>
  <si>
    <t>复兴门——木樨地</t>
  </si>
  <si>
    <t>西单商业街</t>
  </si>
  <si>
    <t>西单——辟才胡同</t>
  </si>
  <si>
    <t>西四商业街</t>
  </si>
  <si>
    <t>辟才胡同——平安里</t>
  </si>
  <si>
    <t>新街口商业街</t>
  </si>
  <si>
    <t>平安里——积水潭桥</t>
  </si>
  <si>
    <t>双旗杆西街       （福利特商业街）</t>
  </si>
  <si>
    <t>北三环中路——黄寺大街</t>
  </si>
  <si>
    <t>地安门西大街</t>
  </si>
  <si>
    <t>地安门外大街——新街口南大街</t>
  </si>
  <si>
    <t>平安里西大街</t>
  </si>
  <si>
    <t>新街口南大街——车公庄</t>
  </si>
  <si>
    <t>大栅栏商业街</t>
  </si>
  <si>
    <t>前门大街——煤市街</t>
  </si>
  <si>
    <t>珠市口西大街</t>
  </si>
  <si>
    <t>珠市口——南新华街</t>
  </si>
  <si>
    <t>骡马市大街</t>
  </si>
  <si>
    <t>南新华街——菜市口</t>
  </si>
  <si>
    <t>广安门内大街</t>
  </si>
  <si>
    <t>菜市口——广安门桥</t>
  </si>
  <si>
    <t>宣武门外大街</t>
  </si>
  <si>
    <t>宣武门——菜市口</t>
  </si>
  <si>
    <t>菜市口大街</t>
  </si>
  <si>
    <t>菜市口——开阳桥</t>
  </si>
  <si>
    <t>马连道路</t>
  </si>
  <si>
    <t>广安门外大街——红莲南路</t>
  </si>
  <si>
    <t>朝阳区</t>
  </si>
  <si>
    <t>朝外商业街</t>
  </si>
  <si>
    <t>朝阳门——东大桥</t>
  </si>
  <si>
    <t>安立路</t>
  </si>
  <si>
    <t>安慧桥——慧忠北路</t>
  </si>
  <si>
    <t>三里屯路</t>
  </si>
  <si>
    <t>工人体育场北路——东直门外大街</t>
  </si>
  <si>
    <t>秀水街</t>
  </si>
  <si>
    <t>建国门外大街——光华路</t>
  </si>
  <si>
    <t>大羊坊路         （十里河建材商业街）</t>
  </si>
  <si>
    <t>十里河桥——小武基路</t>
  </si>
  <si>
    <t>建国门外大街</t>
  </si>
  <si>
    <t>建国门桥——国贸桥</t>
  </si>
  <si>
    <t>建国路</t>
  </si>
  <si>
    <t>国贸桥——西大望路</t>
  </si>
  <si>
    <t>海淀区</t>
  </si>
  <si>
    <t>中关村大街</t>
  </si>
  <si>
    <t>海淀南路——北四环</t>
  </si>
  <si>
    <t>复兴路</t>
  </si>
  <si>
    <t>木樨地——万寿路</t>
  </si>
  <si>
    <t>海淀中路</t>
  </si>
  <si>
    <t>丰台区</t>
  </si>
  <si>
    <t>蒲芳路、紫芳路    （方庄商业街）</t>
  </si>
  <si>
    <t>蒲黄榆路——方庄东路</t>
  </si>
  <si>
    <t>石景山区</t>
  </si>
  <si>
    <t>石景山路</t>
  </si>
  <si>
    <t>八宝山——八角桥</t>
  </si>
  <si>
    <t>门头沟区</t>
  </si>
  <si>
    <t>新桥大街</t>
  </si>
  <si>
    <t>门头沟路——双峪路</t>
  </si>
  <si>
    <t>房山区</t>
  </si>
  <si>
    <t>南关大街</t>
  </si>
  <si>
    <t>房山东大街——南关立交桥</t>
  </si>
  <si>
    <t>拱辰大街</t>
  </si>
  <si>
    <t>良乡中路——月华大街</t>
  </si>
  <si>
    <t>通州区</t>
  </si>
  <si>
    <t>新华大街</t>
  </si>
  <si>
    <t>车站路——通惠南路</t>
  </si>
  <si>
    <t>云景东路</t>
  </si>
  <si>
    <t>地铁八通线——云景南大街</t>
  </si>
  <si>
    <t>顺义区</t>
  </si>
  <si>
    <t>新顺大街</t>
  </si>
  <si>
    <t>幸福西街——站前街</t>
  </si>
  <si>
    <t>大兴区</t>
  </si>
  <si>
    <t>兴华大街</t>
  </si>
  <si>
    <t>金星西路——黄村火车站</t>
  </si>
  <si>
    <t>昌平区</t>
  </si>
  <si>
    <t>回龙观西大街</t>
  </si>
  <si>
    <t>京藏高速公路——文华西路</t>
  </si>
  <si>
    <t>鼓楼东、西街</t>
  </si>
  <si>
    <t>东环路——西环路</t>
  </si>
  <si>
    <t>鼓楼南、北街</t>
  </si>
  <si>
    <t>北环路——府学路</t>
  </si>
  <si>
    <t>平谷区</t>
  </si>
  <si>
    <t>步行街</t>
  </si>
  <si>
    <t>文化北街——向阳北街</t>
  </si>
  <si>
    <t>怀柔区</t>
  </si>
  <si>
    <t>商业街</t>
  </si>
  <si>
    <t>迎宾路——青春路</t>
  </si>
  <si>
    <t>密云县</t>
  </si>
  <si>
    <t>鼓楼东、西大街</t>
  </si>
  <si>
    <t>新中街——南更道</t>
  </si>
  <si>
    <t>鼓楼大街</t>
  </si>
  <si>
    <t>西大桥路——康复路</t>
  </si>
  <si>
    <t>延庆县</t>
  </si>
  <si>
    <t>东外大街</t>
  </si>
  <si>
    <t>香苑街——东顺城街</t>
  </si>
  <si>
    <t>北京市基准地价容积率修正系数表（商业）</t>
  </si>
  <si>
    <t>容积率</t>
  </si>
  <si>
    <t>北京市基准地价容积率修正系数表（办公）</t>
  </si>
  <si>
    <t>北京市基准地价容积率修正系数表（居住）</t>
  </si>
  <si>
    <t>北京市基准地价容积率修正系数表（工业）</t>
  </si>
  <si>
    <t>公示地价指数</t>
  </si>
  <si>
    <r>
      <rPr>
        <b/>
        <sz val="10"/>
        <color theme="1"/>
        <rFont val="楷体_GB2312"/>
        <charset val="134"/>
      </rPr>
      <t>公示增长率</t>
    </r>
  </si>
  <si>
    <r>
      <rPr>
        <b/>
        <sz val="10"/>
        <color theme="1"/>
        <rFont val="楷体_GB2312"/>
        <charset val="134"/>
      </rPr>
      <t>核算至百分数</t>
    </r>
  </si>
  <si>
    <r>
      <rPr>
        <b/>
        <sz val="10"/>
        <color theme="1"/>
        <rFont val="楷体_GB2312"/>
        <charset val="134"/>
      </rPr>
      <t>验证</t>
    </r>
  </si>
  <si>
    <t>季度连乘</t>
  </si>
  <si>
    <t>平均增幅</t>
  </si>
  <si>
    <t>综合</t>
  </si>
  <si>
    <r>
      <rPr>
        <sz val="11"/>
        <color indexed="8"/>
        <rFont val="楷体_GB2312"/>
        <charset val="134"/>
      </rPr>
      <t>商业</t>
    </r>
  </si>
  <si>
    <r>
      <rPr>
        <sz val="11"/>
        <color indexed="8"/>
        <rFont val="楷体_GB2312"/>
        <charset val="134"/>
      </rPr>
      <t>工业</t>
    </r>
  </si>
  <si>
    <t>商服</t>
  </si>
  <si>
    <t>本行不参与计算</t>
  </si>
  <si>
    <t>2021-4</t>
  </si>
  <si>
    <r>
      <rPr>
        <sz val="10"/>
        <color rgb="FFFF0000"/>
        <rFont val="宋体"/>
        <charset val="134"/>
      </rPr>
      <t>当前季度，自</t>
    </r>
    <r>
      <rPr>
        <sz val="10"/>
        <color rgb="FFFF0000"/>
        <rFont val="Arial"/>
        <charset val="134"/>
      </rPr>
      <t>2018</t>
    </r>
    <r>
      <rPr>
        <sz val="10"/>
        <color rgb="FFFF0000"/>
        <rFont val="宋体"/>
        <charset val="134"/>
      </rPr>
      <t>年</t>
    </r>
    <r>
      <rPr>
        <sz val="10"/>
        <color rgb="FFFF0000"/>
        <rFont val="Arial"/>
        <charset val="134"/>
      </rPr>
      <t>1</t>
    </r>
    <r>
      <rPr>
        <sz val="10"/>
        <color rgb="FFFF0000"/>
        <rFont val="宋体"/>
        <charset val="134"/>
      </rPr>
      <t>季度起不计预测值</t>
    </r>
  </si>
  <si>
    <t>2021-3</t>
  </si>
  <si>
    <t>2021-2</t>
  </si>
  <si>
    <t>2021-1</t>
  </si>
  <si>
    <t>2020-4</t>
  </si>
  <si>
    <t>2020-3</t>
  </si>
  <si>
    <t>2020-2</t>
  </si>
  <si>
    <t>2020-1</t>
  </si>
  <si>
    <t>2019-4</t>
  </si>
  <si>
    <t>2019-3</t>
  </si>
  <si>
    <t>2019-2</t>
  </si>
  <si>
    <t>2019-1</t>
  </si>
  <si>
    <t>2018-4</t>
  </si>
  <si>
    <t>2018-3</t>
  </si>
  <si>
    <t>2018-2</t>
  </si>
  <si>
    <t>2018-1</t>
  </si>
  <si>
    <t>2017-4</t>
  </si>
  <si>
    <t>2017-3</t>
  </si>
  <si>
    <t>2017-2</t>
  </si>
  <si>
    <t>2017-1</t>
  </si>
  <si>
    <t>2016-4</t>
  </si>
  <si>
    <t>2016-3</t>
  </si>
  <si>
    <t>2016-2</t>
  </si>
  <si>
    <t>2016-1</t>
  </si>
  <si>
    <t>2015-4</t>
  </si>
  <si>
    <t>2015-3</t>
  </si>
  <si>
    <t>2015-2</t>
  </si>
  <si>
    <t>2015-1</t>
  </si>
  <si>
    <t>2014-4</t>
  </si>
  <si>
    <t>2014-3</t>
  </si>
  <si>
    <t>2014-2</t>
  </si>
  <si>
    <t>2014-1</t>
  </si>
  <si>
    <t>基准季度（基准地价）</t>
  </si>
  <si>
    <t>2013-4</t>
  </si>
  <si>
    <t>2013-3</t>
  </si>
  <si>
    <t>2013-2</t>
  </si>
  <si>
    <t>2013-1</t>
  </si>
  <si>
    <r>
      <rPr>
        <sz val="10"/>
        <rFont val="Arial"/>
        <charset val="134"/>
      </rPr>
      <t>2</t>
    </r>
    <r>
      <rPr>
        <sz val="10"/>
        <color theme="1"/>
        <rFont val="Arial"/>
        <charset val="134"/>
      </rPr>
      <t>012-4</t>
    </r>
  </si>
  <si>
    <r>
      <rPr>
        <sz val="10"/>
        <rFont val="Arial"/>
        <charset val="134"/>
      </rPr>
      <t>2</t>
    </r>
    <r>
      <rPr>
        <sz val="10"/>
        <color theme="1"/>
        <rFont val="Arial"/>
        <charset val="134"/>
      </rPr>
      <t>012-3</t>
    </r>
  </si>
  <si>
    <r>
      <rPr>
        <sz val="10"/>
        <rFont val="Arial"/>
        <charset val="134"/>
      </rPr>
      <t>2</t>
    </r>
    <r>
      <rPr>
        <sz val="10"/>
        <color theme="1"/>
        <rFont val="Arial"/>
        <charset val="134"/>
      </rPr>
      <t>012-2</t>
    </r>
  </si>
  <si>
    <r>
      <rPr>
        <sz val="10"/>
        <rFont val="Arial"/>
        <charset val="134"/>
      </rPr>
      <t>2</t>
    </r>
    <r>
      <rPr>
        <sz val="10"/>
        <color theme="1"/>
        <rFont val="Arial"/>
        <charset val="134"/>
      </rPr>
      <t>012-1</t>
    </r>
  </si>
  <si>
    <r>
      <rPr>
        <sz val="10"/>
        <rFont val="Arial"/>
        <charset val="134"/>
      </rPr>
      <t>2</t>
    </r>
    <r>
      <rPr>
        <sz val="10"/>
        <color theme="1"/>
        <rFont val="Arial"/>
        <charset val="134"/>
      </rPr>
      <t>011-4</t>
    </r>
  </si>
  <si>
    <r>
      <rPr>
        <sz val="10"/>
        <rFont val="Arial"/>
        <charset val="134"/>
      </rPr>
      <t>2</t>
    </r>
    <r>
      <rPr>
        <sz val="10"/>
        <color theme="1"/>
        <rFont val="Arial"/>
        <charset val="134"/>
      </rPr>
      <t>011-3</t>
    </r>
  </si>
  <si>
    <r>
      <rPr>
        <sz val="10"/>
        <rFont val="Arial"/>
        <charset val="134"/>
      </rPr>
      <t>2</t>
    </r>
    <r>
      <rPr>
        <sz val="10"/>
        <color theme="1"/>
        <rFont val="Arial"/>
        <charset val="134"/>
      </rPr>
      <t>011-2</t>
    </r>
  </si>
  <si>
    <r>
      <rPr>
        <sz val="10"/>
        <rFont val="Arial"/>
        <charset val="134"/>
      </rPr>
      <t>2</t>
    </r>
    <r>
      <rPr>
        <sz val="10"/>
        <color theme="1"/>
        <rFont val="Arial"/>
        <charset val="134"/>
      </rPr>
      <t>011-1</t>
    </r>
  </si>
  <si>
    <r>
      <rPr>
        <sz val="10"/>
        <rFont val="Arial"/>
        <charset val="134"/>
      </rPr>
      <t>2</t>
    </r>
    <r>
      <rPr>
        <sz val="10"/>
        <color theme="1"/>
        <rFont val="Arial"/>
        <charset val="134"/>
      </rPr>
      <t>010-4</t>
    </r>
  </si>
  <si>
    <r>
      <rPr>
        <sz val="10"/>
        <rFont val="Arial"/>
        <charset val="134"/>
      </rPr>
      <t>2</t>
    </r>
    <r>
      <rPr>
        <sz val="10"/>
        <color theme="1"/>
        <rFont val="Arial"/>
        <charset val="134"/>
      </rPr>
      <t>010-3</t>
    </r>
  </si>
  <si>
    <r>
      <rPr>
        <sz val="10"/>
        <rFont val="Arial"/>
        <charset val="134"/>
      </rPr>
      <t>2</t>
    </r>
    <r>
      <rPr>
        <sz val="10"/>
        <color theme="1"/>
        <rFont val="Arial"/>
        <charset val="134"/>
      </rPr>
      <t>010-2</t>
    </r>
  </si>
  <si>
    <r>
      <rPr>
        <sz val="10"/>
        <rFont val="Arial"/>
        <charset val="134"/>
      </rPr>
      <t>2</t>
    </r>
    <r>
      <rPr>
        <sz val="10"/>
        <color theme="1"/>
        <rFont val="Arial"/>
        <charset val="134"/>
      </rPr>
      <t>010-1</t>
    </r>
  </si>
  <si>
    <r>
      <rPr>
        <sz val="10"/>
        <rFont val="Arial"/>
        <charset val="134"/>
      </rPr>
      <t>2</t>
    </r>
    <r>
      <rPr>
        <sz val="10"/>
        <color theme="1"/>
        <rFont val="Arial"/>
        <charset val="134"/>
      </rPr>
      <t>009-4</t>
    </r>
  </si>
  <si>
    <r>
      <rPr>
        <sz val="10"/>
        <rFont val="Arial"/>
        <charset val="134"/>
      </rPr>
      <t>2</t>
    </r>
    <r>
      <rPr>
        <sz val="10"/>
        <color theme="1"/>
        <rFont val="Arial"/>
        <charset val="134"/>
      </rPr>
      <t>009-3</t>
    </r>
  </si>
  <si>
    <r>
      <rPr>
        <sz val="10"/>
        <rFont val="Arial"/>
        <charset val="134"/>
      </rPr>
      <t>2</t>
    </r>
    <r>
      <rPr>
        <sz val="10"/>
        <color theme="1"/>
        <rFont val="Arial"/>
        <charset val="134"/>
      </rPr>
      <t>009-2</t>
    </r>
  </si>
  <si>
    <r>
      <rPr>
        <sz val="10"/>
        <rFont val="Arial"/>
        <charset val="134"/>
      </rPr>
      <t>2</t>
    </r>
    <r>
      <rPr>
        <sz val="10"/>
        <color theme="1"/>
        <rFont val="Arial"/>
        <charset val="134"/>
      </rPr>
      <t>009-1</t>
    </r>
  </si>
  <si>
    <r>
      <rPr>
        <sz val="10"/>
        <rFont val="Arial"/>
        <charset val="134"/>
      </rPr>
      <t>2</t>
    </r>
    <r>
      <rPr>
        <sz val="10"/>
        <color theme="1"/>
        <rFont val="Arial"/>
        <charset val="134"/>
      </rPr>
      <t>008-4</t>
    </r>
  </si>
  <si>
    <r>
      <rPr>
        <sz val="10"/>
        <rFont val="Arial"/>
        <charset val="134"/>
      </rPr>
      <t>2</t>
    </r>
    <r>
      <rPr>
        <sz val="10"/>
        <color theme="1"/>
        <rFont val="Arial"/>
        <charset val="134"/>
      </rPr>
      <t>008-3</t>
    </r>
  </si>
  <si>
    <r>
      <rPr>
        <sz val="10"/>
        <rFont val="Arial"/>
        <charset val="134"/>
      </rPr>
      <t>2</t>
    </r>
    <r>
      <rPr>
        <sz val="10"/>
        <color theme="1"/>
        <rFont val="Arial"/>
        <charset val="134"/>
      </rPr>
      <t>008-2</t>
    </r>
  </si>
  <si>
    <r>
      <rPr>
        <sz val="10"/>
        <rFont val="Arial"/>
        <charset val="134"/>
      </rPr>
      <t>2</t>
    </r>
    <r>
      <rPr>
        <sz val="10"/>
        <color theme="1"/>
        <rFont val="Arial"/>
        <charset val="134"/>
      </rPr>
      <t>008-1</t>
    </r>
  </si>
  <si>
    <r>
      <rPr>
        <sz val="10"/>
        <rFont val="Arial"/>
        <charset val="134"/>
      </rPr>
      <t>2</t>
    </r>
    <r>
      <rPr>
        <sz val="10"/>
        <color theme="1"/>
        <rFont val="Arial"/>
        <charset val="134"/>
      </rPr>
      <t>007-4</t>
    </r>
  </si>
  <si>
    <r>
      <rPr>
        <sz val="10"/>
        <rFont val="Arial"/>
        <charset val="134"/>
      </rPr>
      <t>2</t>
    </r>
    <r>
      <rPr>
        <sz val="10"/>
        <color theme="1"/>
        <rFont val="Arial"/>
        <charset val="134"/>
      </rPr>
      <t>007-3</t>
    </r>
  </si>
  <si>
    <r>
      <rPr>
        <sz val="10"/>
        <rFont val="Arial"/>
        <charset val="134"/>
      </rPr>
      <t>2</t>
    </r>
    <r>
      <rPr>
        <sz val="10"/>
        <color theme="1"/>
        <rFont val="Arial"/>
        <charset val="134"/>
      </rPr>
      <t>007-2</t>
    </r>
  </si>
  <si>
    <r>
      <rPr>
        <sz val="10"/>
        <rFont val="Arial"/>
        <charset val="134"/>
      </rPr>
      <t>2</t>
    </r>
    <r>
      <rPr>
        <sz val="10"/>
        <color theme="1"/>
        <rFont val="Arial"/>
        <charset val="134"/>
      </rPr>
      <t>007-1</t>
    </r>
  </si>
  <si>
    <r>
      <rPr>
        <sz val="10"/>
        <rFont val="Arial"/>
        <charset val="134"/>
      </rPr>
      <t>2</t>
    </r>
    <r>
      <rPr>
        <sz val="10"/>
        <color theme="1"/>
        <rFont val="Arial"/>
        <charset val="134"/>
      </rPr>
      <t>006-4</t>
    </r>
  </si>
  <si>
    <t>2006-3</t>
  </si>
  <si>
    <t>2006-2</t>
  </si>
  <si>
    <t>2006-1</t>
  </si>
  <si>
    <r>
      <rPr>
        <sz val="10"/>
        <rFont val="Arial"/>
        <charset val="134"/>
      </rPr>
      <t>2</t>
    </r>
    <r>
      <rPr>
        <sz val="10"/>
        <color theme="1"/>
        <rFont val="Arial"/>
        <charset val="134"/>
      </rPr>
      <t>005-4</t>
    </r>
  </si>
  <si>
    <r>
      <rPr>
        <sz val="10"/>
        <rFont val="Arial"/>
        <charset val="134"/>
      </rPr>
      <t>2</t>
    </r>
    <r>
      <rPr>
        <sz val="10"/>
        <color theme="1"/>
        <rFont val="Arial"/>
        <charset val="134"/>
      </rPr>
      <t>005-3</t>
    </r>
  </si>
  <si>
    <r>
      <rPr>
        <sz val="10"/>
        <rFont val="Arial"/>
        <charset val="134"/>
      </rPr>
      <t>2</t>
    </r>
    <r>
      <rPr>
        <sz val="10"/>
        <color theme="1"/>
        <rFont val="Arial"/>
        <charset val="134"/>
      </rPr>
      <t>005-2</t>
    </r>
  </si>
  <si>
    <r>
      <rPr>
        <sz val="10"/>
        <rFont val="Arial"/>
        <charset val="134"/>
      </rPr>
      <t>2</t>
    </r>
    <r>
      <rPr>
        <sz val="10"/>
        <color theme="1"/>
        <rFont val="Arial"/>
        <charset val="134"/>
      </rPr>
      <t>005-1</t>
    </r>
  </si>
  <si>
    <r>
      <rPr>
        <sz val="10"/>
        <rFont val="Arial"/>
        <charset val="134"/>
      </rPr>
      <t>2</t>
    </r>
    <r>
      <rPr>
        <sz val="10"/>
        <color theme="1"/>
        <rFont val="Arial"/>
        <charset val="134"/>
      </rPr>
      <t>004-4</t>
    </r>
  </si>
  <si>
    <r>
      <rPr>
        <sz val="10"/>
        <rFont val="Arial"/>
        <charset val="134"/>
      </rPr>
      <t>2</t>
    </r>
    <r>
      <rPr>
        <sz val="10"/>
        <color theme="1"/>
        <rFont val="Arial"/>
        <charset val="134"/>
      </rPr>
      <t>004-3</t>
    </r>
  </si>
  <si>
    <r>
      <rPr>
        <sz val="10"/>
        <rFont val="Arial"/>
        <charset val="134"/>
      </rPr>
      <t>2</t>
    </r>
    <r>
      <rPr>
        <sz val="10"/>
        <color theme="1"/>
        <rFont val="Arial"/>
        <charset val="134"/>
      </rPr>
      <t>004-2</t>
    </r>
  </si>
  <si>
    <r>
      <rPr>
        <sz val="10"/>
        <rFont val="Arial"/>
        <charset val="134"/>
      </rPr>
      <t>2</t>
    </r>
    <r>
      <rPr>
        <sz val="10"/>
        <color theme="1"/>
        <rFont val="Arial"/>
        <charset val="134"/>
      </rPr>
      <t>004-1</t>
    </r>
  </si>
  <si>
    <r>
      <rPr>
        <sz val="10"/>
        <rFont val="Arial"/>
        <charset val="134"/>
      </rPr>
      <t>2</t>
    </r>
    <r>
      <rPr>
        <sz val="10"/>
        <color theme="1"/>
        <rFont val="Arial"/>
        <charset val="134"/>
      </rPr>
      <t>003-4</t>
    </r>
  </si>
  <si>
    <r>
      <rPr>
        <sz val="10"/>
        <rFont val="Arial"/>
        <charset val="134"/>
      </rPr>
      <t>2</t>
    </r>
    <r>
      <rPr>
        <sz val="10"/>
        <color theme="1"/>
        <rFont val="Arial"/>
        <charset val="134"/>
      </rPr>
      <t>003-3</t>
    </r>
  </si>
  <si>
    <r>
      <rPr>
        <sz val="10"/>
        <rFont val="Arial"/>
        <charset val="134"/>
      </rPr>
      <t>2</t>
    </r>
    <r>
      <rPr>
        <sz val="10"/>
        <color theme="1"/>
        <rFont val="Arial"/>
        <charset val="134"/>
      </rPr>
      <t>003-2</t>
    </r>
  </si>
  <si>
    <r>
      <rPr>
        <sz val="10"/>
        <rFont val="Arial"/>
        <charset val="134"/>
      </rPr>
      <t>2</t>
    </r>
    <r>
      <rPr>
        <sz val="10"/>
        <color theme="1"/>
        <rFont val="Arial"/>
        <charset val="134"/>
      </rPr>
      <t>003-1</t>
    </r>
  </si>
  <si>
    <r>
      <rPr>
        <sz val="10"/>
        <rFont val="Arial"/>
        <charset val="134"/>
      </rPr>
      <t>2</t>
    </r>
    <r>
      <rPr>
        <sz val="10"/>
        <color theme="1"/>
        <rFont val="Arial"/>
        <charset val="134"/>
      </rPr>
      <t>002-4</t>
    </r>
  </si>
  <si>
    <r>
      <rPr>
        <sz val="10"/>
        <rFont val="Arial"/>
        <charset val="134"/>
      </rPr>
      <t>2</t>
    </r>
    <r>
      <rPr>
        <sz val="10"/>
        <color theme="1"/>
        <rFont val="Arial"/>
        <charset val="134"/>
      </rPr>
      <t>002-3</t>
    </r>
  </si>
  <si>
    <r>
      <rPr>
        <sz val="10"/>
        <rFont val="Arial"/>
        <charset val="134"/>
      </rPr>
      <t>2</t>
    </r>
    <r>
      <rPr>
        <sz val="10"/>
        <color theme="1"/>
        <rFont val="Arial"/>
        <charset val="134"/>
      </rPr>
      <t>002-2</t>
    </r>
  </si>
  <si>
    <r>
      <rPr>
        <sz val="10"/>
        <rFont val="Arial"/>
        <charset val="134"/>
      </rPr>
      <t>2</t>
    </r>
    <r>
      <rPr>
        <sz val="10"/>
        <color theme="1"/>
        <rFont val="Arial"/>
        <charset val="134"/>
      </rPr>
      <t>002-1</t>
    </r>
  </si>
  <si>
    <t>说明</t>
  </si>
  <si>
    <r>
      <rPr>
        <sz val="10"/>
        <color rgb="FFFF0000"/>
        <rFont val="Arial"/>
        <charset val="134"/>
      </rPr>
      <t>2008</t>
    </r>
    <r>
      <rPr>
        <sz val="10"/>
        <color rgb="FFFF0000"/>
        <rFont val="宋体"/>
        <charset val="134"/>
      </rPr>
      <t>年</t>
    </r>
    <r>
      <rPr>
        <sz val="10"/>
        <color rgb="FFFF0000"/>
        <rFont val="Arial"/>
        <charset val="134"/>
      </rPr>
      <t>-</t>
    </r>
    <r>
      <rPr>
        <sz val="10"/>
        <color rgb="FFFF0000"/>
        <rFont val="宋体"/>
        <charset val="134"/>
      </rPr>
      <t>至今，</t>
    </r>
    <r>
      <rPr>
        <sz val="10"/>
        <color rgb="FFFF0000"/>
        <rFont val="Arial"/>
        <charset val="134"/>
      </rPr>
      <t>4</t>
    </r>
    <r>
      <rPr>
        <sz val="10"/>
        <color rgb="FFFF0000"/>
        <rFont val="宋体"/>
        <charset val="134"/>
      </rPr>
      <t>季度地价指数为地价监测网站公布数据，其余各季度指数按照公示增长率折算；</t>
    </r>
  </si>
  <si>
    <r>
      <rPr>
        <sz val="10"/>
        <color rgb="FFFF0000"/>
        <rFont val="Arial"/>
        <charset val="134"/>
      </rPr>
      <t>2004-2007</t>
    </r>
    <r>
      <rPr>
        <sz val="10"/>
        <color rgb="FFFF0000"/>
        <rFont val="宋体"/>
        <charset val="134"/>
      </rPr>
      <t>年，按公示地价指数计算的增长率与公示增长率不符，除</t>
    </r>
    <r>
      <rPr>
        <sz val="10"/>
        <color rgb="FFFF0000"/>
        <rFont val="Arial"/>
        <charset val="134"/>
      </rPr>
      <t>4</t>
    </r>
    <r>
      <rPr>
        <sz val="10"/>
        <color rgb="FFFF0000"/>
        <rFont val="宋体"/>
        <charset val="134"/>
      </rPr>
      <t>季度以外的各季度地价指数的计算，是通过公示增长率的比例分配至年度间指数差值计算得出</t>
    </r>
  </si>
  <si>
    <r>
      <rPr>
        <sz val="10"/>
        <color rgb="FFFF0000"/>
        <rFont val="Arial"/>
        <charset val="134"/>
      </rPr>
      <t>2002</t>
    </r>
    <r>
      <rPr>
        <sz val="10"/>
        <color rgb="FFFF0000"/>
        <rFont val="宋体"/>
        <charset val="134"/>
      </rPr>
      <t>及</t>
    </r>
    <r>
      <rPr>
        <sz val="10"/>
        <color rgb="FFFF0000"/>
        <rFont val="Arial"/>
        <charset val="134"/>
      </rPr>
      <t>2003</t>
    </r>
    <r>
      <rPr>
        <sz val="10"/>
        <color rgb="FFFF0000"/>
        <rFont val="宋体"/>
        <charset val="134"/>
      </rPr>
      <t>年，除</t>
    </r>
    <r>
      <rPr>
        <sz val="10"/>
        <color rgb="FFFF0000"/>
        <rFont val="Arial"/>
        <charset val="134"/>
      </rPr>
      <t>4</t>
    </r>
    <r>
      <rPr>
        <sz val="10"/>
        <color rgb="FFFF0000"/>
        <rFont val="宋体"/>
        <charset val="134"/>
      </rPr>
      <t>季度外的各季度地价指数是将年度指数差值平均分配计算得出</t>
    </r>
  </si>
  <si>
    <r>
      <rPr>
        <sz val="10"/>
        <color rgb="FF707070"/>
        <rFont val="宋体"/>
        <charset val="134"/>
      </rPr>
      <t>年度</t>
    </r>
  </si>
  <si>
    <r>
      <rPr>
        <sz val="10"/>
        <color rgb="FF707070"/>
        <rFont val="宋体"/>
        <charset val="134"/>
      </rPr>
      <t>综合</t>
    </r>
  </si>
  <si>
    <r>
      <rPr>
        <sz val="10"/>
        <color rgb="FF707070"/>
        <rFont val="宋体"/>
        <charset val="134"/>
      </rPr>
      <t>商服</t>
    </r>
  </si>
  <si>
    <r>
      <rPr>
        <sz val="10"/>
        <color rgb="FF707070"/>
        <rFont val="宋体"/>
        <charset val="134"/>
      </rPr>
      <t>住宅</t>
    </r>
  </si>
  <si>
    <t>开发期</t>
  </si>
  <si>
    <t>贷款利率</t>
  </si>
  <si>
    <t>1年期存款利率</t>
  </si>
  <si>
    <t>存款利率</t>
  </si>
  <si>
    <t>半年以内（含）</t>
  </si>
  <si>
    <t>0.5-1年（含）</t>
  </si>
  <si>
    <t>1-3年（含）</t>
  </si>
  <si>
    <t>3-5年（含）</t>
  </si>
  <si>
    <t>5年以上</t>
  </si>
  <si>
    <t>更新利率时，不要插入或删减行，会影响公式判断。当期行（13行）为固定行，只录入当期数据，如有更新，需要将历史数据从第14行起复制黏贴</t>
  </si>
  <si>
    <r>
      <rPr>
        <b/>
        <sz val="18"/>
        <color indexed="10"/>
        <rFont val="΢ȭхڬˎ̥"/>
        <charset val="134"/>
      </rPr>
      <t>贷</t>
    </r>
    <r>
      <rPr>
        <b/>
        <sz val="16"/>
        <rFont val="΢ȭхڬˎ̥"/>
        <charset val="134"/>
      </rPr>
      <t>款利率</t>
    </r>
  </si>
  <si>
    <r>
      <rPr>
        <b/>
        <sz val="18"/>
        <color indexed="10"/>
        <rFont val="΢ȭхڬˎ̥"/>
        <charset val="134"/>
      </rPr>
      <t>存</t>
    </r>
    <r>
      <rPr>
        <b/>
        <sz val="16"/>
        <rFont val="΢ȭхڬˎ̥"/>
        <charset val="134"/>
      </rPr>
      <t>款利率</t>
    </r>
  </si>
  <si>
    <t>序列</t>
  </si>
  <si>
    <t>日期</t>
  </si>
  <si>
    <t>短期</t>
  </si>
  <si>
    <t>中长期</t>
  </si>
  <si>
    <t>个人住房公积金</t>
  </si>
  <si>
    <t>活期</t>
  </si>
  <si>
    <t>整存整取</t>
  </si>
  <si>
    <t>零存整取</t>
  </si>
  <si>
    <t>协定</t>
  </si>
  <si>
    <t>一天通</t>
  </si>
  <si>
    <t>七天通</t>
  </si>
  <si>
    <t>0半年以内（含）</t>
  </si>
  <si>
    <t>5年以</t>
  </si>
  <si>
    <t>3个月</t>
  </si>
  <si>
    <t>当期</t>
  </si>
  <si>
    <t>LPR</t>
  </si>
  <si>
    <t>--</t>
  </si>
</sst>
</file>

<file path=xl/styles.xml><?xml version="1.0" encoding="utf-8"?>
<styleSheet xmlns="http://schemas.openxmlformats.org/spreadsheetml/2006/main">
  <numFmts count="24">
    <numFmt numFmtId="176" formatCode="0.000_);[Red]\(0.000\)"/>
    <numFmt numFmtId="44" formatCode="_ &quot;￥&quot;* #,##0.00_ ;_ &quot;￥&quot;* \-#,##0.00_ ;_ &quot;￥&quot;* &quot;-&quot;??_ ;_ @_ "/>
    <numFmt numFmtId="42" formatCode="_ &quot;￥&quot;* #,##0_ ;_ &quot;￥&quot;* \-#,##0_ ;_ &quot;￥&quot;* &quot;-&quot;_ ;_ @_ "/>
    <numFmt numFmtId="177" formatCode="yyyy&quot;年&quot;m&quot;月&quot;d&quot;日&quot;;@"/>
    <numFmt numFmtId="178" formatCode="0_);[Red]\(0\)"/>
    <numFmt numFmtId="41" formatCode="_ * #,##0_ ;_ * \-#,##0_ ;_ * &quot;-&quot;_ ;_ @_ "/>
    <numFmt numFmtId="43" formatCode="_ * #,##0.00_ ;_ * \-#,##0.00_ ;_ * &quot;-&quot;??_ ;_ @_ "/>
    <numFmt numFmtId="179" formatCode="[$-F800]dddd\,\ mmmm\ dd\,\ yyyy"/>
    <numFmt numFmtId="180" formatCode="0.0_ "/>
    <numFmt numFmtId="181" formatCode="yyyy/m/d;@"/>
    <numFmt numFmtId="182" formatCode="0;_쐀"/>
    <numFmt numFmtId="183" formatCode="0_ "/>
    <numFmt numFmtId="184" formatCode="0.0_);[Red]\(0.0\)"/>
    <numFmt numFmtId="185" formatCode="0.00_ "/>
    <numFmt numFmtId="186" formatCode="0.000_ "/>
    <numFmt numFmtId="187" formatCode="0.0%"/>
    <numFmt numFmtId="188" formatCode="0.0000_ "/>
    <numFmt numFmtId="189" formatCode="0.00_);[Red]\(0.00\)"/>
    <numFmt numFmtId="190" formatCode="yyyy&quot;年&quot;m&quot;月&quot;;@"/>
    <numFmt numFmtId="191" formatCode="0.000%"/>
    <numFmt numFmtId="192" formatCode="0_ ;[Red]\-0\ "/>
    <numFmt numFmtId="193" formatCode="0.0000%"/>
    <numFmt numFmtId="194" formatCode="[DBNum2][$-804]General"/>
    <numFmt numFmtId="195" formatCode="[DBNum1][$-804]yyyy&quot;年&quot;m&quot;月&quot;d&quot;日&quot;;@"/>
  </numFmts>
  <fonts count="238">
    <font>
      <sz val="11"/>
      <color theme="1"/>
      <name val="宋体"/>
      <charset val="134"/>
      <scheme val="minor"/>
    </font>
    <font>
      <b/>
      <sz val="11"/>
      <color theme="1"/>
      <name val="宋体"/>
      <charset val="134"/>
      <scheme val="minor"/>
    </font>
    <font>
      <sz val="11"/>
      <color rgb="FFFF0000"/>
      <name val="宋体"/>
      <charset val="134"/>
      <scheme val="minor"/>
    </font>
    <font>
      <sz val="10"/>
      <name val="宋体"/>
      <charset val="134"/>
    </font>
    <font>
      <b/>
      <sz val="10"/>
      <name val="宋体"/>
      <charset val="134"/>
    </font>
    <font>
      <b/>
      <sz val="10"/>
      <color rgb="FFFF0000"/>
      <name val="宋体"/>
      <charset val="134"/>
    </font>
    <font>
      <sz val="10"/>
      <color theme="1"/>
      <name val="宋体"/>
      <charset val="134"/>
    </font>
    <font>
      <b/>
      <sz val="16"/>
      <color theme="3" tint="0.399914548173467"/>
      <name val="宋体"/>
      <charset val="134"/>
    </font>
    <font>
      <b/>
      <sz val="12"/>
      <color theme="3" tint="0.399914548173467"/>
      <name val="宋体"/>
      <charset val="134"/>
    </font>
    <font>
      <sz val="16"/>
      <name val="宋体"/>
      <charset val="134"/>
    </font>
    <font>
      <b/>
      <sz val="16"/>
      <name val="΢ȭхڬˎ̥"/>
      <charset val="134"/>
    </font>
    <font>
      <b/>
      <sz val="10"/>
      <color theme="1"/>
      <name val="宋体"/>
      <charset val="134"/>
    </font>
    <font>
      <b/>
      <sz val="12"/>
      <color rgb="FFFF0000"/>
      <name val="宋体"/>
      <charset val="134"/>
    </font>
    <font>
      <sz val="10"/>
      <color rgb="FFFF0000"/>
      <name val="宋体"/>
      <charset val="134"/>
    </font>
    <font>
      <sz val="13"/>
      <name val="宋体"/>
      <charset val="134"/>
    </font>
    <font>
      <sz val="12"/>
      <color rgb="FFFF0000"/>
      <name val="宋体"/>
      <charset val="134"/>
    </font>
    <font>
      <b/>
      <sz val="10"/>
      <color theme="1"/>
      <name val="Arial"/>
      <charset val="134"/>
    </font>
    <font>
      <b/>
      <sz val="10"/>
      <color theme="0"/>
      <name val="Arial"/>
      <charset val="134"/>
    </font>
    <font>
      <sz val="10"/>
      <color theme="1"/>
      <name val="Arial"/>
      <charset val="134"/>
    </font>
    <font>
      <sz val="10"/>
      <color rgb="FFFF0000"/>
      <name val="Arial"/>
      <charset val="134"/>
    </font>
    <font>
      <b/>
      <sz val="10"/>
      <color theme="1"/>
      <name val="楷体_GB2312"/>
      <charset val="134"/>
    </font>
    <font>
      <sz val="11"/>
      <color theme="1"/>
      <name val="楷体_GB2312"/>
      <charset val="134"/>
    </font>
    <font>
      <sz val="11"/>
      <color indexed="8"/>
      <name val="楷体_GB2312"/>
      <charset val="134"/>
    </font>
    <font>
      <sz val="11"/>
      <color theme="1"/>
      <name val="Arial"/>
      <charset val="134"/>
    </font>
    <font>
      <sz val="10"/>
      <name val="Arial"/>
      <charset val="134"/>
    </font>
    <font>
      <sz val="10"/>
      <color rgb="FF707070"/>
      <name val="Arial"/>
      <charset val="134"/>
    </font>
    <font>
      <sz val="10"/>
      <color theme="0"/>
      <name val="Arial"/>
      <charset val="134"/>
    </font>
    <font>
      <b/>
      <sz val="12"/>
      <name val="仿宋_GB2312"/>
      <charset val="134"/>
    </font>
    <font>
      <sz val="10"/>
      <name val="仿宋_GB2312"/>
      <charset val="134"/>
    </font>
    <font>
      <sz val="10"/>
      <color rgb="FF000000"/>
      <name val="仿宋_GB2312"/>
      <charset val="134"/>
    </font>
    <font>
      <sz val="10"/>
      <color theme="1"/>
      <name val="宋体"/>
      <charset val="134"/>
      <scheme val="minor"/>
    </font>
    <font>
      <b/>
      <sz val="10"/>
      <color theme="1"/>
      <name val="宋体"/>
      <charset val="134"/>
      <scheme val="minor"/>
    </font>
    <font>
      <b/>
      <sz val="11"/>
      <color theme="1"/>
      <name val="仿宋_GB2312"/>
      <charset val="134"/>
    </font>
    <font>
      <sz val="11"/>
      <color theme="1"/>
      <name val="仿宋_GB2312"/>
      <charset val="134"/>
    </font>
    <font>
      <b/>
      <sz val="10"/>
      <color theme="1"/>
      <name val="仿宋_GB2312"/>
      <charset val="134"/>
    </font>
    <font>
      <sz val="10"/>
      <color theme="1"/>
      <name val="仿宋_GB2312"/>
      <charset val="134"/>
    </font>
    <font>
      <sz val="11"/>
      <color theme="1"/>
      <name val="宋体"/>
      <charset val="134"/>
    </font>
    <font>
      <b/>
      <sz val="11"/>
      <color theme="1"/>
      <name val="宋体"/>
      <charset val="134"/>
    </font>
    <font>
      <b/>
      <sz val="11"/>
      <color rgb="FFFF0000"/>
      <name val="宋体"/>
      <charset val="134"/>
      <scheme val="minor"/>
    </font>
    <font>
      <b/>
      <sz val="11"/>
      <color rgb="FFFF0000"/>
      <name val="Arial"/>
      <charset val="134"/>
    </font>
    <font>
      <sz val="10"/>
      <color theme="1"/>
      <name val="楷体_GB2312"/>
      <charset val="134"/>
    </font>
    <font>
      <b/>
      <sz val="11"/>
      <color rgb="FFFF0000"/>
      <name val="楷体_GB2312"/>
      <charset val="134"/>
    </font>
    <font>
      <sz val="11"/>
      <color indexed="8"/>
      <name val="Arial"/>
      <charset val="134"/>
    </font>
    <font>
      <sz val="11"/>
      <name val="Arial"/>
      <charset val="134"/>
    </font>
    <font>
      <b/>
      <sz val="16"/>
      <color rgb="FFFF0000"/>
      <name val="Arial"/>
      <charset val="134"/>
    </font>
    <font>
      <b/>
      <sz val="12"/>
      <name val="Arial"/>
      <charset val="134"/>
    </font>
    <font>
      <b/>
      <sz val="11"/>
      <name val="Arial"/>
      <charset val="134"/>
    </font>
    <font>
      <b/>
      <sz val="11"/>
      <color theme="0" tint="-0.499984740745262"/>
      <name val="Arial"/>
      <charset val="134"/>
    </font>
    <font>
      <b/>
      <sz val="10"/>
      <name val="Arial"/>
      <charset val="134"/>
    </font>
    <font>
      <sz val="10"/>
      <color indexed="8"/>
      <name val="Arial"/>
      <charset val="134"/>
    </font>
    <font>
      <sz val="10"/>
      <color indexed="10"/>
      <name val="Arial"/>
      <charset val="134"/>
    </font>
    <font>
      <b/>
      <sz val="10"/>
      <color rgb="FFFF0000"/>
      <name val="Arial"/>
      <charset val="134"/>
    </font>
    <font>
      <b/>
      <sz val="11"/>
      <color theme="1"/>
      <name val="Arial"/>
      <charset val="134"/>
    </font>
    <font>
      <sz val="10"/>
      <color theme="9" tint="-0.249977111117893"/>
      <name val="Arial"/>
      <charset val="134"/>
    </font>
    <font>
      <sz val="12"/>
      <name val="Arial"/>
      <charset val="134"/>
    </font>
    <font>
      <sz val="12"/>
      <color rgb="FFFF0000"/>
      <name val="Arial"/>
      <charset val="134"/>
    </font>
    <font>
      <sz val="16"/>
      <name val="Arial"/>
      <charset val="134"/>
    </font>
    <font>
      <sz val="11"/>
      <color indexed="62"/>
      <name val="Arial"/>
      <charset val="134"/>
    </font>
    <font>
      <sz val="11"/>
      <color indexed="10"/>
      <name val="Arial"/>
      <charset val="134"/>
    </font>
    <font>
      <sz val="11"/>
      <color indexed="53"/>
      <name val="Arial"/>
      <charset val="134"/>
    </font>
    <font>
      <sz val="10"/>
      <color indexed="53"/>
      <name val="Arial"/>
      <charset val="134"/>
    </font>
    <font>
      <b/>
      <sz val="16"/>
      <name val="Arial"/>
      <charset val="134"/>
    </font>
    <font>
      <b/>
      <sz val="16"/>
      <color indexed="10"/>
      <name val="Arial"/>
      <charset val="134"/>
    </font>
    <font>
      <sz val="11"/>
      <color theme="9" tint="-0.249977111117893"/>
      <name val="Arial"/>
      <charset val="134"/>
    </font>
    <font>
      <b/>
      <sz val="11"/>
      <color indexed="8"/>
      <name val="Arial"/>
      <charset val="134"/>
    </font>
    <font>
      <b/>
      <sz val="11"/>
      <color indexed="62"/>
      <name val="Arial"/>
      <charset val="134"/>
    </font>
    <font>
      <b/>
      <sz val="11"/>
      <color indexed="10"/>
      <name val="Arial"/>
      <charset val="134"/>
    </font>
    <font>
      <b/>
      <sz val="11"/>
      <color indexed="53"/>
      <name val="Arial"/>
      <charset val="134"/>
    </font>
    <font>
      <b/>
      <sz val="16"/>
      <color indexed="8"/>
      <name val="Arial"/>
      <charset val="134"/>
    </font>
    <font>
      <sz val="12"/>
      <color indexed="8"/>
      <name val="Arial"/>
      <charset val="134"/>
    </font>
    <font>
      <sz val="12"/>
      <color indexed="53"/>
      <name val="Arial"/>
      <charset val="134"/>
    </font>
    <font>
      <sz val="11"/>
      <color rgb="FFFF0000"/>
      <name val="Arial"/>
      <charset val="134"/>
    </font>
    <font>
      <b/>
      <sz val="12"/>
      <color theme="1"/>
      <name val="Arial"/>
      <charset val="134"/>
    </font>
    <font>
      <b/>
      <sz val="10"/>
      <color indexed="10"/>
      <name val="Arial"/>
      <charset val="134"/>
    </font>
    <font>
      <b/>
      <sz val="10"/>
      <color indexed="8"/>
      <name val="Arial"/>
      <charset val="134"/>
    </font>
    <font>
      <b/>
      <sz val="12"/>
      <color indexed="8"/>
      <name val="Arial"/>
      <charset val="134"/>
    </font>
    <font>
      <sz val="9"/>
      <name val="宋体"/>
      <charset val="134"/>
    </font>
    <font>
      <sz val="9"/>
      <name val="Arial"/>
      <charset val="134"/>
    </font>
    <font>
      <b/>
      <sz val="16"/>
      <name val="宋体"/>
      <charset val="134"/>
    </font>
    <font>
      <b/>
      <sz val="10"/>
      <color theme="9" tint="-0.249977111117893"/>
      <name val="Arial"/>
      <charset val="134"/>
    </font>
    <font>
      <sz val="12"/>
      <name val="宋体"/>
      <charset val="134"/>
    </font>
    <font>
      <b/>
      <sz val="12"/>
      <name val="宋体"/>
      <charset val="134"/>
    </font>
    <font>
      <sz val="12"/>
      <color indexed="10"/>
      <name val="Arial"/>
      <charset val="134"/>
    </font>
    <font>
      <sz val="14"/>
      <name val="Arial"/>
      <charset val="134"/>
    </font>
    <font>
      <i/>
      <sz val="10"/>
      <color indexed="8"/>
      <name val="Arial"/>
      <charset val="134"/>
    </font>
    <font>
      <b/>
      <sz val="20"/>
      <name val="Arial"/>
      <charset val="134"/>
    </font>
    <font>
      <b/>
      <sz val="20"/>
      <color indexed="10"/>
      <name val="Arial"/>
      <charset val="134"/>
    </font>
    <font>
      <sz val="20"/>
      <color indexed="8"/>
      <name val="Arial"/>
      <charset val="134"/>
    </font>
    <font>
      <sz val="20"/>
      <name val="Arial"/>
      <charset val="134"/>
    </font>
    <font>
      <b/>
      <sz val="12"/>
      <color rgb="FFFF0000"/>
      <name val="Arial"/>
      <charset val="134"/>
    </font>
    <font>
      <sz val="12"/>
      <color theme="1"/>
      <name val="Arial"/>
      <charset val="134"/>
    </font>
    <font>
      <sz val="12"/>
      <color rgb="FF000000"/>
      <name val="Arial"/>
      <charset val="134"/>
    </font>
    <font>
      <sz val="14"/>
      <color theme="1"/>
      <name val="Arial"/>
      <charset val="134"/>
    </font>
    <font>
      <b/>
      <sz val="12"/>
      <color indexed="10"/>
      <name val="Arial"/>
      <charset val="134"/>
    </font>
    <font>
      <sz val="11"/>
      <color theme="9" tint="-0.249977111117893"/>
      <name val="宋体"/>
      <charset val="134"/>
    </font>
    <font>
      <sz val="11"/>
      <color rgb="FF000000"/>
      <name val="宋体"/>
      <charset val="134"/>
    </font>
    <font>
      <sz val="11"/>
      <color rgb="FF000000"/>
      <name val="Arial"/>
      <charset val="134"/>
    </font>
    <font>
      <sz val="11"/>
      <name val="宋体"/>
      <charset val="134"/>
    </font>
    <font>
      <i/>
      <sz val="10"/>
      <name val="Arial"/>
      <charset val="134"/>
    </font>
    <font>
      <b/>
      <sz val="14"/>
      <color rgb="FFFF0000"/>
      <name val="Arial"/>
      <charset val="134"/>
    </font>
    <font>
      <b/>
      <u/>
      <sz val="11"/>
      <color rgb="FFFF0000"/>
      <name val="Arial"/>
      <charset val="134"/>
    </font>
    <font>
      <u/>
      <sz val="11"/>
      <color rgb="FFFF0000"/>
      <name val="Arial"/>
      <charset val="134"/>
    </font>
    <font>
      <b/>
      <sz val="16"/>
      <color rgb="FFFF0000"/>
      <name val="宋体"/>
      <charset val="134"/>
    </font>
    <font>
      <b/>
      <sz val="14"/>
      <color indexed="8"/>
      <name val="Arial"/>
      <charset val="134"/>
    </font>
    <font>
      <sz val="14"/>
      <color indexed="8"/>
      <name val="Arial"/>
      <charset val="134"/>
    </font>
    <font>
      <sz val="10"/>
      <color indexed="8"/>
      <name val="宋体"/>
      <charset val="134"/>
    </font>
    <font>
      <b/>
      <sz val="10"/>
      <color rgb="FFE36C0A"/>
      <name val="Arial"/>
      <charset val="134"/>
    </font>
    <font>
      <sz val="10"/>
      <color rgb="FFE36C0A"/>
      <name val="Arial"/>
      <charset val="134"/>
    </font>
    <font>
      <sz val="9"/>
      <color indexed="8"/>
      <name val="Arial"/>
      <charset val="134"/>
    </font>
    <font>
      <sz val="10"/>
      <color rgb="FF000000"/>
      <name val="Arial"/>
      <charset val="134"/>
    </font>
    <font>
      <sz val="11"/>
      <color rgb="FFFF0000"/>
      <name val="宋体"/>
      <charset val="134"/>
    </font>
    <font>
      <b/>
      <u/>
      <sz val="11"/>
      <color theme="1"/>
      <name val="Arial"/>
      <charset val="134"/>
    </font>
    <font>
      <b/>
      <sz val="10"/>
      <color rgb="FFE36C0A"/>
      <name val="宋体"/>
      <charset val="134"/>
      <scheme val="minor"/>
    </font>
    <font>
      <sz val="10"/>
      <color rgb="FFE36C0A"/>
      <name val="宋体"/>
      <charset val="134"/>
      <scheme val="minor"/>
    </font>
    <font>
      <sz val="10"/>
      <color indexed="8"/>
      <name val="宋体"/>
      <charset val="134"/>
      <scheme val="minor"/>
    </font>
    <font>
      <sz val="10"/>
      <color rgb="FF000000"/>
      <name val="宋体"/>
      <charset val="134"/>
      <scheme val="minor"/>
    </font>
    <font>
      <sz val="11"/>
      <color rgb="FF666666"/>
      <name val="微软雅黑"/>
      <charset val="134"/>
    </font>
    <font>
      <b/>
      <sz val="14"/>
      <color indexed="10"/>
      <name val="Arial"/>
      <charset val="134"/>
    </font>
    <font>
      <sz val="11"/>
      <color indexed="8"/>
      <name val="宋体"/>
      <charset val="134"/>
    </font>
    <font>
      <sz val="12"/>
      <color indexed="8"/>
      <name val="楷体_GB2312"/>
      <charset val="134"/>
    </font>
    <font>
      <sz val="12"/>
      <color theme="1"/>
      <name val="楷体_GB2312"/>
      <charset val="134"/>
    </font>
    <font>
      <sz val="12"/>
      <color theme="1"/>
      <name val="宋体"/>
      <charset val="134"/>
      <scheme val="minor"/>
    </font>
    <font>
      <b/>
      <sz val="12"/>
      <color theme="1"/>
      <name val="宋体"/>
      <charset val="134"/>
      <scheme val="minor"/>
    </font>
    <font>
      <sz val="16"/>
      <color theme="1"/>
      <name val="宋体"/>
      <charset val="134"/>
      <scheme val="minor"/>
    </font>
    <font>
      <b/>
      <sz val="16"/>
      <color theme="1"/>
      <name val="宋体"/>
      <charset val="134"/>
      <scheme val="minor"/>
    </font>
    <font>
      <sz val="16"/>
      <color rgb="FFFF0000"/>
      <name val="宋体"/>
      <charset val="134"/>
      <scheme val="minor"/>
    </font>
    <font>
      <b/>
      <sz val="16"/>
      <color rgb="FFFF0000"/>
      <name val="宋体"/>
      <charset val="134"/>
      <scheme val="major"/>
    </font>
    <font>
      <b/>
      <sz val="16"/>
      <color theme="1"/>
      <name val="宋体"/>
      <charset val="134"/>
      <scheme val="major"/>
    </font>
    <font>
      <sz val="16"/>
      <color theme="1"/>
      <name val="Arial"/>
      <charset val="134"/>
    </font>
    <font>
      <b/>
      <sz val="16"/>
      <color indexed="8"/>
      <name val="宋体"/>
      <charset val="134"/>
    </font>
    <font>
      <b/>
      <sz val="14"/>
      <color rgb="FFFF0000"/>
      <name val="宋体"/>
      <charset val="134"/>
      <scheme val="minor"/>
    </font>
    <font>
      <b/>
      <sz val="12"/>
      <color indexed="13"/>
      <name val="Arial"/>
      <charset val="134"/>
    </font>
    <font>
      <b/>
      <sz val="14"/>
      <color theme="1"/>
      <name val="Arial"/>
      <charset val="134"/>
    </font>
    <font>
      <sz val="14"/>
      <color rgb="FF000000"/>
      <name val="Arial"/>
      <charset val="134"/>
    </font>
    <font>
      <sz val="14"/>
      <color rgb="FFE36C0A"/>
      <name val="Arial"/>
      <charset val="134"/>
    </font>
    <font>
      <sz val="12"/>
      <color theme="9" tint="-0.249977111117893"/>
      <name val="Arial"/>
      <charset val="134"/>
    </font>
    <font>
      <sz val="14"/>
      <color theme="9" tint="-0.249977111117893"/>
      <name val="Arial"/>
      <charset val="134"/>
    </font>
    <font>
      <b/>
      <sz val="14"/>
      <color theme="1"/>
      <name val="宋体"/>
      <charset val="134"/>
      <scheme val="minor"/>
    </font>
    <font>
      <sz val="14"/>
      <color theme="1"/>
      <name val="宋体"/>
      <charset val="134"/>
      <scheme val="minor"/>
    </font>
    <font>
      <b/>
      <sz val="12"/>
      <color indexed="8"/>
      <name val="宋体"/>
      <charset val="134"/>
      <scheme val="minor"/>
    </font>
    <font>
      <b/>
      <sz val="12"/>
      <color rgb="FF000000"/>
      <name val="宋体"/>
      <charset val="134"/>
      <scheme val="minor"/>
    </font>
    <font>
      <sz val="12"/>
      <color indexed="8"/>
      <name val="宋体"/>
      <charset val="134"/>
      <scheme val="minor"/>
    </font>
    <font>
      <sz val="12"/>
      <color rgb="FF000000"/>
      <name val="宋体"/>
      <charset val="134"/>
      <scheme val="minor"/>
    </font>
    <font>
      <sz val="14"/>
      <color theme="9" tint="-0.249977111117893"/>
      <name val="宋体"/>
      <charset val="134"/>
      <scheme val="minor"/>
    </font>
    <font>
      <b/>
      <sz val="18"/>
      <color theme="1"/>
      <name val="Arial"/>
      <charset val="134"/>
    </font>
    <font>
      <b/>
      <sz val="14"/>
      <color rgb="FF000000"/>
      <name val="Arial"/>
      <charset val="134"/>
    </font>
    <font>
      <b/>
      <sz val="11"/>
      <color theme="1"/>
      <name val="黑体"/>
      <charset val="134"/>
    </font>
    <font>
      <b/>
      <sz val="10.5"/>
      <color theme="1"/>
      <name val="黑体"/>
      <charset val="134"/>
    </font>
    <font>
      <sz val="11"/>
      <color theme="1"/>
      <name val="黑体"/>
      <charset val="134"/>
    </font>
    <font>
      <sz val="10.5"/>
      <color theme="1"/>
      <name val="黑体"/>
      <charset val="134"/>
    </font>
    <font>
      <b/>
      <sz val="11"/>
      <color rgb="FF3F3F3F"/>
      <name val="宋体"/>
      <charset val="0"/>
      <scheme val="minor"/>
    </font>
    <font>
      <sz val="11"/>
      <color rgb="FF9C0006"/>
      <name val="宋体"/>
      <charset val="0"/>
      <scheme val="minor"/>
    </font>
    <font>
      <i/>
      <sz val="11"/>
      <color rgb="FF7F7F7F"/>
      <name val="宋体"/>
      <charset val="0"/>
      <scheme val="minor"/>
    </font>
    <font>
      <sz val="11"/>
      <color theme="0"/>
      <name val="宋体"/>
      <charset val="0"/>
      <scheme val="minor"/>
    </font>
    <font>
      <sz val="11"/>
      <color rgb="FF9C6500"/>
      <name val="宋体"/>
      <charset val="0"/>
      <scheme val="minor"/>
    </font>
    <font>
      <sz val="11"/>
      <color rgb="FF3F3F76"/>
      <name val="宋体"/>
      <charset val="0"/>
      <scheme val="minor"/>
    </font>
    <font>
      <sz val="11"/>
      <color theme="1"/>
      <name val="宋体"/>
      <charset val="0"/>
      <scheme val="minor"/>
    </font>
    <font>
      <u/>
      <sz val="11"/>
      <color rgb="FF0000FF"/>
      <name val="宋体"/>
      <charset val="0"/>
      <scheme val="minor"/>
    </font>
    <font>
      <u/>
      <sz val="11"/>
      <color rgb="FF800080"/>
      <name val="宋体"/>
      <charset val="0"/>
      <scheme val="minor"/>
    </font>
    <font>
      <b/>
      <sz val="11"/>
      <color theme="1"/>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b/>
      <sz val="15"/>
      <color theme="3"/>
      <name val="宋体"/>
      <charset val="134"/>
      <scheme val="minor"/>
    </font>
    <font>
      <b/>
      <sz val="13"/>
      <color theme="3"/>
      <name val="宋体"/>
      <charset val="134"/>
      <scheme val="minor"/>
    </font>
    <font>
      <sz val="11"/>
      <color rgb="FFFA7D00"/>
      <name val="宋体"/>
      <charset val="0"/>
      <scheme val="minor"/>
    </font>
    <font>
      <b/>
      <sz val="11"/>
      <color rgb="FFFA7D00"/>
      <name val="宋体"/>
      <charset val="0"/>
      <scheme val="minor"/>
    </font>
    <font>
      <b/>
      <sz val="11"/>
      <color rgb="FFFFFFFF"/>
      <name val="宋体"/>
      <charset val="0"/>
      <scheme val="minor"/>
    </font>
    <font>
      <sz val="11"/>
      <color rgb="FF006100"/>
      <name val="宋体"/>
      <charset val="0"/>
      <scheme val="minor"/>
    </font>
    <font>
      <b/>
      <sz val="18"/>
      <color indexed="10"/>
      <name val="΢ȭхڬˎ̥"/>
      <charset val="134"/>
    </font>
    <font>
      <sz val="10"/>
      <color rgb="FF707070"/>
      <name val="宋体"/>
      <charset val="134"/>
    </font>
    <font>
      <sz val="10"/>
      <color indexed="8"/>
      <name val="楷体_GB2312"/>
      <charset val="134"/>
    </font>
    <font>
      <sz val="10"/>
      <name val="楷体_GB2312"/>
      <charset val="134"/>
    </font>
    <font>
      <b/>
      <sz val="16"/>
      <color indexed="10"/>
      <name val="宋体"/>
      <charset val="134"/>
    </font>
    <font>
      <b/>
      <sz val="11"/>
      <name val="宋体"/>
      <charset val="134"/>
    </font>
    <font>
      <sz val="10"/>
      <color indexed="10"/>
      <name val="宋体"/>
      <charset val="134"/>
    </font>
    <font>
      <b/>
      <sz val="11"/>
      <color rgb="FFFF0000"/>
      <name val="宋体"/>
      <charset val="134"/>
    </font>
    <font>
      <sz val="10"/>
      <color theme="9" tint="-0.249977111117893"/>
      <name val="宋体"/>
      <charset val="134"/>
    </font>
    <font>
      <b/>
      <sz val="11"/>
      <color indexed="8"/>
      <name val="宋体"/>
      <charset val="134"/>
    </font>
    <font>
      <b/>
      <sz val="11"/>
      <color theme="9" tint="-0.249977111117893"/>
      <name val="Arial"/>
      <charset val="134"/>
    </font>
    <font>
      <b/>
      <sz val="11"/>
      <color theme="9" tint="-0.249977111117893"/>
      <name val="宋体"/>
      <charset val="134"/>
    </font>
    <font>
      <b/>
      <sz val="11"/>
      <color indexed="10"/>
      <name val="宋体"/>
      <charset val="134"/>
    </font>
    <font>
      <b/>
      <sz val="10"/>
      <color indexed="8"/>
      <name val="宋体"/>
      <charset val="134"/>
    </font>
    <font>
      <b/>
      <sz val="12"/>
      <color indexed="8"/>
      <name val="宋体"/>
      <charset val="134"/>
    </font>
    <font>
      <b/>
      <sz val="10"/>
      <color indexed="53"/>
      <name val="宋体"/>
      <charset val="134"/>
    </font>
    <font>
      <i/>
      <sz val="10"/>
      <color indexed="8"/>
      <name val="宋体"/>
      <charset val="134"/>
    </font>
    <font>
      <vertAlign val="subscript"/>
      <sz val="10"/>
      <color indexed="8"/>
      <name val="宋体"/>
      <charset val="134"/>
    </font>
    <font>
      <b/>
      <sz val="10"/>
      <color indexed="10"/>
      <name val="宋体"/>
      <charset val="134"/>
    </font>
    <font>
      <sz val="12"/>
      <color theme="1"/>
      <name val="宋体"/>
      <charset val="134"/>
    </font>
    <font>
      <vertAlign val="superscript"/>
      <sz val="12"/>
      <color theme="1"/>
      <name val="宋体"/>
      <charset val="134"/>
    </font>
    <font>
      <vertAlign val="subscript"/>
      <sz val="12"/>
      <color theme="1"/>
      <name val="Arial"/>
      <charset val="134"/>
    </font>
    <font>
      <vertAlign val="subscript"/>
      <sz val="14"/>
      <color theme="1"/>
      <name val="Arial"/>
      <charset val="134"/>
    </font>
    <font>
      <vertAlign val="superscript"/>
      <sz val="14"/>
      <color theme="1"/>
      <name val="Arial"/>
      <charset val="134"/>
    </font>
    <font>
      <sz val="12"/>
      <color rgb="FF000000"/>
      <name val="宋体"/>
      <charset val="134"/>
    </font>
    <font>
      <i/>
      <sz val="10"/>
      <name val="宋体"/>
      <charset val="134"/>
    </font>
    <font>
      <b/>
      <vertAlign val="subscript"/>
      <sz val="10"/>
      <name val="宋体"/>
      <charset val="134"/>
    </font>
    <font>
      <b/>
      <vertAlign val="subscript"/>
      <sz val="10"/>
      <name val="Arial"/>
      <charset val="134"/>
    </font>
    <font>
      <b/>
      <sz val="14"/>
      <color rgb="FFFF0000"/>
      <name val="宋体"/>
      <charset val="134"/>
    </font>
    <font>
      <b/>
      <u/>
      <sz val="11"/>
      <color rgb="FFFF0000"/>
      <name val="宋体"/>
      <charset val="134"/>
    </font>
    <font>
      <vertAlign val="superscript"/>
      <sz val="10"/>
      <color indexed="8"/>
      <name val="Arial"/>
      <charset val="134"/>
    </font>
    <font>
      <sz val="10"/>
      <color rgb="FF000000"/>
      <name val="宋体"/>
      <charset val="134"/>
    </font>
    <font>
      <sz val="9"/>
      <color indexed="8"/>
      <name val="宋体"/>
      <charset val="134"/>
    </font>
    <font>
      <b/>
      <i/>
      <sz val="11"/>
      <color theme="3" tint="0.399914548173467"/>
      <name val="宋体"/>
      <charset val="134"/>
    </font>
    <font>
      <b/>
      <i/>
      <sz val="12"/>
      <color theme="3" tint="0.399914548173467"/>
      <name val="宋体"/>
      <charset val="134"/>
    </font>
    <font>
      <b/>
      <sz val="14"/>
      <color indexed="10"/>
      <name val="宋体"/>
      <charset val="134"/>
    </font>
    <font>
      <sz val="11"/>
      <color indexed="10"/>
      <name val="宋体"/>
      <charset val="134"/>
    </font>
    <font>
      <sz val="8"/>
      <color rgb="FFFF0000"/>
      <name val="宋体"/>
      <charset val="134"/>
    </font>
    <font>
      <b/>
      <sz val="12"/>
      <color indexed="13"/>
      <name val="宋体"/>
      <charset val="134"/>
    </font>
    <font>
      <b/>
      <sz val="12"/>
      <color indexed="10"/>
      <name val="宋体"/>
      <charset val="134"/>
    </font>
    <font>
      <b/>
      <sz val="14"/>
      <color theme="1"/>
      <name val="宋体"/>
      <charset val="134"/>
    </font>
    <font>
      <b/>
      <i/>
      <sz val="14"/>
      <color theme="3" tint="0.399914548173467"/>
      <name val="宋体"/>
      <charset val="134"/>
    </font>
    <font>
      <sz val="14"/>
      <color rgb="FF000000"/>
      <name val="宋体"/>
      <charset val="134"/>
    </font>
    <font>
      <sz val="14"/>
      <color theme="1"/>
      <name val="宋体"/>
      <charset val="134"/>
    </font>
    <font>
      <sz val="12"/>
      <color indexed="8"/>
      <name val="宋体"/>
      <charset val="134"/>
    </font>
    <font>
      <sz val="12"/>
      <color theme="9" tint="-0.249977111117893"/>
      <name val="宋体"/>
      <charset val="134"/>
    </font>
    <font>
      <sz val="12"/>
      <color indexed="53"/>
      <name val="宋体"/>
      <charset val="134"/>
    </font>
    <font>
      <i/>
      <sz val="12"/>
      <color theme="3" tint="0.399914548173467"/>
      <name val="宋体"/>
      <charset val="134"/>
    </font>
    <font>
      <b/>
      <i/>
      <sz val="12"/>
      <color theme="3" tint="0.399914548173467"/>
      <name val="宋体"/>
      <charset val="134"/>
      <scheme val="minor"/>
    </font>
    <font>
      <b/>
      <sz val="18"/>
      <color theme="1"/>
      <name val="宋体"/>
      <charset val="134"/>
    </font>
    <font>
      <b/>
      <sz val="14"/>
      <color rgb="FF000000"/>
      <name val="宋体"/>
      <charset val="134"/>
    </font>
    <font>
      <b/>
      <sz val="12"/>
      <color theme="1"/>
      <name val="宋体"/>
      <charset val="134"/>
    </font>
    <font>
      <b/>
      <i/>
      <sz val="12"/>
      <color theme="9" tint="-0.249977111117893"/>
      <name val="Arial"/>
      <charset val="134"/>
    </font>
    <font>
      <b/>
      <i/>
      <sz val="12"/>
      <color theme="9" tint="-0.249977111117893"/>
      <name val="宋体"/>
      <charset val="134"/>
    </font>
    <font>
      <b/>
      <i/>
      <sz val="12"/>
      <color theme="3" tint="0.399914548173467"/>
      <name val="Arial"/>
      <charset val="134"/>
    </font>
    <font>
      <sz val="16"/>
      <name val="宋体"/>
      <charset val="134"/>
    </font>
    <font>
      <sz val="9"/>
      <name val="宋体"/>
      <charset val="134"/>
    </font>
    <font>
      <sz val="14"/>
      <name val="楷体_GB2312"/>
      <charset val="134"/>
    </font>
    <font>
      <sz val="11"/>
      <name val="宋体"/>
      <charset val="0"/>
      <scheme val="minor"/>
    </font>
    <font>
      <b/>
      <sz val="9"/>
      <name val="宋体"/>
      <charset val="134"/>
    </font>
    <font>
      <sz val="11"/>
      <name val="楷体_GB2312"/>
      <charset val="134"/>
    </font>
    <font>
      <sz val="10"/>
      <name val="宋体"/>
      <charset val="134"/>
    </font>
    <font>
      <sz val="11"/>
      <name val="宋体"/>
      <charset val="134"/>
    </font>
    <font>
      <b/>
      <sz val="8"/>
      <name val="宋体"/>
      <charset val="134"/>
    </font>
    <font>
      <b/>
      <sz val="10"/>
      <name val="宋体"/>
      <charset val="134"/>
    </font>
    <font>
      <sz val="8"/>
      <name val="宋体"/>
      <charset val="134"/>
    </font>
    <font>
      <b/>
      <sz val="11"/>
      <name val="宋体"/>
      <charset val="134"/>
    </font>
    <font>
      <b/>
      <sz val="12"/>
      <name val="宋体"/>
      <charset val="134"/>
    </font>
    <font>
      <sz val="12"/>
      <name val="宋体"/>
      <charset val="134"/>
    </font>
  </fonts>
  <fills count="50">
    <fill>
      <patternFill patternType="none"/>
    </fill>
    <fill>
      <patternFill patternType="gray125"/>
    </fill>
    <fill>
      <patternFill patternType="solid">
        <fgColor theme="0" tint="-0.249977111117893"/>
        <bgColor indexed="64"/>
      </patternFill>
    </fill>
    <fill>
      <patternFill patternType="solid">
        <fgColor rgb="FFFFFF00"/>
        <bgColor indexed="64"/>
      </patternFill>
    </fill>
    <fill>
      <patternFill patternType="solid">
        <fgColor theme="6" tint="0.399914548173467"/>
        <bgColor indexed="64"/>
      </patternFill>
    </fill>
    <fill>
      <patternFill patternType="solid">
        <fgColor theme="3" tint="0.599993896298105"/>
        <bgColor indexed="64"/>
      </patternFill>
    </fill>
    <fill>
      <patternFill patternType="solid">
        <fgColor rgb="FFF0F0F0"/>
        <bgColor indexed="64"/>
      </patternFill>
    </fill>
    <fill>
      <patternFill patternType="solid">
        <fgColor rgb="FFFFFFFF"/>
        <bgColor indexed="64"/>
      </patternFill>
    </fill>
    <fill>
      <patternFill patternType="solid">
        <fgColor theme="3" tint="0.399914548173467"/>
        <bgColor indexed="64"/>
      </patternFill>
    </fill>
    <fill>
      <patternFill patternType="solid">
        <fgColor theme="6" tint="0.599993896298105"/>
        <bgColor indexed="64"/>
      </patternFill>
    </fill>
    <fill>
      <patternFill patternType="solid">
        <fgColor theme="0"/>
        <bgColor indexed="64"/>
      </patternFill>
    </fill>
    <fill>
      <patternFill patternType="solid">
        <fgColor theme="9" tint="-0.249977111117893"/>
        <bgColor indexed="64"/>
      </patternFill>
    </fill>
    <fill>
      <patternFill patternType="solid">
        <fgColor indexed="13"/>
        <bgColor indexed="64"/>
      </patternFill>
    </fill>
    <fill>
      <patternFill patternType="solid">
        <fgColor indexed="9"/>
        <bgColor indexed="64"/>
      </patternFill>
    </fill>
    <fill>
      <patternFill patternType="solid">
        <fgColor theme="8" tint="0.599993896298105"/>
        <bgColor indexed="64"/>
      </patternFill>
    </fill>
    <fill>
      <patternFill patternType="solid">
        <fgColor theme="0" tint="-0.149937437055574"/>
        <bgColor indexed="64"/>
      </patternFill>
    </fill>
    <fill>
      <patternFill patternType="solid">
        <fgColor theme="7" tint="0.399914548173467"/>
        <bgColor indexed="64"/>
      </patternFill>
    </fill>
    <fill>
      <patternFill patternType="solid">
        <fgColor rgb="FF5AE838"/>
        <bgColor indexed="64"/>
      </patternFill>
    </fill>
    <fill>
      <patternFill patternType="solid">
        <fgColor indexed="10"/>
        <bgColor indexed="64"/>
      </patternFill>
    </fill>
    <fill>
      <patternFill patternType="solid">
        <fgColor rgb="FFFF0000"/>
        <bgColor indexed="64"/>
      </patternFill>
    </fill>
    <fill>
      <patternFill patternType="solid">
        <fgColor rgb="FF92D050"/>
        <bgColor indexed="64"/>
      </patternFill>
    </fill>
    <fill>
      <patternFill patternType="solid">
        <fgColor rgb="FFF2F2F2"/>
        <bgColor indexed="64"/>
      </patternFill>
    </fill>
    <fill>
      <patternFill patternType="solid">
        <fgColor rgb="FFFFC7CE"/>
        <bgColor indexed="64"/>
      </patternFill>
    </fill>
    <fill>
      <patternFill patternType="solid">
        <fgColor theme="9"/>
        <bgColor indexed="64"/>
      </patternFill>
    </fill>
    <fill>
      <patternFill patternType="solid">
        <fgColor theme="6"/>
        <bgColor indexed="64"/>
      </patternFill>
    </fill>
    <fill>
      <patternFill patternType="solid">
        <fgColor rgb="FFFFEB9C"/>
        <bgColor indexed="64"/>
      </patternFill>
    </fill>
    <fill>
      <patternFill patternType="solid">
        <fgColor theme="6" tint="0.399975585192419"/>
        <bgColor indexed="64"/>
      </patternFill>
    </fill>
    <fill>
      <patternFill patternType="solid">
        <fgColor rgb="FFFFCC99"/>
        <bgColor indexed="64"/>
      </patternFill>
    </fill>
    <fill>
      <patternFill patternType="solid">
        <fgColor theme="9" tint="0.799981688894314"/>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6" tint="0.799981688894314"/>
        <bgColor indexed="64"/>
      </patternFill>
    </fill>
    <fill>
      <patternFill patternType="solid">
        <fgColor theme="9" tint="0.599993896298105"/>
        <bgColor indexed="64"/>
      </patternFill>
    </fill>
    <fill>
      <patternFill patternType="solid">
        <fgColor theme="8" tint="0.399975585192419"/>
        <bgColor indexed="64"/>
      </patternFill>
    </fill>
    <fill>
      <patternFill patternType="solid">
        <fgColor theme="7" tint="0.799981688894314"/>
        <bgColor indexed="64"/>
      </patternFill>
    </fill>
    <fill>
      <patternFill patternType="solid">
        <fgColor theme="4" tint="0.799981688894314"/>
        <bgColor indexed="64"/>
      </patternFill>
    </fill>
    <fill>
      <patternFill patternType="solid">
        <fgColor theme="5" tint="0.399975585192419"/>
        <bgColor indexed="64"/>
      </patternFill>
    </fill>
    <fill>
      <patternFill patternType="solid">
        <fgColor rgb="FFFFFFCC"/>
        <bgColor indexed="64"/>
      </patternFill>
    </fill>
    <fill>
      <patternFill patternType="solid">
        <fgColor theme="9" tint="0.399975585192419"/>
        <bgColor indexed="64"/>
      </patternFill>
    </fill>
    <fill>
      <patternFill patternType="solid">
        <fgColor theme="7" tint="0.599993896298105"/>
        <bgColor indexed="64"/>
      </patternFill>
    </fill>
    <fill>
      <patternFill patternType="solid">
        <fgColor theme="5" tint="0.799981688894314"/>
        <bgColor indexed="64"/>
      </patternFill>
    </fill>
    <fill>
      <patternFill patternType="solid">
        <fgColor theme="4" tint="0.599993896298105"/>
        <bgColor indexed="64"/>
      </patternFill>
    </fill>
    <fill>
      <patternFill patternType="solid">
        <fgColor theme="8" tint="0.799981688894314"/>
        <bgColor indexed="64"/>
      </patternFill>
    </fill>
    <fill>
      <patternFill patternType="solid">
        <fgColor theme="7"/>
        <bgColor indexed="64"/>
      </patternFill>
    </fill>
    <fill>
      <patternFill patternType="solid">
        <fgColor theme="5" tint="0.599993896298105"/>
        <bgColor indexed="64"/>
      </patternFill>
    </fill>
    <fill>
      <patternFill patternType="solid">
        <fgColor theme="4"/>
        <bgColor indexed="64"/>
      </patternFill>
    </fill>
    <fill>
      <patternFill patternType="solid">
        <fgColor rgb="FFA5A5A5"/>
        <bgColor indexed="64"/>
      </patternFill>
    </fill>
    <fill>
      <patternFill patternType="solid">
        <fgColor theme="8"/>
        <bgColor indexed="64"/>
      </patternFill>
    </fill>
    <fill>
      <patternFill patternType="solid">
        <fgColor theme="5"/>
        <bgColor indexed="64"/>
      </patternFill>
    </fill>
    <fill>
      <patternFill patternType="solid">
        <fgColor rgb="FFC6EFCE"/>
        <bgColor indexed="64"/>
      </patternFill>
    </fill>
  </fills>
  <borders count="186">
    <border>
      <left/>
      <right/>
      <top/>
      <bottom/>
      <diagonal/>
    </border>
    <border>
      <left/>
      <right/>
      <top/>
      <bottom style="double">
        <color auto="1"/>
      </bottom>
      <diagonal/>
    </border>
    <border>
      <left style="thin">
        <color auto="1"/>
      </left>
      <right style="thin">
        <color auto="1"/>
      </right>
      <top style="thin">
        <color auto="1"/>
      </top>
      <bottom style="double">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thin">
        <color auto="1"/>
      </right>
      <top/>
      <bottom style="thin">
        <color auto="1"/>
      </bottom>
      <diagonal/>
    </border>
    <border>
      <left/>
      <right/>
      <top/>
      <bottom style="slantDashDot">
        <color auto="1"/>
      </bottom>
      <diagonal/>
    </border>
    <border>
      <left/>
      <right/>
      <top/>
      <bottom style="medium">
        <color auto="1"/>
      </bottom>
      <diagonal/>
    </border>
    <border>
      <left style="slantDashDot">
        <color auto="1"/>
      </left>
      <right/>
      <top/>
      <bottom/>
      <diagonal/>
    </border>
    <border>
      <left style="slantDashDot">
        <color auto="1"/>
      </left>
      <right/>
      <top/>
      <bottom style="slantDashDot">
        <color auto="1"/>
      </bottom>
      <diagonal/>
    </border>
    <border>
      <left style="slantDashDot">
        <color auto="1"/>
      </left>
      <right style="thin">
        <color rgb="FFDFE8ED"/>
      </right>
      <top/>
      <bottom/>
      <diagonal/>
    </border>
    <border>
      <left style="thin">
        <color rgb="FFDFE8ED"/>
      </left>
      <right style="thin">
        <color rgb="FFDFE8ED"/>
      </right>
      <top style="thin">
        <color rgb="FFDFE8ED"/>
      </top>
      <bottom style="thin">
        <color rgb="FFDFE8ED"/>
      </bottom>
      <diagonal/>
    </border>
    <border>
      <left style="thin">
        <color rgb="FFDFE8ED"/>
      </left>
      <right style="thin">
        <color rgb="FFDFE8ED"/>
      </right>
      <top style="medium">
        <color rgb="FFDFE8ED"/>
      </top>
      <bottom style="thin">
        <color rgb="FFDFE8ED"/>
      </bottom>
      <diagonal/>
    </border>
    <border>
      <left style="thin">
        <color rgb="FFDFE8ED"/>
      </left>
      <right/>
      <top style="medium">
        <color rgb="FFDFE8ED"/>
      </top>
      <bottom style="thin">
        <color rgb="FFDFE8ED"/>
      </bottom>
      <diagonal/>
    </border>
    <border>
      <left style="slantDashDot">
        <color auto="1"/>
      </left>
      <right style="thin">
        <color rgb="FFDFE8ED"/>
      </right>
      <top/>
      <bottom style="medium">
        <color rgb="FFDFE8ED"/>
      </bottom>
      <diagonal/>
    </border>
    <border>
      <left style="slantDashDot">
        <color auto="1"/>
      </left>
      <right style="thin">
        <color rgb="FFDFE8ED"/>
      </right>
      <top style="medium">
        <color rgb="FFDFE8ED"/>
      </top>
      <bottom/>
      <diagonal/>
    </border>
    <border>
      <left style="slantDashDot">
        <color auto="1"/>
      </left>
      <right style="thin">
        <color rgb="FFDFE8ED"/>
      </right>
      <top/>
      <bottom style="thin">
        <color rgb="FFDFE8ED"/>
      </bottom>
      <diagonal/>
    </border>
    <border>
      <left style="slantDashDot">
        <color auto="1"/>
      </left>
      <right style="thin">
        <color rgb="FFDFE8ED"/>
      </right>
      <top style="thin">
        <color rgb="FFDFE8ED"/>
      </top>
      <bottom/>
      <diagonal/>
    </border>
    <border>
      <left style="thin">
        <color rgb="FFDFE8ED"/>
      </left>
      <right style="thin">
        <color rgb="FFDFE8ED"/>
      </right>
      <top style="thin">
        <color rgb="FFDFE8ED"/>
      </top>
      <bottom style="medium">
        <color rgb="FFDFE8ED"/>
      </bottom>
      <diagonal/>
    </border>
    <border>
      <left style="thin">
        <color rgb="FFDFE8ED"/>
      </left>
      <right/>
      <top style="thin">
        <color rgb="FFDFE8ED"/>
      </top>
      <bottom style="thin">
        <color rgb="FFDFE8ED"/>
      </bottom>
      <diagonal/>
    </border>
    <border>
      <left style="thin">
        <color rgb="FFDFE8ED"/>
      </left>
      <right/>
      <top style="thin">
        <color rgb="FFDFE8ED"/>
      </top>
      <bottom style="medium">
        <color rgb="FFDFE8ED"/>
      </bottom>
      <diagonal/>
    </border>
    <border>
      <left style="thin">
        <color rgb="FFDFE8ED"/>
      </left>
      <right style="thin">
        <color rgb="FFDFE8ED"/>
      </right>
      <top style="thin">
        <color rgb="FFDFE8ED"/>
      </top>
      <bottom style="medium">
        <color auto="1"/>
      </bottom>
      <diagonal/>
    </border>
    <border>
      <left style="thin">
        <color rgb="FFDFE8ED"/>
      </left>
      <right style="thin">
        <color rgb="FFDFE8ED"/>
      </right>
      <top/>
      <bottom style="medium">
        <color rgb="FFDFE8ED"/>
      </bottom>
      <diagonal/>
    </border>
    <border>
      <left style="thin">
        <color rgb="FFDFE8ED"/>
      </left>
      <right style="medium">
        <color rgb="FFDFE8ED"/>
      </right>
      <top style="thin">
        <color rgb="FFDFE8ED"/>
      </top>
      <bottom style="thin">
        <color rgb="FFDFE8ED"/>
      </bottom>
      <diagonal/>
    </border>
    <border>
      <left style="slantDashDot">
        <color auto="1"/>
      </left>
      <right/>
      <top/>
      <bottom style="thin">
        <color auto="1"/>
      </bottom>
      <diagonal/>
    </border>
    <border>
      <left style="thin">
        <color rgb="FFDFE8ED"/>
      </left>
      <right style="medium">
        <color rgb="FFDFE8ED"/>
      </right>
      <top style="medium">
        <color rgb="FFDFE8ED"/>
      </top>
      <bottom style="thin">
        <color rgb="FFDFE8ED"/>
      </bottom>
      <diagonal/>
    </border>
    <border>
      <left style="slantDashDot">
        <color auto="1"/>
      </left>
      <right/>
      <top style="thin">
        <color auto="1"/>
      </top>
      <bottom/>
      <diagonal/>
    </border>
    <border>
      <left/>
      <right/>
      <top style="thin">
        <color auto="1"/>
      </top>
      <bottom/>
      <diagonal/>
    </border>
    <border>
      <left/>
      <right/>
      <top/>
      <bottom style="thin">
        <color auto="1"/>
      </bottom>
      <diagonal/>
    </border>
    <border>
      <left style="thin">
        <color rgb="FFDFE8ED"/>
      </left>
      <right style="medium">
        <color rgb="FFDFE8ED"/>
      </right>
      <top style="thin">
        <color rgb="FFDFE8ED"/>
      </top>
      <bottom style="medium">
        <color rgb="FFDFE8ED"/>
      </bottom>
      <diagonal/>
    </border>
    <border>
      <left style="thin">
        <color rgb="FFDFE8ED"/>
      </left>
      <right style="medium">
        <color rgb="FFDFE8ED"/>
      </right>
      <top style="thin">
        <color rgb="FFDFE8ED"/>
      </top>
      <bottom style="medium">
        <color auto="1"/>
      </bottom>
      <diagonal/>
    </border>
    <border>
      <left style="slantDashDot">
        <color auto="1"/>
      </left>
      <right/>
      <top/>
      <bottom style="medium">
        <color auto="1"/>
      </bottom>
      <diagonal/>
    </border>
    <border>
      <left style="thin">
        <color rgb="FFDFE8ED"/>
      </left>
      <right style="medium">
        <color rgb="FFDFE8ED"/>
      </right>
      <top/>
      <bottom style="medium">
        <color rgb="FFDFE8ED"/>
      </bottom>
      <diagonal/>
    </border>
    <border>
      <left style="thin">
        <color rgb="FFDFE8ED"/>
      </left>
      <right style="thin">
        <color rgb="FFDFE8ED"/>
      </right>
      <top/>
      <bottom style="thin">
        <color rgb="FFDFE8ED"/>
      </bottom>
      <diagonal/>
    </border>
    <border>
      <left style="thin">
        <color rgb="FFDFE8ED"/>
      </left>
      <right/>
      <top/>
      <bottom style="thin">
        <color rgb="FFDFE8ED"/>
      </bottom>
      <diagonal/>
    </border>
    <border>
      <left style="medium">
        <color rgb="FFDFE8ED"/>
      </left>
      <right style="thin">
        <color rgb="FFDFE8ED"/>
      </right>
      <top style="medium">
        <color rgb="FFDFE8ED"/>
      </top>
      <bottom style="medium">
        <color rgb="FFDFE8ED"/>
      </bottom>
      <diagonal/>
    </border>
    <border>
      <left style="thin">
        <color rgb="FFDFE8ED"/>
      </left>
      <right style="thin">
        <color rgb="FFDFE8ED"/>
      </right>
      <top style="medium">
        <color rgb="FFDFE8ED"/>
      </top>
      <bottom style="medium">
        <color rgb="FFDFE8ED"/>
      </bottom>
      <diagonal/>
    </border>
    <border>
      <left style="thin">
        <color rgb="FFDFE8ED"/>
      </left>
      <right/>
      <top style="medium">
        <color rgb="FFDFE8ED"/>
      </top>
      <bottom style="medium">
        <color rgb="FFDFE8ED"/>
      </bottom>
      <diagonal/>
    </border>
    <border>
      <left style="slantDashDot">
        <color auto="1"/>
      </left>
      <right style="thin">
        <color rgb="FFDFE8ED"/>
      </right>
      <top style="medium">
        <color rgb="FFDFE8ED"/>
      </top>
      <bottom style="thin">
        <color rgb="FFDFE8ED"/>
      </bottom>
      <diagonal/>
    </border>
    <border>
      <left style="slantDashDot">
        <color auto="1"/>
      </left>
      <right style="thin">
        <color rgb="FFDFE8ED"/>
      </right>
      <top style="thin">
        <color rgb="FFDFE8ED"/>
      </top>
      <bottom style="thin">
        <color rgb="FFDFE8ED"/>
      </bottom>
      <diagonal/>
    </border>
    <border>
      <left style="slantDashDot">
        <color auto="1"/>
      </left>
      <right style="thin">
        <color rgb="FFDFE8ED"/>
      </right>
      <top style="thin">
        <color rgb="FFDFE8ED"/>
      </top>
      <bottom style="medium">
        <color rgb="FFDFE8ED"/>
      </bottom>
      <diagonal/>
    </border>
    <border>
      <left style="thin">
        <color auto="1"/>
      </left>
      <right style="thin">
        <color auto="1"/>
      </right>
      <top/>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thin">
        <color auto="1"/>
      </left>
      <right/>
      <top style="medium">
        <color auto="1"/>
      </top>
      <bottom style="thin">
        <color auto="1"/>
      </bottom>
      <diagonal/>
    </border>
    <border>
      <left style="thin">
        <color auto="1"/>
      </left>
      <right/>
      <top style="thin">
        <color auto="1"/>
      </top>
      <bottom style="medium">
        <color auto="1"/>
      </bottom>
      <diagonal/>
    </border>
    <border>
      <left style="medium">
        <color auto="1"/>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medium">
        <color auto="1"/>
      </right>
      <top style="medium">
        <color auto="1"/>
      </top>
      <bottom/>
      <diagonal/>
    </border>
    <border>
      <left style="thin">
        <color auto="1"/>
      </left>
      <right style="medium">
        <color auto="1"/>
      </right>
      <top style="thin">
        <color auto="1"/>
      </top>
      <bottom/>
      <diagonal/>
    </border>
    <border>
      <left style="medium">
        <color auto="1"/>
      </left>
      <right/>
      <top/>
      <bottom/>
      <diagonal/>
    </border>
    <border>
      <left/>
      <right/>
      <top style="medium">
        <color auto="1"/>
      </top>
      <bottom/>
      <diagonal/>
    </border>
    <border>
      <left style="thin">
        <color auto="1"/>
      </left>
      <right style="thin">
        <color auto="1"/>
      </right>
      <top/>
      <bottom style="medium">
        <color auto="1"/>
      </bottom>
      <diagonal/>
    </border>
    <border>
      <left style="medium">
        <color auto="1"/>
      </left>
      <right style="thin">
        <color auto="1"/>
      </right>
      <top style="medium">
        <color auto="1"/>
      </top>
      <bottom style="medium">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top/>
      <bottom/>
      <diagonal/>
    </border>
    <border>
      <left style="thin">
        <color auto="1"/>
      </left>
      <right style="medium">
        <color auto="1"/>
      </right>
      <top/>
      <bottom/>
      <diagonal/>
    </border>
    <border>
      <left style="medium">
        <color auto="1"/>
      </left>
      <right/>
      <top style="thin">
        <color auto="1"/>
      </top>
      <bottom style="thin">
        <color auto="1"/>
      </bottom>
      <diagonal/>
    </border>
    <border>
      <left style="thin">
        <color auto="1"/>
      </left>
      <right style="medium">
        <color auto="1"/>
      </right>
      <top/>
      <bottom style="medium">
        <color auto="1"/>
      </bottom>
      <diagonal/>
    </border>
    <border>
      <left style="thin">
        <color auto="1"/>
      </left>
      <right/>
      <top style="medium">
        <color auto="1"/>
      </top>
      <bottom/>
      <diagonal/>
    </border>
    <border>
      <left/>
      <right style="medium">
        <color auto="1"/>
      </right>
      <top/>
      <bottom style="medium">
        <color auto="1"/>
      </bottom>
      <diagonal/>
    </border>
    <border>
      <left/>
      <right style="medium">
        <color auto="1"/>
      </right>
      <top/>
      <bottom/>
      <diagonal/>
    </border>
    <border>
      <left style="thin">
        <color auto="1"/>
      </left>
      <right style="thin">
        <color auto="1"/>
      </right>
      <top style="medium">
        <color auto="1"/>
      </top>
      <bottom style="medium">
        <color auto="1"/>
      </bottom>
      <diagonal/>
    </border>
    <border>
      <left/>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style="thin">
        <color auto="1"/>
      </right>
      <top/>
      <bottom/>
      <diagonal/>
    </border>
    <border>
      <left style="thin">
        <color auto="1"/>
      </left>
      <right style="medium">
        <color auto="1"/>
      </right>
      <top/>
      <bottom style="thin">
        <color auto="1"/>
      </bottom>
      <diagonal/>
    </border>
    <border>
      <left/>
      <right style="medium">
        <color auto="1"/>
      </right>
      <top style="medium">
        <color auto="1"/>
      </top>
      <bottom/>
      <diagonal/>
    </border>
    <border>
      <left style="thin">
        <color auto="1"/>
      </left>
      <right/>
      <top style="medium">
        <color auto="1"/>
      </top>
      <bottom style="medium">
        <color auto="1"/>
      </bottom>
      <diagonal/>
    </border>
    <border>
      <left style="thin">
        <color auto="1"/>
      </left>
      <right/>
      <top style="thin">
        <color auto="1"/>
      </top>
      <bottom/>
      <diagonal/>
    </border>
    <border>
      <left style="medium">
        <color auto="1"/>
      </left>
      <right style="thin">
        <color auto="1"/>
      </right>
      <top/>
      <bottom style="medium">
        <color auto="1"/>
      </bottom>
      <diagonal/>
    </border>
    <border>
      <left style="medium">
        <color auto="1"/>
      </left>
      <right/>
      <top style="medium">
        <color auto="1"/>
      </top>
      <bottom/>
      <diagonal/>
    </border>
    <border>
      <left/>
      <right style="thin">
        <color auto="1"/>
      </right>
      <top style="medium">
        <color auto="1"/>
      </top>
      <bottom/>
      <diagonal/>
    </border>
    <border>
      <left/>
      <right style="thin">
        <color auto="1"/>
      </right>
      <top style="thin">
        <color auto="1"/>
      </top>
      <bottom style="medium">
        <color auto="1"/>
      </bottom>
      <diagonal/>
    </border>
    <border>
      <left style="thin">
        <color auto="1"/>
      </left>
      <right/>
      <top/>
      <bottom style="medium">
        <color auto="1"/>
      </bottom>
      <diagonal/>
    </border>
    <border>
      <left/>
      <right/>
      <top style="thin">
        <color auto="1"/>
      </top>
      <bottom style="medium">
        <color auto="1"/>
      </bottom>
      <diagonal/>
    </border>
    <border>
      <left/>
      <right style="thin">
        <color auto="1"/>
      </right>
      <top style="medium">
        <color auto="1"/>
      </top>
      <bottom style="thin">
        <color auto="1"/>
      </bottom>
      <diagonal/>
    </border>
    <border>
      <left/>
      <right style="thin">
        <color auto="1"/>
      </right>
      <top style="thin">
        <color auto="1"/>
      </top>
      <bottom/>
      <diagonal/>
    </border>
    <border>
      <left/>
      <right style="medium">
        <color auto="1"/>
      </right>
      <top style="medium">
        <color auto="1"/>
      </top>
      <bottom style="medium">
        <color auto="1"/>
      </bottom>
      <diagonal/>
    </border>
    <border>
      <left/>
      <right style="medium">
        <color auto="1"/>
      </right>
      <top style="thin">
        <color auto="1"/>
      </top>
      <bottom style="thin">
        <color auto="1"/>
      </bottom>
      <diagonal/>
    </border>
    <border>
      <left/>
      <right style="medium">
        <color auto="1"/>
      </right>
      <top style="thin">
        <color auto="1"/>
      </top>
      <bottom/>
      <diagonal/>
    </border>
    <border>
      <left/>
      <right style="medium">
        <color auto="1"/>
      </right>
      <top/>
      <bottom style="thin">
        <color auto="1"/>
      </bottom>
      <diagonal/>
    </border>
    <border>
      <left style="medium">
        <color auto="1"/>
      </left>
      <right/>
      <top style="medium">
        <color auto="1"/>
      </top>
      <bottom style="medium">
        <color auto="1"/>
      </bottom>
      <diagonal/>
    </border>
    <border>
      <left/>
      <right style="medium">
        <color auto="1"/>
      </right>
      <top style="thin">
        <color auto="1"/>
      </top>
      <bottom style="medium">
        <color auto="1"/>
      </bottom>
      <diagonal/>
    </border>
    <border>
      <left style="medium">
        <color auto="1"/>
      </left>
      <right/>
      <top/>
      <bottom style="medium">
        <color auto="1"/>
      </bottom>
      <diagonal/>
    </border>
    <border>
      <left/>
      <right style="thin">
        <color auto="1"/>
      </right>
      <top style="medium">
        <color auto="1"/>
      </top>
      <bottom style="medium">
        <color auto="1"/>
      </bottom>
      <diagonal/>
    </border>
    <border>
      <left style="medium">
        <color auto="1"/>
      </left>
      <right style="thin">
        <color auto="1"/>
      </right>
      <top/>
      <bottom style="thin">
        <color auto="1"/>
      </bottom>
      <diagonal/>
    </border>
    <border>
      <left style="medium">
        <color auto="1"/>
      </left>
      <right/>
      <top style="thin">
        <color auto="1"/>
      </top>
      <bottom style="medium">
        <color auto="1"/>
      </bottom>
      <diagonal/>
    </border>
    <border>
      <left/>
      <right style="thin">
        <color auto="1"/>
      </right>
      <top/>
      <bottom/>
      <diagonal/>
    </border>
    <border>
      <left style="medium">
        <color auto="1"/>
      </left>
      <right/>
      <top/>
      <bottom style="thin">
        <color auto="1"/>
      </bottom>
      <diagonal/>
    </border>
    <border>
      <left/>
      <right style="thin">
        <color auto="1"/>
      </right>
      <top/>
      <bottom style="medium">
        <color auto="1"/>
      </bottom>
      <diagonal/>
    </border>
    <border>
      <left style="thin">
        <color auto="1"/>
      </left>
      <right style="thin">
        <color auto="1"/>
      </right>
      <top/>
      <bottom style="double">
        <color auto="1"/>
      </bottom>
      <diagonal/>
    </border>
    <border>
      <left style="thin">
        <color auto="1"/>
      </left>
      <right style="thin">
        <color auto="1"/>
      </right>
      <top style="double">
        <color auto="1"/>
      </top>
      <bottom/>
      <diagonal/>
    </border>
    <border>
      <left style="thin">
        <color auto="1"/>
      </left>
      <right style="thin">
        <color auto="1"/>
      </right>
      <top style="double">
        <color auto="1"/>
      </top>
      <bottom style="thin">
        <color auto="1"/>
      </bottom>
      <diagonal/>
    </border>
    <border>
      <left style="thin">
        <color auto="1"/>
      </left>
      <right style="medium">
        <color auto="1"/>
      </right>
      <top style="thin">
        <color auto="1"/>
      </top>
      <bottom style="double">
        <color auto="1"/>
      </bottom>
      <diagonal/>
    </border>
    <border>
      <left style="thin">
        <color auto="1"/>
      </left>
      <right style="medium">
        <color auto="1"/>
      </right>
      <top style="double">
        <color auto="1"/>
      </top>
      <bottom style="thin">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style="thin">
        <color auto="1"/>
      </top>
      <bottom/>
      <diagonal/>
    </border>
    <border>
      <left style="medium">
        <color auto="1"/>
      </left>
      <right style="medium">
        <color auto="1"/>
      </right>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style="thin">
        <color auto="1"/>
      </left>
      <right/>
      <top style="thin">
        <color auto="1"/>
      </top>
      <bottom style="double">
        <color auto="1"/>
      </bottom>
      <diagonal/>
    </border>
    <border>
      <left/>
      <right/>
      <top style="thin">
        <color auto="1"/>
      </top>
      <bottom style="double">
        <color auto="1"/>
      </bottom>
      <diagonal/>
    </border>
    <border>
      <left style="medium">
        <color auto="1"/>
      </left>
      <right/>
      <top style="thin">
        <color auto="1"/>
      </top>
      <bottom/>
      <diagonal/>
    </border>
    <border>
      <left style="medium">
        <color auto="1"/>
      </left>
      <right style="medium">
        <color auto="1"/>
      </right>
      <top/>
      <bottom style="medium">
        <color auto="1"/>
      </bottom>
      <diagonal/>
    </border>
    <border>
      <left/>
      <right/>
      <top style="medium">
        <color auto="1"/>
      </top>
      <bottom style="double">
        <color auto="1"/>
      </bottom>
      <diagonal/>
    </border>
    <border>
      <left/>
      <right/>
      <top style="double">
        <color auto="1"/>
      </top>
      <bottom style="thin">
        <color auto="1"/>
      </bottom>
      <diagonal/>
    </border>
    <border>
      <left/>
      <right style="thin">
        <color auto="1"/>
      </right>
      <top style="thin">
        <color auto="1"/>
      </top>
      <bottom style="double">
        <color auto="1"/>
      </bottom>
      <diagonal/>
    </border>
    <border>
      <left/>
      <right/>
      <top style="double">
        <color auto="1"/>
      </top>
      <bottom/>
      <diagonal/>
    </border>
    <border>
      <left style="medium">
        <color auto="1"/>
      </left>
      <right/>
      <top/>
      <bottom style="double">
        <color auto="1"/>
      </bottom>
      <diagonal/>
    </border>
    <border>
      <left style="medium">
        <color auto="1"/>
      </left>
      <right/>
      <top style="mediumDashed">
        <color auto="1"/>
      </top>
      <bottom/>
      <diagonal/>
    </border>
    <border>
      <left style="medium">
        <color auto="1"/>
      </left>
      <right style="thin">
        <color auto="1"/>
      </right>
      <top style="mediumDashed">
        <color auto="1"/>
      </top>
      <bottom style="thin">
        <color auto="1"/>
      </bottom>
      <diagonal/>
    </border>
    <border>
      <left style="thin">
        <color auto="1"/>
      </left>
      <right style="thin">
        <color auto="1"/>
      </right>
      <top style="mediumDashed">
        <color auto="1"/>
      </top>
      <bottom style="thin">
        <color auto="1"/>
      </bottom>
      <diagonal/>
    </border>
    <border>
      <left style="medium">
        <color auto="1"/>
      </left>
      <right/>
      <top/>
      <bottom style="mediumDashed">
        <color auto="1"/>
      </bottom>
      <diagonal/>
    </border>
    <border>
      <left style="medium">
        <color auto="1"/>
      </left>
      <right style="thin">
        <color auto="1"/>
      </right>
      <top style="thin">
        <color auto="1"/>
      </top>
      <bottom style="mediumDashed">
        <color auto="1"/>
      </bottom>
      <diagonal/>
    </border>
    <border>
      <left style="thin">
        <color auto="1"/>
      </left>
      <right style="thin">
        <color auto="1"/>
      </right>
      <top style="thin">
        <color auto="1"/>
      </top>
      <bottom style="mediumDashed">
        <color auto="1"/>
      </bottom>
      <diagonal/>
    </border>
    <border>
      <left style="medium">
        <color auto="1"/>
      </left>
      <right style="medium">
        <color auto="1"/>
      </right>
      <top style="medium">
        <color auto="1"/>
      </top>
      <bottom style="thin">
        <color auto="1"/>
      </bottom>
      <diagonal/>
    </border>
    <border>
      <left style="thin">
        <color auto="1"/>
      </left>
      <right/>
      <top style="mediumDashed">
        <color auto="1"/>
      </top>
      <bottom style="thin">
        <color auto="1"/>
      </bottom>
      <diagonal/>
    </border>
    <border>
      <left style="thin">
        <color auto="1"/>
      </left>
      <right/>
      <top style="thin">
        <color auto="1"/>
      </top>
      <bottom style="mediumDashed">
        <color auto="1"/>
      </bottom>
      <diagonal/>
    </border>
    <border>
      <left style="thin">
        <color auto="1"/>
      </left>
      <right/>
      <top style="mediumDashed">
        <color auto="1"/>
      </top>
      <bottom/>
      <diagonal/>
    </border>
    <border>
      <left style="thin">
        <color auto="1"/>
      </left>
      <right style="thin">
        <color auto="1"/>
      </right>
      <top style="mediumDashed">
        <color auto="1"/>
      </top>
      <bottom/>
      <diagonal/>
    </border>
    <border>
      <left/>
      <right style="medium">
        <color auto="1"/>
      </right>
      <top style="mediumDashed">
        <color auto="1"/>
      </top>
      <bottom style="thin">
        <color auto="1"/>
      </bottom>
      <diagonal/>
    </border>
    <border>
      <left/>
      <right style="medium">
        <color auto="1"/>
      </right>
      <top style="mediumDashed">
        <color auto="1"/>
      </top>
      <bottom/>
      <diagonal/>
    </border>
    <border>
      <left/>
      <right style="medium">
        <color auto="1"/>
      </right>
      <top style="thin">
        <color auto="1"/>
      </top>
      <bottom style="mediumDashed">
        <color auto="1"/>
      </bottom>
      <diagonal/>
    </border>
    <border>
      <left/>
      <right style="medium">
        <color auto="1"/>
      </right>
      <top/>
      <bottom style="mediumDashed">
        <color auto="1"/>
      </bottom>
      <diagonal/>
    </border>
    <border>
      <left style="double">
        <color auto="1"/>
      </left>
      <right style="double">
        <color auto="1"/>
      </right>
      <top style="thin">
        <color auto="1"/>
      </top>
      <bottom style="thin">
        <color auto="1"/>
      </bottom>
      <diagonal/>
    </border>
    <border>
      <left style="double">
        <color auto="1"/>
      </left>
      <right style="double">
        <color auto="1"/>
      </right>
      <top style="thin">
        <color auto="1"/>
      </top>
      <bottom style="medium">
        <color auto="1"/>
      </bottom>
      <diagonal/>
    </border>
    <border>
      <left style="medium">
        <color auto="1"/>
      </left>
      <right style="thin">
        <color auto="1"/>
      </right>
      <top style="thin">
        <color auto="1"/>
      </top>
      <bottom style="double">
        <color auto="1"/>
      </bottom>
      <diagonal/>
    </border>
    <border>
      <left/>
      <right style="medium">
        <color auto="1"/>
      </right>
      <top style="thin">
        <color auto="1"/>
      </top>
      <bottom style="double">
        <color auto="1"/>
      </bottom>
      <diagonal/>
    </border>
    <border>
      <left style="medium">
        <color auto="1"/>
      </left>
      <right style="medium">
        <color auto="1"/>
      </right>
      <top style="medium">
        <color auto="1"/>
      </top>
      <bottom style="medium">
        <color auto="1"/>
      </bottom>
      <diagonal/>
    </border>
    <border>
      <left style="mediumDashed">
        <color auto="1"/>
      </left>
      <right style="thin">
        <color auto="1"/>
      </right>
      <top style="thin">
        <color auto="1"/>
      </top>
      <bottom style="thin">
        <color auto="1"/>
      </bottom>
      <diagonal/>
    </border>
    <border>
      <left style="mediumDashed">
        <color auto="1"/>
      </left>
      <right style="thin">
        <color auto="1"/>
      </right>
      <top/>
      <bottom style="thin">
        <color auto="1"/>
      </bottom>
      <diagonal/>
    </border>
    <border>
      <left style="mediumDashed">
        <color auto="1"/>
      </left>
      <right/>
      <top style="thin">
        <color auto="1"/>
      </top>
      <bottom style="medium">
        <color auto="1"/>
      </bottom>
      <diagonal/>
    </border>
    <border>
      <left/>
      <right/>
      <top style="double">
        <color theme="1"/>
      </top>
      <bottom style="double">
        <color rgb="FFFF0000"/>
      </bottom>
      <diagonal/>
    </border>
    <border>
      <left/>
      <right/>
      <top style="mediumDashDot">
        <color auto="1"/>
      </top>
      <bottom/>
      <diagonal/>
    </border>
    <border diagonalDown="1">
      <left style="medium">
        <color auto="1"/>
      </left>
      <right style="thin">
        <color auto="1"/>
      </right>
      <top style="thin">
        <color auto="1"/>
      </top>
      <bottom style="thin">
        <color auto="1"/>
      </bottom>
      <diagonal style="thin">
        <color auto="1"/>
      </diagonal>
    </border>
    <border diagonalDown="1">
      <left style="thin">
        <color auto="1"/>
      </left>
      <right style="thin">
        <color auto="1"/>
      </right>
      <top style="thin">
        <color auto="1"/>
      </top>
      <bottom style="thin">
        <color auto="1"/>
      </bottom>
      <diagonal style="thin">
        <color auto="1"/>
      </diagonal>
    </border>
    <border>
      <left style="double">
        <color auto="1"/>
      </left>
      <right style="double">
        <color auto="1"/>
      </right>
      <top style="double">
        <color auto="1"/>
      </top>
      <bottom style="double">
        <color auto="1"/>
      </bottom>
      <diagonal/>
    </border>
    <border>
      <left/>
      <right/>
      <top style="double">
        <color rgb="FFFF0000"/>
      </top>
      <bottom/>
      <diagonal/>
    </border>
    <border>
      <left style="medium">
        <color auto="1"/>
      </left>
      <right/>
      <top style="double">
        <color rgb="FFFF0000"/>
      </top>
      <bottom style="medium">
        <color auto="1"/>
      </bottom>
      <diagonal/>
    </border>
    <border>
      <left style="thin">
        <color auto="1"/>
      </left>
      <right style="medium">
        <color auto="1"/>
      </right>
      <top style="double">
        <color rgb="FFFF0000"/>
      </top>
      <bottom style="medium">
        <color auto="1"/>
      </bottom>
      <diagonal/>
    </border>
    <border>
      <left style="dotted">
        <color auto="1"/>
      </left>
      <right/>
      <top style="dotted">
        <color auto="1"/>
      </top>
      <bottom/>
      <diagonal/>
    </border>
    <border>
      <left/>
      <right/>
      <top style="dotted">
        <color auto="1"/>
      </top>
      <bottom/>
      <diagonal/>
    </border>
    <border>
      <left style="dotted">
        <color auto="1"/>
      </left>
      <right/>
      <top/>
      <bottom/>
      <diagonal/>
    </border>
    <border>
      <left/>
      <right style="dotted">
        <color auto="1"/>
      </right>
      <top style="dotted">
        <color auto="1"/>
      </top>
      <bottom/>
      <diagonal/>
    </border>
    <border>
      <left/>
      <right/>
      <top/>
      <bottom style="double">
        <color rgb="FFFF0000"/>
      </bottom>
      <diagonal/>
    </border>
    <border>
      <left style="medium">
        <color auto="1"/>
      </left>
      <right style="thin">
        <color auto="1"/>
      </right>
      <top style="medium">
        <color auto="1"/>
      </top>
      <bottom style="double">
        <color auto="1"/>
      </bottom>
      <diagonal/>
    </border>
    <border>
      <left style="thin">
        <color auto="1"/>
      </left>
      <right style="thin">
        <color auto="1"/>
      </right>
      <top style="medium">
        <color auto="1"/>
      </top>
      <bottom style="double">
        <color auto="1"/>
      </bottom>
      <diagonal/>
    </border>
    <border>
      <left style="thin">
        <color auto="1"/>
      </left>
      <right style="medium">
        <color auto="1"/>
      </right>
      <top style="medium">
        <color auto="1"/>
      </top>
      <bottom style="double">
        <color auto="1"/>
      </bottom>
      <diagonal/>
    </border>
    <border>
      <left style="medium">
        <color auto="1"/>
      </left>
      <right style="thin">
        <color auto="1"/>
      </right>
      <top style="double">
        <color auto="1"/>
      </top>
      <bottom style="thin">
        <color auto="1"/>
      </bottom>
      <diagonal/>
    </border>
    <border>
      <left/>
      <right style="medium">
        <color auto="1"/>
      </right>
      <top style="double">
        <color auto="1"/>
      </top>
      <bottom/>
      <diagonal/>
    </border>
    <border>
      <left/>
      <right style="medium">
        <color auto="1"/>
      </right>
      <top/>
      <bottom style="double">
        <color auto="1"/>
      </bottom>
      <diagonal/>
    </border>
    <border>
      <left style="medium">
        <color auto="1"/>
      </left>
      <right/>
      <top style="medium">
        <color auto="1"/>
      </top>
      <bottom style="double">
        <color auto="1"/>
      </bottom>
      <diagonal/>
    </border>
    <border>
      <left/>
      <right style="thin">
        <color auto="1"/>
      </right>
      <top style="medium">
        <color auto="1"/>
      </top>
      <bottom style="double">
        <color auto="1"/>
      </bottom>
      <diagonal/>
    </border>
    <border>
      <left style="double">
        <color auto="1"/>
      </left>
      <right/>
      <top style="thin">
        <color auto="1"/>
      </top>
      <bottom style="thin">
        <color auto="1"/>
      </bottom>
      <diagonal/>
    </border>
    <border>
      <left style="double">
        <color auto="1"/>
      </left>
      <right style="thin">
        <color auto="1"/>
      </right>
      <top style="thin">
        <color auto="1"/>
      </top>
      <bottom style="thin">
        <color auto="1"/>
      </bottom>
      <diagonal/>
    </border>
    <border>
      <left style="double">
        <color auto="1"/>
      </left>
      <right/>
      <top/>
      <bottom/>
      <diagonal/>
    </border>
    <border>
      <left style="thin">
        <color auto="1"/>
      </left>
      <right/>
      <top style="double">
        <color auto="1"/>
      </top>
      <bottom/>
      <diagonal/>
    </border>
    <border>
      <left/>
      <right style="thin">
        <color auto="1"/>
      </right>
      <top style="double">
        <color auto="1"/>
      </top>
      <bottom/>
      <diagonal/>
    </border>
    <border diagonalDown="1">
      <left style="thin">
        <color auto="1"/>
      </left>
      <right/>
      <top style="double">
        <color auto="1"/>
      </top>
      <bottom/>
      <diagonal style="thin">
        <color auto="1"/>
      </diagonal>
    </border>
    <border diagonalDown="1">
      <left/>
      <right style="thin">
        <color auto="1"/>
      </right>
      <top style="double">
        <color auto="1"/>
      </top>
      <bottom/>
      <diagonal style="thin">
        <color auto="1"/>
      </diagonal>
    </border>
    <border diagonalDown="1">
      <left style="thin">
        <color auto="1"/>
      </left>
      <right/>
      <top/>
      <bottom style="thin">
        <color auto="1"/>
      </bottom>
      <diagonal style="thin">
        <color auto="1"/>
      </diagonal>
    </border>
    <border diagonalDown="1">
      <left/>
      <right style="thin">
        <color auto="1"/>
      </right>
      <top/>
      <bottom style="thin">
        <color auto="1"/>
      </bottom>
      <diagonal style="thin">
        <color auto="1"/>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bottom>
      <diagonal/>
    </border>
    <border>
      <left/>
      <right/>
      <top/>
      <bottom style="double">
        <color rgb="FFFF8001"/>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s>
  <cellStyleXfs count="62">
    <xf numFmtId="0" fontId="0" fillId="0" borderId="0">
      <alignment vertical="center"/>
    </xf>
    <xf numFmtId="42" fontId="0" fillId="0" borderId="0" applyFont="0" applyFill="0" applyBorder="0" applyAlignment="0" applyProtection="0">
      <alignment vertical="center"/>
    </xf>
    <xf numFmtId="0" fontId="156" fillId="31" borderId="0" applyNumberFormat="0" applyBorder="0" applyAlignment="0" applyProtection="0">
      <alignment vertical="center"/>
    </xf>
    <xf numFmtId="0" fontId="155" fillId="27" borderId="179"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56" fillId="9" borderId="0" applyNumberFormat="0" applyBorder="0" applyAlignment="0" applyProtection="0">
      <alignment vertical="center"/>
    </xf>
    <xf numFmtId="0" fontId="151" fillId="22" borderId="0" applyNumberFormat="0" applyBorder="0" applyAlignment="0" applyProtection="0">
      <alignment vertical="center"/>
    </xf>
    <xf numFmtId="43" fontId="0" fillId="0" borderId="0" applyFont="0" applyFill="0" applyBorder="0" applyAlignment="0" applyProtection="0">
      <alignment vertical="center"/>
    </xf>
    <xf numFmtId="0" fontId="153" fillId="26" borderId="0" applyNumberFormat="0" applyBorder="0" applyAlignment="0" applyProtection="0">
      <alignment vertical="center"/>
    </xf>
    <xf numFmtId="0" fontId="157" fillId="0" borderId="0" applyNumberFormat="0" applyFill="0" applyBorder="0" applyAlignment="0" applyProtection="0">
      <alignment vertical="center"/>
    </xf>
    <xf numFmtId="9" fontId="0" fillId="0" borderId="0" applyFont="0" applyFill="0" applyBorder="0" applyAlignment="0" applyProtection="0">
      <alignment vertical="center"/>
    </xf>
    <xf numFmtId="0" fontId="158" fillId="0" borderId="0" applyNumberFormat="0" applyFill="0" applyBorder="0" applyAlignment="0" applyProtection="0">
      <alignment vertical="center"/>
    </xf>
    <xf numFmtId="0" fontId="0" fillId="0" borderId="0"/>
    <xf numFmtId="0" fontId="0" fillId="37" borderId="180" applyNumberFormat="0" applyFont="0" applyAlignment="0" applyProtection="0">
      <alignment vertical="center"/>
    </xf>
    <xf numFmtId="0" fontId="153" fillId="36" borderId="0" applyNumberFormat="0" applyBorder="0" applyAlignment="0" applyProtection="0">
      <alignment vertical="center"/>
    </xf>
    <xf numFmtId="0" fontId="160" fillId="0" borderId="0" applyNumberFormat="0" applyFill="0" applyBorder="0" applyAlignment="0" applyProtection="0">
      <alignment vertical="center"/>
    </xf>
    <xf numFmtId="0" fontId="161" fillId="0" borderId="0" applyNumberFormat="0" applyFill="0" applyBorder="0" applyAlignment="0" applyProtection="0">
      <alignment vertical="center"/>
    </xf>
    <xf numFmtId="0" fontId="162" fillId="0" borderId="0" applyNumberFormat="0" applyFill="0" applyBorder="0" applyAlignment="0" applyProtection="0">
      <alignment vertical="center"/>
    </xf>
    <xf numFmtId="0" fontId="152" fillId="0" borderId="0" applyNumberFormat="0" applyFill="0" applyBorder="0" applyAlignment="0" applyProtection="0">
      <alignment vertical="center"/>
    </xf>
    <xf numFmtId="0" fontId="120" fillId="0" borderId="0">
      <alignment vertical="center"/>
    </xf>
    <xf numFmtId="0" fontId="120" fillId="0" borderId="0">
      <alignment vertical="center"/>
    </xf>
    <xf numFmtId="0" fontId="163" fillId="0" borderId="182" applyNumberFormat="0" applyFill="0" applyAlignment="0" applyProtection="0">
      <alignment vertical="center"/>
    </xf>
    <xf numFmtId="0" fontId="0" fillId="0" borderId="0"/>
    <xf numFmtId="0" fontId="164" fillId="0" borderId="182" applyNumberFormat="0" applyFill="0" applyAlignment="0" applyProtection="0">
      <alignment vertical="center"/>
    </xf>
    <xf numFmtId="0" fontId="153" fillId="30" borderId="0" applyNumberFormat="0" applyBorder="0" applyAlignment="0" applyProtection="0">
      <alignment vertical="center"/>
    </xf>
    <xf numFmtId="0" fontId="160" fillId="0" borderId="184" applyNumberFormat="0" applyFill="0" applyAlignment="0" applyProtection="0">
      <alignment vertical="center"/>
    </xf>
    <xf numFmtId="0" fontId="153" fillId="29" borderId="0" applyNumberFormat="0" applyBorder="0" applyAlignment="0" applyProtection="0">
      <alignment vertical="center"/>
    </xf>
    <xf numFmtId="0" fontId="150" fillId="21" borderId="178" applyNumberFormat="0" applyAlignment="0" applyProtection="0">
      <alignment vertical="center"/>
    </xf>
    <xf numFmtId="0" fontId="166" fillId="21" borderId="179" applyNumberFormat="0" applyAlignment="0" applyProtection="0">
      <alignment vertical="center"/>
    </xf>
    <xf numFmtId="0" fontId="167" fillId="46" borderId="185" applyNumberFormat="0" applyAlignment="0" applyProtection="0">
      <alignment vertical="center"/>
    </xf>
    <xf numFmtId="0" fontId="156" fillId="28" borderId="0" applyNumberFormat="0" applyBorder="0" applyAlignment="0" applyProtection="0">
      <alignment vertical="center"/>
    </xf>
    <xf numFmtId="0" fontId="153" fillId="48" borderId="0" applyNumberFormat="0" applyBorder="0" applyAlignment="0" applyProtection="0">
      <alignment vertical="center"/>
    </xf>
    <xf numFmtId="0" fontId="165" fillId="0" borderId="183" applyNumberFormat="0" applyFill="0" applyAlignment="0" applyProtection="0">
      <alignment vertical="center"/>
    </xf>
    <xf numFmtId="0" fontId="159" fillId="0" borderId="181" applyNumberFormat="0" applyFill="0" applyAlignment="0" applyProtection="0">
      <alignment vertical="center"/>
    </xf>
    <xf numFmtId="0" fontId="168" fillId="49" borderId="0" applyNumberFormat="0" applyBorder="0" applyAlignment="0" applyProtection="0">
      <alignment vertical="center"/>
    </xf>
    <xf numFmtId="0" fontId="0" fillId="0" borderId="0">
      <alignment vertical="center"/>
    </xf>
    <xf numFmtId="0" fontId="154" fillId="25" borderId="0" applyNumberFormat="0" applyBorder="0" applyAlignment="0" applyProtection="0">
      <alignment vertical="center"/>
    </xf>
    <xf numFmtId="0" fontId="120" fillId="0" borderId="0">
      <alignment vertical="center"/>
    </xf>
    <xf numFmtId="0" fontId="156" fillId="42" borderId="0" applyNumberFormat="0" applyBorder="0" applyAlignment="0" applyProtection="0">
      <alignment vertical="center"/>
    </xf>
    <xf numFmtId="0" fontId="153" fillId="45" borderId="0" applyNumberFormat="0" applyBorder="0" applyAlignment="0" applyProtection="0">
      <alignment vertical="center"/>
    </xf>
    <xf numFmtId="0" fontId="156" fillId="35" borderId="0" applyNumberFormat="0" applyBorder="0" applyAlignment="0" applyProtection="0">
      <alignment vertical="center"/>
    </xf>
    <xf numFmtId="0" fontId="156" fillId="41" borderId="0" applyNumberFormat="0" applyBorder="0" applyAlignment="0" applyProtection="0">
      <alignment vertical="center"/>
    </xf>
    <xf numFmtId="0" fontId="156" fillId="40" borderId="0" applyNumberFormat="0" applyBorder="0" applyAlignment="0" applyProtection="0">
      <alignment vertical="center"/>
    </xf>
    <xf numFmtId="0" fontId="156" fillId="44" borderId="0" applyNumberFormat="0" applyBorder="0" applyAlignment="0" applyProtection="0">
      <alignment vertical="center"/>
    </xf>
    <xf numFmtId="0" fontId="153" fillId="24" borderId="0" applyNumberFormat="0" applyBorder="0" applyAlignment="0" applyProtection="0">
      <alignment vertical="center"/>
    </xf>
    <xf numFmtId="0" fontId="0" fillId="0" borderId="0">
      <alignment vertical="center"/>
    </xf>
    <xf numFmtId="0" fontId="153" fillId="43" borderId="0" applyNumberFormat="0" applyBorder="0" applyAlignment="0" applyProtection="0">
      <alignment vertical="center"/>
    </xf>
    <xf numFmtId="0" fontId="156" fillId="34" borderId="0" applyNumberFormat="0" applyBorder="0" applyAlignment="0" applyProtection="0">
      <alignment vertical="center"/>
    </xf>
    <xf numFmtId="0" fontId="156" fillId="39" borderId="0" applyNumberFormat="0" applyBorder="0" applyAlignment="0" applyProtection="0">
      <alignment vertical="center"/>
    </xf>
    <xf numFmtId="0" fontId="153" fillId="47" borderId="0" applyNumberFormat="0" applyBorder="0" applyAlignment="0" applyProtection="0">
      <alignment vertical="center"/>
    </xf>
    <xf numFmtId="0" fontId="0" fillId="0" borderId="0">
      <alignment vertical="center"/>
    </xf>
    <xf numFmtId="0" fontId="156" fillId="14" borderId="0" applyNumberFormat="0" applyBorder="0" applyAlignment="0" applyProtection="0">
      <alignment vertical="center"/>
    </xf>
    <xf numFmtId="0" fontId="153" fillId="33" borderId="0" applyNumberFormat="0" applyBorder="0" applyAlignment="0" applyProtection="0">
      <alignment vertical="center"/>
    </xf>
    <xf numFmtId="0" fontId="153" fillId="23" borderId="0" applyNumberFormat="0" applyBorder="0" applyAlignment="0" applyProtection="0">
      <alignment vertical="center"/>
    </xf>
    <xf numFmtId="0" fontId="156" fillId="32" borderId="0" applyNumberFormat="0" applyBorder="0" applyAlignment="0" applyProtection="0">
      <alignment vertical="center"/>
    </xf>
    <xf numFmtId="0" fontId="153" fillId="38" borderId="0" applyNumberFormat="0" applyBorder="0" applyAlignment="0" applyProtection="0">
      <alignment vertical="center"/>
    </xf>
    <xf numFmtId="0" fontId="0" fillId="0" borderId="0">
      <alignment vertical="center"/>
    </xf>
    <xf numFmtId="0" fontId="0" fillId="0" borderId="0"/>
    <xf numFmtId="0" fontId="80" fillId="0" borderId="0"/>
    <xf numFmtId="0" fontId="0" fillId="0" borderId="0">
      <alignment vertical="center"/>
    </xf>
    <xf numFmtId="0" fontId="0" fillId="0" borderId="0">
      <alignment vertical="center"/>
    </xf>
  </cellStyleXfs>
  <cellXfs count="3591">
    <xf numFmtId="0" fontId="0" fillId="0" borderId="0" xfId="0">
      <alignment vertical="center"/>
    </xf>
    <xf numFmtId="0" fontId="1" fillId="0" borderId="0" xfId="0" applyFont="1" applyAlignment="1"/>
    <xf numFmtId="0" fontId="2" fillId="0" borderId="0" xfId="0" applyFont="1" applyAlignment="1"/>
    <xf numFmtId="0" fontId="3" fillId="2" borderId="0" xfId="58" applyFont="1" applyFill="1"/>
    <xf numFmtId="0" fontId="3" fillId="0" borderId="0" xfId="58" applyFont="1"/>
    <xf numFmtId="0" fontId="0" fillId="0" borderId="0" xfId="0" applyAlignment="1"/>
    <xf numFmtId="0" fontId="4" fillId="2" borderId="1" xfId="58" applyFont="1" applyFill="1" applyBorder="1"/>
    <xf numFmtId="0" fontId="4" fillId="2" borderId="2" xfId="58" applyFont="1" applyFill="1" applyBorder="1" applyAlignment="1">
      <alignment horizontal="center"/>
    </xf>
    <xf numFmtId="14" fontId="5" fillId="2" borderId="2" xfId="58" applyNumberFormat="1" applyFont="1" applyFill="1" applyBorder="1" applyAlignment="1" applyProtection="1">
      <alignment horizontal="center"/>
    </xf>
    <xf numFmtId="0" fontId="5" fillId="2" borderId="2" xfId="58" applyFont="1" applyFill="1" applyBorder="1" applyAlignment="1" applyProtection="1">
      <alignment horizontal="center"/>
    </xf>
    <xf numFmtId="10" fontId="5" fillId="2" borderId="2" xfId="58" applyNumberFormat="1" applyFont="1" applyFill="1" applyBorder="1" applyAlignment="1">
      <alignment horizontal="center"/>
    </xf>
    <xf numFmtId="0" fontId="1" fillId="2" borderId="0" xfId="0" applyFont="1" applyFill="1" applyAlignment="1"/>
    <xf numFmtId="0" fontId="4" fillId="2" borderId="0" xfId="58" applyFont="1" applyFill="1"/>
    <xf numFmtId="0" fontId="3" fillId="2" borderId="3" xfId="58" applyFont="1" applyFill="1" applyBorder="1"/>
    <xf numFmtId="0" fontId="6" fillId="2" borderId="4" xfId="58" applyFont="1" applyFill="1" applyBorder="1" applyAlignment="1">
      <alignment horizontal="center" vertical="center" wrapText="1"/>
    </xf>
    <xf numFmtId="0" fontId="3" fillId="2" borderId="5" xfId="58" applyFont="1" applyFill="1" applyBorder="1" applyAlignment="1">
      <alignment horizontal="center"/>
    </xf>
    <xf numFmtId="0" fontId="6" fillId="2" borderId="3" xfId="58" applyFont="1" applyFill="1" applyBorder="1" applyAlignment="1">
      <alignment horizontal="center" vertical="center" wrapText="1"/>
    </xf>
    <xf numFmtId="0" fontId="3" fillId="2" borderId="4" xfId="58" applyNumberFormat="1" applyFont="1" applyFill="1" applyBorder="1" applyAlignment="1">
      <alignment horizontal="center"/>
    </xf>
    <xf numFmtId="0" fontId="3" fillId="2" borderId="6" xfId="58" applyFont="1" applyFill="1" applyBorder="1"/>
    <xf numFmtId="0" fontId="6" fillId="2" borderId="7" xfId="58" applyFont="1" applyFill="1" applyBorder="1" applyAlignment="1">
      <alignment horizontal="center" vertical="center" wrapText="1"/>
    </xf>
    <xf numFmtId="0" fontId="3" fillId="2" borderId="8" xfId="58" applyFont="1" applyFill="1" applyBorder="1" applyAlignment="1">
      <alignment horizontal="center"/>
    </xf>
    <xf numFmtId="0" fontId="6" fillId="2" borderId="6" xfId="58" applyFont="1" applyFill="1" applyBorder="1" applyAlignment="1">
      <alignment horizontal="center" vertical="center" wrapText="1"/>
    </xf>
    <xf numFmtId="0" fontId="3" fillId="2" borderId="7" xfId="58" applyNumberFormat="1" applyFont="1" applyFill="1" applyBorder="1" applyAlignment="1">
      <alignment horizontal="center"/>
    </xf>
    <xf numFmtId="0" fontId="3" fillId="2" borderId="9" xfId="58" applyFont="1" applyFill="1" applyBorder="1"/>
    <xf numFmtId="0" fontId="6" fillId="2" borderId="10" xfId="58" applyFont="1" applyFill="1" applyBorder="1" applyAlignment="1">
      <alignment horizontal="center" vertical="center" wrapText="1"/>
    </xf>
    <xf numFmtId="0" fontId="3" fillId="2" borderId="11" xfId="58" applyFont="1" applyFill="1" applyBorder="1" applyAlignment="1">
      <alignment horizontal="center"/>
    </xf>
    <xf numFmtId="0" fontId="6" fillId="2" borderId="9" xfId="58" applyFont="1" applyFill="1" applyBorder="1" applyAlignment="1">
      <alignment horizontal="center" vertical="center" wrapText="1"/>
    </xf>
    <xf numFmtId="0" fontId="3" fillId="2" borderId="10" xfId="58" applyNumberFormat="1" applyFont="1" applyFill="1" applyBorder="1" applyAlignment="1">
      <alignment horizontal="center"/>
    </xf>
    <xf numFmtId="0" fontId="3" fillId="2" borderId="0" xfId="58" applyNumberFormat="1" applyFont="1" applyFill="1" applyAlignment="1">
      <alignment horizontal="center"/>
    </xf>
    <xf numFmtId="0" fontId="3" fillId="2" borderId="0" xfId="58" applyFont="1" applyFill="1" applyAlignment="1">
      <alignment horizontal="right"/>
    </xf>
    <xf numFmtId="14" fontId="3" fillId="2" borderId="0" xfId="58" applyNumberFormat="1" applyFont="1" applyFill="1" applyAlignment="1">
      <alignment horizontal="center"/>
    </xf>
    <xf numFmtId="0" fontId="7" fillId="2" borderId="0" xfId="58" applyNumberFormat="1" applyFont="1" applyFill="1" applyAlignment="1">
      <alignment horizontal="center"/>
    </xf>
    <xf numFmtId="0" fontId="8" fillId="2" borderId="0" xfId="58" applyFont="1" applyFill="1" applyAlignment="1">
      <alignment horizontal="left"/>
    </xf>
    <xf numFmtId="14" fontId="7" fillId="2" borderId="0" xfId="58" applyNumberFormat="1" applyFont="1" applyFill="1" applyAlignment="1">
      <alignment horizontal="center"/>
    </xf>
    <xf numFmtId="0" fontId="7" fillId="2" borderId="0" xfId="58" applyFont="1" applyFill="1"/>
    <xf numFmtId="0" fontId="9" fillId="2" borderId="0" xfId="58" applyFont="1" applyFill="1"/>
    <xf numFmtId="0" fontId="10" fillId="2" borderId="0" xfId="58" applyFont="1" applyFill="1"/>
    <xf numFmtId="0" fontId="6" fillId="2" borderId="0" xfId="58" applyFont="1" applyFill="1" applyAlignment="1"/>
    <xf numFmtId="0" fontId="11" fillId="2" borderId="12" xfId="58" applyFont="1" applyFill="1" applyBorder="1" applyAlignment="1">
      <alignment horizontal="center" vertical="center"/>
    </xf>
    <xf numFmtId="0" fontId="11" fillId="2" borderId="12" xfId="58" applyFont="1" applyFill="1" applyBorder="1" applyAlignment="1">
      <alignment vertical="center"/>
    </xf>
    <xf numFmtId="0" fontId="11" fillId="2" borderId="13" xfId="58" applyFont="1" applyFill="1" applyBorder="1" applyAlignment="1">
      <alignment vertical="center"/>
    </xf>
    <xf numFmtId="0" fontId="11" fillId="2" borderId="14" xfId="58" applyFont="1" applyFill="1" applyBorder="1" applyAlignment="1">
      <alignment vertical="center"/>
    </xf>
    <xf numFmtId="0" fontId="11" fillId="2" borderId="15" xfId="58" applyFont="1" applyFill="1" applyBorder="1" applyAlignment="1">
      <alignment vertical="center"/>
    </xf>
    <xf numFmtId="0" fontId="6" fillId="2" borderId="0" xfId="58" applyFont="1" applyFill="1"/>
    <xf numFmtId="0" fontId="11" fillId="2" borderId="16" xfId="58" applyFont="1" applyFill="1" applyBorder="1" applyAlignment="1">
      <alignment horizontal="center" vertical="center" wrapText="1"/>
    </xf>
    <xf numFmtId="0" fontId="11" fillId="2" borderId="16" xfId="58" applyFont="1" applyFill="1" applyBorder="1" applyAlignment="1">
      <alignment vertical="center" wrapText="1"/>
    </xf>
    <xf numFmtId="0" fontId="3" fillId="2" borderId="7" xfId="58" applyFont="1" applyFill="1" applyBorder="1"/>
    <xf numFmtId="0" fontId="12" fillId="2" borderId="0" xfId="58" applyFont="1" applyFill="1" applyAlignment="1">
      <alignment vertical="center"/>
    </xf>
    <xf numFmtId="0" fontId="12" fillId="2" borderId="7" xfId="58" applyFont="1" applyFill="1" applyBorder="1" applyAlignment="1">
      <alignment horizontal="left" vertical="center" wrapText="1"/>
    </xf>
    <xf numFmtId="181" fontId="12" fillId="2" borderId="7" xfId="58" applyNumberFormat="1" applyFont="1" applyFill="1" applyBorder="1" applyAlignment="1">
      <alignment horizontal="center" vertical="center" wrapText="1"/>
    </xf>
    <xf numFmtId="0" fontId="12" fillId="2" borderId="7" xfId="58" applyFont="1" applyFill="1" applyBorder="1" applyAlignment="1">
      <alignment horizontal="center" vertical="center" wrapText="1"/>
    </xf>
    <xf numFmtId="0" fontId="3" fillId="2" borderId="7" xfId="58" applyFont="1" applyFill="1" applyBorder="1" applyAlignment="1">
      <alignment horizontal="center" wrapText="1"/>
    </xf>
    <xf numFmtId="14" fontId="3" fillId="2" borderId="7" xfId="58" applyNumberFormat="1" applyFont="1" applyFill="1" applyBorder="1" applyAlignment="1">
      <alignment horizontal="center" wrapText="1"/>
    </xf>
    <xf numFmtId="0" fontId="13" fillId="2" borderId="0" xfId="58" applyFont="1" applyFill="1"/>
    <xf numFmtId="14" fontId="13" fillId="2" borderId="7" xfId="58" applyNumberFormat="1" applyFont="1" applyFill="1" applyBorder="1" applyAlignment="1">
      <alignment horizontal="center" wrapText="1"/>
    </xf>
    <xf numFmtId="0" fontId="13" fillId="2" borderId="7" xfId="58" applyFont="1" applyFill="1" applyBorder="1" applyAlignment="1">
      <alignment horizontal="center" wrapText="1"/>
    </xf>
    <xf numFmtId="0" fontId="3" fillId="2" borderId="0" xfId="58" applyFont="1" applyFill="1" applyBorder="1" applyAlignment="1">
      <alignment horizontal="center" wrapText="1"/>
    </xf>
    <xf numFmtId="14" fontId="3" fillId="2" borderId="0" xfId="58" applyNumberFormat="1" applyFont="1" applyFill="1" applyBorder="1" applyAlignment="1">
      <alignment horizontal="center" wrapText="1"/>
    </xf>
    <xf numFmtId="183" fontId="4" fillId="2" borderId="1" xfId="58" applyNumberFormat="1" applyFont="1" applyFill="1" applyBorder="1" applyAlignment="1">
      <alignment horizontal="center"/>
    </xf>
    <xf numFmtId="0" fontId="11" fillId="2" borderId="7" xfId="58" applyFont="1" applyFill="1" applyBorder="1" applyAlignment="1">
      <alignment horizontal="center" vertical="center" wrapText="1"/>
    </xf>
    <xf numFmtId="14" fontId="12" fillId="2" borderId="7" xfId="58" applyNumberFormat="1" applyFont="1" applyFill="1" applyBorder="1" applyAlignment="1">
      <alignment horizontal="center" vertical="center" wrapText="1"/>
    </xf>
    <xf numFmtId="185" fontId="14" fillId="2" borderId="7" xfId="58" applyNumberFormat="1" applyFont="1" applyFill="1" applyBorder="1" applyAlignment="1">
      <alignment horizontal="center"/>
    </xf>
    <xf numFmtId="0" fontId="4" fillId="0" borderId="1" xfId="58" applyFont="1" applyBorder="1"/>
    <xf numFmtId="0" fontId="7" fillId="0" borderId="0" xfId="58" applyFont="1"/>
    <xf numFmtId="0" fontId="9" fillId="0" borderId="0" xfId="58" applyFont="1"/>
    <xf numFmtId="0" fontId="6" fillId="0" borderId="0" xfId="58" applyFont="1" applyAlignment="1"/>
    <xf numFmtId="0" fontId="6" fillId="0" borderId="0" xfId="58" applyFont="1"/>
    <xf numFmtId="0" fontId="12" fillId="3" borderId="0" xfId="58" applyFont="1" applyFill="1" applyAlignment="1">
      <alignment vertical="center"/>
    </xf>
    <xf numFmtId="0" fontId="13" fillId="0" borderId="0" xfId="58" applyFont="1"/>
    <xf numFmtId="0" fontId="1" fillId="0" borderId="1" xfId="0" applyFont="1" applyBorder="1" applyAlignment="1"/>
    <xf numFmtId="0" fontId="7" fillId="0" borderId="0" xfId="0" applyFont="1" applyAlignment="1"/>
    <xf numFmtId="0" fontId="15" fillId="0" borderId="0" xfId="0" applyFont="1" applyAlignment="1"/>
    <xf numFmtId="0" fontId="16" fillId="0" borderId="0" xfId="20" applyFont="1" applyAlignment="1">
      <alignment horizontal="left" vertical="center"/>
    </xf>
    <xf numFmtId="0" fontId="16" fillId="0" borderId="17" xfId="20" applyFont="1" applyBorder="1" applyAlignment="1">
      <alignment horizontal="left" vertical="center"/>
    </xf>
    <xf numFmtId="0" fontId="16" fillId="4" borderId="0" xfId="20" applyFont="1" applyFill="1" applyAlignment="1">
      <alignment horizontal="left" vertical="center"/>
    </xf>
    <xf numFmtId="0" fontId="16" fillId="0" borderId="0" xfId="20" applyFont="1" applyFill="1" applyAlignment="1">
      <alignment horizontal="left" vertical="center"/>
    </xf>
    <xf numFmtId="0" fontId="16" fillId="5" borderId="0" xfId="20" applyFont="1" applyFill="1" applyAlignment="1">
      <alignment horizontal="left" vertical="center"/>
    </xf>
    <xf numFmtId="0" fontId="17" fillId="5" borderId="0" xfId="20" applyFont="1" applyFill="1" applyAlignment="1" applyProtection="1">
      <alignment horizontal="left" vertical="center"/>
    </xf>
    <xf numFmtId="0" fontId="17" fillId="5" borderId="0" xfId="20" applyFont="1" applyFill="1" applyAlignment="1">
      <alignment horizontal="left" vertical="center"/>
    </xf>
    <xf numFmtId="0" fontId="18" fillId="3" borderId="0" xfId="20" applyFont="1" applyFill="1" applyAlignment="1">
      <alignment horizontal="left" vertical="center"/>
    </xf>
    <xf numFmtId="0" fontId="18" fillId="0" borderId="18" xfId="20" applyFont="1" applyBorder="1" applyAlignment="1">
      <alignment horizontal="left" vertical="center"/>
    </xf>
    <xf numFmtId="0" fontId="19" fillId="0" borderId="0" xfId="20" applyFont="1" applyAlignment="1">
      <alignment horizontal="left" vertical="center"/>
    </xf>
    <xf numFmtId="0" fontId="18" fillId="0" borderId="0" xfId="20" applyFont="1" applyAlignment="1">
      <alignment horizontal="left" vertical="center"/>
    </xf>
    <xf numFmtId="0" fontId="18" fillId="0" borderId="19" xfId="20" applyFont="1" applyBorder="1" applyAlignment="1">
      <alignment horizontal="left" vertical="center"/>
    </xf>
    <xf numFmtId="0" fontId="20" fillId="0" borderId="0" xfId="20" applyFont="1" applyAlignment="1">
      <alignment horizontal="left" vertical="center"/>
    </xf>
    <xf numFmtId="0" fontId="21" fillId="2" borderId="17" xfId="36" applyFont="1" applyFill="1" applyBorder="1" applyAlignment="1" applyProtection="1">
      <alignment horizontal="left" vertical="center"/>
    </xf>
    <xf numFmtId="0" fontId="22" fillId="2" borderId="17" xfId="36" applyFont="1" applyFill="1" applyBorder="1" applyAlignment="1" applyProtection="1">
      <alignment horizontal="left" vertical="center"/>
    </xf>
    <xf numFmtId="0" fontId="16" fillId="0" borderId="20" xfId="20" applyFont="1" applyBorder="1" applyAlignment="1">
      <alignment horizontal="left" vertical="center"/>
    </xf>
    <xf numFmtId="0" fontId="5" fillId="4" borderId="0" xfId="20" applyFont="1" applyFill="1" applyAlignment="1">
      <alignment horizontal="left" vertical="center"/>
    </xf>
    <xf numFmtId="0" fontId="23" fillId="4" borderId="0" xfId="36" applyFont="1" applyFill="1" applyAlignment="1" applyProtection="1">
      <alignment horizontal="left" vertical="center"/>
    </xf>
    <xf numFmtId="0" fontId="22" fillId="4" borderId="0" xfId="36" applyFont="1" applyFill="1" applyAlignment="1" applyProtection="1">
      <alignment horizontal="left" vertical="center"/>
    </xf>
    <xf numFmtId="0" fontId="16" fillId="4" borderId="19" xfId="20" applyFont="1" applyFill="1" applyBorder="1" applyAlignment="1">
      <alignment horizontal="left" vertical="center"/>
    </xf>
    <xf numFmtId="0" fontId="16" fillId="4" borderId="0" xfId="20" applyFont="1" applyFill="1" applyBorder="1" applyAlignment="1">
      <alignment horizontal="left" vertical="center"/>
    </xf>
    <xf numFmtId="0" fontId="23" fillId="0" borderId="0" xfId="36" applyFont="1" applyFill="1" applyAlignment="1" applyProtection="1">
      <alignment horizontal="left" vertical="center"/>
    </xf>
    <xf numFmtId="0" fontId="22" fillId="0" borderId="0" xfId="36" applyFont="1" applyFill="1" applyAlignment="1" applyProtection="1">
      <alignment horizontal="left" vertical="center"/>
    </xf>
    <xf numFmtId="0" fontId="16" fillId="0" borderId="19" xfId="20" applyFont="1" applyFill="1" applyBorder="1" applyAlignment="1">
      <alignment horizontal="left" vertical="center"/>
    </xf>
    <xf numFmtId="0" fontId="16" fillId="0" borderId="0" xfId="20" applyFont="1" applyFill="1" applyBorder="1" applyAlignment="1">
      <alignment horizontal="left" vertical="center"/>
    </xf>
    <xf numFmtId="49" fontId="24" fillId="5" borderId="7" xfId="20" applyNumberFormat="1" applyFont="1" applyFill="1" applyBorder="1" applyAlignment="1" applyProtection="1">
      <alignment horizontal="left" vertical="center" wrapText="1"/>
    </xf>
    <xf numFmtId="178" fontId="17" fillId="5" borderId="0" xfId="20" applyNumberFormat="1" applyFont="1" applyFill="1" applyBorder="1" applyAlignment="1">
      <alignment horizontal="left" vertical="center"/>
    </xf>
    <xf numFmtId="178" fontId="17" fillId="5" borderId="0" xfId="20" applyNumberFormat="1" applyFont="1" applyFill="1" applyAlignment="1">
      <alignment horizontal="left" vertical="center"/>
    </xf>
    <xf numFmtId="0" fontId="25" fillId="6" borderId="21" xfId="20" applyFont="1" applyFill="1" applyBorder="1" applyAlignment="1" applyProtection="1">
      <alignment horizontal="left" vertical="center" wrapText="1"/>
    </xf>
    <xf numFmtId="0" fontId="25" fillId="5" borderId="22" xfId="20" applyFont="1" applyFill="1" applyBorder="1" applyAlignment="1" applyProtection="1">
      <alignment horizontal="left" vertical="center" wrapText="1"/>
    </xf>
    <xf numFmtId="49" fontId="24" fillId="2" borderId="7" xfId="20" applyNumberFormat="1" applyFont="1" applyFill="1" applyBorder="1" applyAlignment="1" applyProtection="1">
      <alignment horizontal="left" vertical="center" wrapText="1"/>
    </xf>
    <xf numFmtId="178" fontId="18" fillId="0" borderId="0" xfId="20" applyNumberFormat="1" applyFont="1" applyAlignment="1" applyProtection="1">
      <alignment horizontal="left" vertical="center"/>
    </xf>
    <xf numFmtId="0" fontId="25" fillId="7" borderId="22" xfId="20" applyFont="1" applyFill="1" applyBorder="1" applyAlignment="1" applyProtection="1">
      <alignment horizontal="left" vertical="center" wrapText="1"/>
    </xf>
    <xf numFmtId="0" fontId="25" fillId="6" borderId="23" xfId="20" applyFont="1" applyFill="1" applyBorder="1" applyAlignment="1" applyProtection="1">
      <alignment horizontal="left" vertical="center" wrapText="1"/>
    </xf>
    <xf numFmtId="178" fontId="16" fillId="6" borderId="23" xfId="20" applyNumberFormat="1" applyFont="1" applyFill="1" applyBorder="1" applyAlignment="1">
      <alignment horizontal="left" vertical="center" wrapText="1"/>
    </xf>
    <xf numFmtId="178" fontId="16" fillId="6" borderId="24" xfId="20" applyNumberFormat="1" applyFont="1" applyFill="1" applyBorder="1" applyAlignment="1">
      <alignment horizontal="left" vertical="center" wrapText="1"/>
    </xf>
    <xf numFmtId="178" fontId="18" fillId="0" borderId="0" xfId="20" applyNumberFormat="1" applyFont="1" applyAlignment="1">
      <alignment horizontal="left" vertical="center"/>
    </xf>
    <xf numFmtId="0" fontId="25" fillId="6" borderId="22" xfId="20" applyFont="1" applyFill="1" applyBorder="1" applyAlignment="1" applyProtection="1">
      <alignment horizontal="left" vertical="center" wrapText="1"/>
    </xf>
    <xf numFmtId="0" fontId="25" fillId="6" borderId="25" xfId="20" applyFont="1" applyFill="1" applyBorder="1" applyAlignment="1" applyProtection="1">
      <alignment horizontal="left" vertical="center" wrapText="1"/>
    </xf>
    <xf numFmtId="0" fontId="25" fillId="6" borderId="26" xfId="20" applyFont="1" applyFill="1" applyBorder="1" applyAlignment="1" applyProtection="1">
      <alignment horizontal="left" vertical="center" wrapText="1"/>
    </xf>
    <xf numFmtId="0" fontId="25" fillId="6" borderId="27" xfId="20" applyFont="1" applyFill="1" applyBorder="1" applyAlignment="1" applyProtection="1">
      <alignment horizontal="left" vertical="center" wrapText="1"/>
    </xf>
    <xf numFmtId="0" fontId="25" fillId="6" borderId="28" xfId="20" applyFont="1" applyFill="1" applyBorder="1" applyAlignment="1" applyProtection="1">
      <alignment horizontal="left" vertical="center" wrapText="1"/>
    </xf>
    <xf numFmtId="0" fontId="25" fillId="6" borderId="29" xfId="20" applyFont="1" applyFill="1" applyBorder="1" applyAlignment="1" applyProtection="1">
      <alignment horizontal="left" vertical="center" wrapText="1"/>
    </xf>
    <xf numFmtId="0" fontId="25" fillId="7" borderId="23" xfId="20" applyFont="1" applyFill="1" applyBorder="1" applyAlignment="1" applyProtection="1">
      <alignment horizontal="left" vertical="center" wrapText="1"/>
    </xf>
    <xf numFmtId="178" fontId="16" fillId="6" borderId="22" xfId="20" applyNumberFormat="1" applyFont="1" applyFill="1" applyBorder="1" applyAlignment="1">
      <alignment horizontal="left" vertical="center" wrapText="1"/>
    </xf>
    <xf numFmtId="178" fontId="16" fillId="6" borderId="30" xfId="20" applyNumberFormat="1" applyFont="1" applyFill="1" applyBorder="1" applyAlignment="1">
      <alignment horizontal="left" vertical="center" wrapText="1"/>
    </xf>
    <xf numFmtId="0" fontId="18" fillId="7" borderId="23" xfId="20" applyFont="1" applyFill="1" applyBorder="1" applyAlignment="1" applyProtection="1">
      <alignment horizontal="left" vertical="center" wrapText="1"/>
    </xf>
    <xf numFmtId="49" fontId="24" fillId="3" borderId="7" xfId="20" applyNumberFormat="1" applyFont="1" applyFill="1" applyBorder="1" applyAlignment="1" applyProtection="1">
      <alignment horizontal="left" vertical="center" wrapText="1"/>
    </xf>
    <xf numFmtId="178" fontId="18" fillId="3" borderId="0" xfId="20" applyNumberFormat="1" applyFont="1" applyFill="1" applyAlignment="1">
      <alignment horizontal="left" vertical="center"/>
    </xf>
    <xf numFmtId="0" fontId="18" fillId="3" borderId="22" xfId="20" applyFont="1" applyFill="1" applyBorder="1" applyAlignment="1" applyProtection="1">
      <alignment horizontal="left" vertical="center" wrapText="1"/>
    </xf>
    <xf numFmtId="0" fontId="18" fillId="6" borderId="28" xfId="20" applyFont="1" applyFill="1" applyBorder="1" applyAlignment="1" applyProtection="1">
      <alignment horizontal="left" vertical="center" wrapText="1"/>
    </xf>
    <xf numFmtId="0" fontId="18" fillId="6" borderId="29" xfId="20" applyFont="1" applyFill="1" applyBorder="1" applyAlignment="1" applyProtection="1">
      <alignment horizontal="left" vertical="center" wrapText="1"/>
    </xf>
    <xf numFmtId="0" fontId="18" fillId="6" borderId="21" xfId="20" applyFont="1" applyFill="1" applyBorder="1" applyAlignment="1" applyProtection="1">
      <alignment horizontal="left" vertical="center" wrapText="1"/>
    </xf>
    <xf numFmtId="0" fontId="18" fillId="6" borderId="27" xfId="20" applyFont="1" applyFill="1" applyBorder="1" applyAlignment="1" applyProtection="1">
      <alignment horizontal="left" vertical="center" wrapText="1"/>
    </xf>
    <xf numFmtId="178" fontId="16" fillId="6" borderId="29" xfId="20" applyNumberFormat="1" applyFont="1" applyFill="1" applyBorder="1" applyAlignment="1">
      <alignment horizontal="left" vertical="center" wrapText="1"/>
    </xf>
    <xf numFmtId="178" fontId="16" fillId="6" borderId="31" xfId="20" applyNumberFormat="1" applyFont="1" applyFill="1" applyBorder="1" applyAlignment="1">
      <alignment horizontal="left" vertical="center" wrapText="1"/>
    </xf>
    <xf numFmtId="178" fontId="18" fillId="5" borderId="0" xfId="20" applyNumberFormat="1" applyFont="1" applyFill="1" applyAlignment="1">
      <alignment horizontal="left" vertical="center"/>
    </xf>
    <xf numFmtId="178" fontId="18" fillId="0" borderId="18" xfId="20" applyNumberFormat="1" applyFont="1" applyBorder="1" applyAlignment="1">
      <alignment horizontal="left" vertical="center"/>
    </xf>
    <xf numFmtId="0" fontId="25" fillId="7" borderId="32" xfId="20" applyFont="1" applyFill="1" applyBorder="1" applyAlignment="1" applyProtection="1">
      <alignment horizontal="left" vertical="center" wrapText="1"/>
    </xf>
    <xf numFmtId="0" fontId="25" fillId="6" borderId="33" xfId="20" applyFont="1" applyFill="1" applyBorder="1" applyAlignment="1" applyProtection="1">
      <alignment horizontal="left" vertical="center" wrapText="1"/>
    </xf>
    <xf numFmtId="0" fontId="25" fillId="4" borderId="22" xfId="20" applyFont="1" applyFill="1" applyBorder="1" applyAlignment="1" applyProtection="1">
      <alignment horizontal="left" vertical="center" wrapText="1"/>
    </xf>
    <xf numFmtId="0" fontId="25" fillId="4" borderId="34" xfId="20" applyFont="1" applyFill="1" applyBorder="1" applyAlignment="1" applyProtection="1">
      <alignment horizontal="left" vertical="center" wrapText="1"/>
    </xf>
    <xf numFmtId="0" fontId="16" fillId="0" borderId="0" xfId="20" applyFont="1" applyFill="1" applyBorder="1" applyAlignment="1" applyProtection="1">
      <alignment horizontal="left" vertical="center"/>
      <protection locked="0"/>
    </xf>
    <xf numFmtId="0" fontId="26" fillId="8" borderId="22" xfId="20" applyFont="1" applyFill="1" applyBorder="1" applyAlignment="1" applyProtection="1">
      <alignment horizontal="left" vertical="center" wrapText="1"/>
      <protection locked="0"/>
    </xf>
    <xf numFmtId="0" fontId="26" fillId="8" borderId="34" xfId="20" applyFont="1" applyFill="1" applyBorder="1" applyAlignment="1" applyProtection="1">
      <alignment horizontal="left" vertical="center" wrapText="1"/>
      <protection locked="0"/>
    </xf>
    <xf numFmtId="10" fontId="17" fillId="5" borderId="35" xfId="20" applyNumberFormat="1" applyFont="1" applyFill="1" applyBorder="1" applyAlignment="1">
      <alignment horizontal="left" vertical="center"/>
    </xf>
    <xf numFmtId="0" fontId="25" fillId="7" borderId="22" xfId="38" applyFont="1" applyFill="1" applyBorder="1" applyAlignment="1" applyProtection="1">
      <alignment horizontal="left" vertical="center" wrapText="1"/>
    </xf>
    <xf numFmtId="0" fontId="25" fillId="7" borderId="34" xfId="38" applyFont="1" applyFill="1" applyBorder="1" applyAlignment="1" applyProtection="1">
      <alignment horizontal="left" vertical="center" wrapText="1"/>
    </xf>
    <xf numFmtId="0" fontId="18" fillId="0" borderId="0" xfId="20" applyFont="1" applyAlignment="1" applyProtection="1">
      <alignment horizontal="left" vertical="center"/>
    </xf>
    <xf numFmtId="10" fontId="18" fillId="0" borderId="19" xfId="20" applyNumberFormat="1" applyFont="1" applyBorder="1" applyAlignment="1" applyProtection="1">
      <alignment horizontal="left" vertical="center"/>
    </xf>
    <xf numFmtId="10" fontId="18" fillId="0" borderId="0" xfId="20" applyNumberFormat="1" applyFont="1" applyAlignment="1" applyProtection="1">
      <alignment horizontal="left" vertical="center"/>
    </xf>
    <xf numFmtId="0" fontId="25" fillId="7" borderId="34" xfId="20" applyFont="1" applyFill="1" applyBorder="1" applyAlignment="1" applyProtection="1">
      <alignment horizontal="left" vertical="center" wrapText="1"/>
    </xf>
    <xf numFmtId="0" fontId="25" fillId="6" borderId="36" xfId="20" applyFont="1" applyFill="1" applyBorder="1" applyAlignment="1" applyProtection="1">
      <alignment horizontal="left" vertical="center" wrapText="1"/>
    </xf>
    <xf numFmtId="10" fontId="18" fillId="0" borderId="37" xfId="20" applyNumberFormat="1" applyFont="1" applyBorder="1" applyAlignment="1">
      <alignment horizontal="left" vertical="center"/>
    </xf>
    <xf numFmtId="10" fontId="18" fillId="0" borderId="38" xfId="20" applyNumberFormat="1" applyFont="1" applyBorder="1" applyAlignment="1">
      <alignment horizontal="left" vertical="center"/>
    </xf>
    <xf numFmtId="10" fontId="18" fillId="0" borderId="19" xfId="20" applyNumberFormat="1" applyFont="1" applyBorder="1" applyAlignment="1">
      <alignment horizontal="left" vertical="center"/>
    </xf>
    <xf numFmtId="10" fontId="18" fillId="0" borderId="0" xfId="20" applyNumberFormat="1" applyFont="1" applyAlignment="1">
      <alignment horizontal="left" vertical="center"/>
    </xf>
    <xf numFmtId="0" fontId="25" fillId="6" borderId="34" xfId="20" applyFont="1" applyFill="1" applyBorder="1" applyAlignment="1" applyProtection="1">
      <alignment horizontal="left" vertical="center" wrapText="1"/>
    </xf>
    <xf numFmtId="10" fontId="18" fillId="0" borderId="0" xfId="20" applyNumberFormat="1" applyFont="1" applyBorder="1" applyAlignment="1">
      <alignment horizontal="left" vertical="center"/>
    </xf>
    <xf numFmtId="10" fontId="18" fillId="0" borderId="35" xfId="20" applyNumberFormat="1" applyFont="1" applyBorder="1" applyAlignment="1">
      <alignment horizontal="left" vertical="center"/>
    </xf>
    <xf numFmtId="10" fontId="18" fillId="0" borderId="39" xfId="20" applyNumberFormat="1" applyFont="1" applyBorder="1" applyAlignment="1">
      <alignment horizontal="left" vertical="center"/>
    </xf>
    <xf numFmtId="0" fontId="25" fillId="6" borderId="40" xfId="20" applyFont="1" applyFill="1" applyBorder="1" applyAlignment="1" applyProtection="1">
      <alignment horizontal="left" vertical="center" wrapText="1"/>
    </xf>
    <xf numFmtId="0" fontId="25" fillId="7" borderId="36" xfId="20" applyFont="1" applyFill="1" applyBorder="1" applyAlignment="1" applyProtection="1">
      <alignment horizontal="left" vertical="center" wrapText="1"/>
    </xf>
    <xf numFmtId="0" fontId="18" fillId="7" borderId="36" xfId="20" applyFont="1" applyFill="1" applyBorder="1" applyAlignment="1" applyProtection="1">
      <alignment horizontal="left" vertical="center" wrapText="1"/>
    </xf>
    <xf numFmtId="0" fontId="18" fillId="3" borderId="34" xfId="20" applyFont="1" applyFill="1" applyBorder="1" applyAlignment="1" applyProtection="1">
      <alignment horizontal="left" vertical="center" wrapText="1"/>
    </xf>
    <xf numFmtId="10" fontId="18" fillId="3" borderId="19" xfId="20" applyNumberFormat="1" applyFont="1" applyFill="1" applyBorder="1" applyAlignment="1">
      <alignment horizontal="left" vertical="center"/>
    </xf>
    <xf numFmtId="10" fontId="18" fillId="3" borderId="0" xfId="20" applyNumberFormat="1" applyFont="1" applyFill="1" applyAlignment="1">
      <alignment horizontal="left" vertical="center"/>
    </xf>
    <xf numFmtId="0" fontId="18" fillId="6" borderId="40" xfId="20" applyFont="1" applyFill="1" applyBorder="1" applyAlignment="1" applyProtection="1">
      <alignment horizontal="left" vertical="center" wrapText="1"/>
    </xf>
    <xf numFmtId="0" fontId="25" fillId="7" borderId="41" xfId="20" applyFont="1" applyFill="1" applyBorder="1" applyAlignment="1" applyProtection="1">
      <alignment horizontal="left" vertical="center" wrapText="1"/>
    </xf>
    <xf numFmtId="10" fontId="18" fillId="0" borderId="42" xfId="20" applyNumberFormat="1" applyFont="1" applyBorder="1" applyAlignment="1">
      <alignment horizontal="left" vertical="center"/>
    </xf>
    <xf numFmtId="10" fontId="18" fillId="0" borderId="18" xfId="20" applyNumberFormat="1" applyFont="1" applyBorder="1" applyAlignment="1">
      <alignment horizontal="left" vertical="center"/>
    </xf>
    <xf numFmtId="0" fontId="25" fillId="6" borderId="43" xfId="20" applyFont="1" applyFill="1" applyBorder="1" applyAlignment="1" applyProtection="1">
      <alignment horizontal="left" vertical="center" wrapText="1"/>
    </xf>
    <xf numFmtId="10" fontId="18" fillId="9" borderId="19" xfId="20" applyNumberFormat="1" applyFont="1" applyFill="1" applyBorder="1" applyAlignment="1">
      <alignment horizontal="left" vertical="center"/>
    </xf>
    <xf numFmtId="10" fontId="18" fillId="9" borderId="0" xfId="20" applyNumberFormat="1" applyFont="1" applyFill="1" applyAlignment="1">
      <alignment horizontal="left" vertical="center"/>
    </xf>
    <xf numFmtId="10" fontId="18" fillId="9" borderId="35" xfId="20" applyNumberFormat="1" applyFont="1" applyFill="1" applyBorder="1" applyAlignment="1">
      <alignment horizontal="left" vertical="center"/>
    </xf>
    <xf numFmtId="10" fontId="18" fillId="9" borderId="39" xfId="20" applyNumberFormat="1" applyFont="1" applyFill="1" applyBorder="1" applyAlignment="1">
      <alignment horizontal="left" vertical="center"/>
    </xf>
    <xf numFmtId="0" fontId="11" fillId="0" borderId="0" xfId="20" applyFont="1" applyAlignment="1">
      <alignment horizontal="left" vertical="center"/>
    </xf>
    <xf numFmtId="0" fontId="11" fillId="4" borderId="0" xfId="20" applyFont="1" applyFill="1" applyAlignment="1">
      <alignment horizontal="left" vertical="center"/>
    </xf>
    <xf numFmtId="0" fontId="18" fillId="4" borderId="0" xfId="20" applyFont="1" applyFill="1" applyAlignment="1">
      <alignment horizontal="left" vertical="center"/>
    </xf>
    <xf numFmtId="0" fontId="19" fillId="3" borderId="0" xfId="20" applyFont="1" applyFill="1" applyAlignment="1">
      <alignment horizontal="left" vertical="center"/>
    </xf>
    <xf numFmtId="0" fontId="18" fillId="5" borderId="0" xfId="20" applyFont="1" applyFill="1" applyAlignment="1">
      <alignment horizontal="left" vertical="center"/>
    </xf>
    <xf numFmtId="183" fontId="18" fillId="0" borderId="0" xfId="20" applyNumberFormat="1" applyFont="1" applyAlignment="1">
      <alignment horizontal="left" vertical="center"/>
    </xf>
    <xf numFmtId="187" fontId="18" fillId="0" borderId="19" xfId="20" applyNumberFormat="1" applyFont="1" applyBorder="1" applyAlignment="1">
      <alignment horizontal="left" vertical="center"/>
    </xf>
    <xf numFmtId="187" fontId="18" fillId="0" borderId="0" xfId="20" applyNumberFormat="1" applyFont="1" applyAlignment="1">
      <alignment horizontal="left" vertical="center"/>
    </xf>
    <xf numFmtId="0" fontId="18" fillId="0" borderId="0" xfId="20" applyFont="1" applyFill="1" applyAlignment="1">
      <alignment horizontal="left" vertical="center"/>
    </xf>
    <xf numFmtId="183" fontId="18" fillId="3" borderId="0" xfId="20" applyNumberFormat="1" applyFont="1" applyFill="1" applyAlignment="1">
      <alignment horizontal="left" vertical="center"/>
    </xf>
    <xf numFmtId="10" fontId="18" fillId="3" borderId="35" xfId="20" applyNumberFormat="1" applyFont="1" applyFill="1" applyBorder="1" applyAlignment="1">
      <alignment horizontal="left" vertical="center"/>
    </xf>
    <xf numFmtId="10" fontId="18" fillId="3" borderId="39" xfId="20" applyNumberFormat="1" applyFont="1" applyFill="1" applyBorder="1" applyAlignment="1">
      <alignment horizontal="left" vertical="center"/>
    </xf>
    <xf numFmtId="0" fontId="6" fillId="3" borderId="0" xfId="20" applyFont="1" applyFill="1" applyAlignment="1">
      <alignment horizontal="left" vertical="center"/>
    </xf>
    <xf numFmtId="0" fontId="18" fillId="3" borderId="0" xfId="20" applyNumberFormat="1" applyFont="1" applyFill="1" applyAlignment="1">
      <alignment horizontal="left" vertical="center"/>
    </xf>
    <xf numFmtId="14" fontId="18" fillId="0" borderId="0" xfId="20" applyNumberFormat="1" applyFont="1" applyAlignment="1">
      <alignment horizontal="left" vertical="center"/>
    </xf>
    <xf numFmtId="0" fontId="18" fillId="0" borderId="0" xfId="20" applyNumberFormat="1" applyFont="1" applyAlignment="1">
      <alignment horizontal="left" vertical="center"/>
    </xf>
    <xf numFmtId="183" fontId="18" fillId="0" borderId="18" xfId="20" applyNumberFormat="1" applyFont="1" applyBorder="1" applyAlignment="1">
      <alignment horizontal="left" vertical="center"/>
    </xf>
    <xf numFmtId="180" fontId="18" fillId="0" borderId="0" xfId="20" applyNumberFormat="1" applyFont="1" applyAlignment="1">
      <alignment horizontal="left" vertical="center"/>
    </xf>
    <xf numFmtId="10" fontId="18" fillId="4" borderId="0" xfId="20" applyNumberFormat="1" applyFont="1" applyFill="1" applyAlignment="1">
      <alignment horizontal="left" vertical="center"/>
    </xf>
    <xf numFmtId="10" fontId="18" fillId="5" borderId="0" xfId="20" applyNumberFormat="1" applyFont="1" applyFill="1" applyAlignment="1">
      <alignment horizontal="left" vertical="center"/>
    </xf>
    <xf numFmtId="10" fontId="18" fillId="0" borderId="0" xfId="20" applyNumberFormat="1" applyFont="1" applyFill="1" applyAlignment="1">
      <alignment horizontal="left" vertical="center"/>
    </xf>
    <xf numFmtId="0" fontId="6" fillId="0" borderId="0" xfId="20" applyFont="1" applyAlignment="1">
      <alignment horizontal="left" vertical="center"/>
    </xf>
    <xf numFmtId="0" fontId="16" fillId="7" borderId="44" xfId="20" applyFont="1" applyFill="1" applyBorder="1" applyAlignment="1">
      <alignment horizontal="left" vertical="center" wrapText="1"/>
    </xf>
    <xf numFmtId="0" fontId="16" fillId="7" borderId="45" xfId="20" applyFont="1" applyFill="1" applyBorder="1" applyAlignment="1">
      <alignment horizontal="left" vertical="center" wrapText="1"/>
    </xf>
    <xf numFmtId="183" fontId="18" fillId="9" borderId="0" xfId="20" applyNumberFormat="1" applyFont="1" applyFill="1" applyAlignment="1">
      <alignment horizontal="left" vertical="center"/>
    </xf>
    <xf numFmtId="0" fontId="25" fillId="7" borderId="29" xfId="20" applyFont="1" applyFill="1" applyBorder="1" applyAlignment="1" applyProtection="1">
      <alignment horizontal="left" vertical="center" wrapText="1"/>
    </xf>
    <xf numFmtId="0" fontId="16" fillId="6" borderId="29" xfId="20" applyFont="1" applyFill="1" applyBorder="1" applyAlignment="1">
      <alignment horizontal="left" vertical="center" wrapText="1"/>
    </xf>
    <xf numFmtId="0" fontId="16" fillId="6" borderId="31" xfId="20" applyFont="1" applyFill="1" applyBorder="1" applyAlignment="1">
      <alignment horizontal="left" vertical="center" wrapText="1"/>
    </xf>
    <xf numFmtId="0" fontId="25" fillId="3" borderId="22" xfId="20" applyFont="1" applyFill="1" applyBorder="1" applyAlignment="1" applyProtection="1">
      <alignment horizontal="left" vertical="center" wrapText="1"/>
    </xf>
    <xf numFmtId="0" fontId="16" fillId="6" borderId="46" xfId="20" applyFont="1" applyFill="1" applyBorder="1" applyAlignment="1">
      <alignment horizontal="left" vertical="center" wrapText="1"/>
    </xf>
    <xf numFmtId="0" fontId="16" fillId="6" borderId="47" xfId="20" applyFont="1" applyFill="1" applyBorder="1" applyAlignment="1">
      <alignment horizontal="left" vertical="center" wrapText="1"/>
    </xf>
    <xf numFmtId="0" fontId="16" fillId="6" borderId="48" xfId="20" applyFont="1" applyFill="1" applyBorder="1" applyAlignment="1">
      <alignment horizontal="left" vertical="center" wrapText="1"/>
    </xf>
    <xf numFmtId="0" fontId="13" fillId="0" borderId="0" xfId="20" applyFont="1" applyAlignment="1">
      <alignment horizontal="left" vertical="center"/>
    </xf>
    <xf numFmtId="0" fontId="19" fillId="0" borderId="19" xfId="20" applyFont="1" applyBorder="1" applyAlignment="1">
      <alignment horizontal="left" vertical="center"/>
    </xf>
    <xf numFmtId="10" fontId="18" fillId="9" borderId="42" xfId="20" applyNumberFormat="1" applyFont="1" applyFill="1" applyBorder="1" applyAlignment="1">
      <alignment horizontal="left" vertical="center"/>
    </xf>
    <xf numFmtId="10" fontId="18" fillId="9" borderId="18" xfId="20" applyNumberFormat="1" applyFont="1" applyFill="1" applyBorder="1" applyAlignment="1">
      <alignment horizontal="left" vertical="center"/>
    </xf>
    <xf numFmtId="186" fontId="18" fillId="0" borderId="0" xfId="20" applyNumberFormat="1" applyFont="1" applyAlignment="1">
      <alignment horizontal="left" vertical="center"/>
    </xf>
    <xf numFmtId="186" fontId="18" fillId="0" borderId="19" xfId="20" applyNumberFormat="1" applyFont="1" applyBorder="1" applyAlignment="1">
      <alignment horizontal="left" vertical="center"/>
    </xf>
    <xf numFmtId="186" fontId="18" fillId="3" borderId="0" xfId="20" applyNumberFormat="1" applyFont="1" applyFill="1" applyAlignment="1">
      <alignment horizontal="left" vertical="center"/>
    </xf>
    <xf numFmtId="0" fontId="18" fillId="3" borderId="19" xfId="20" applyFont="1" applyFill="1" applyBorder="1" applyAlignment="1">
      <alignment horizontal="left" vertical="center"/>
    </xf>
    <xf numFmtId="186" fontId="19" fillId="0" borderId="0" xfId="20" applyNumberFormat="1" applyFont="1" applyAlignment="1">
      <alignment horizontal="left" vertical="center"/>
    </xf>
    <xf numFmtId="186" fontId="19" fillId="0" borderId="19" xfId="20" applyNumberFormat="1" applyFont="1" applyBorder="1" applyAlignment="1">
      <alignment horizontal="left" vertical="center"/>
    </xf>
    <xf numFmtId="180" fontId="18" fillId="0" borderId="18" xfId="20" applyNumberFormat="1" applyFont="1" applyBorder="1" applyAlignment="1">
      <alignment horizontal="left" vertical="center"/>
    </xf>
    <xf numFmtId="180" fontId="18" fillId="3" borderId="0" xfId="20" applyNumberFormat="1" applyFont="1" applyFill="1" applyAlignment="1">
      <alignment horizontal="left" vertical="center"/>
    </xf>
    <xf numFmtId="0" fontId="25" fillId="7" borderId="49" xfId="20" applyFont="1" applyFill="1" applyBorder="1" applyAlignment="1">
      <alignment horizontal="left" vertical="center" wrapText="1"/>
    </xf>
    <xf numFmtId="0" fontId="25" fillId="7" borderId="23" xfId="20" applyFont="1" applyFill="1" applyBorder="1" applyAlignment="1">
      <alignment horizontal="left" vertical="center" wrapText="1"/>
    </xf>
    <xf numFmtId="0" fontId="25" fillId="6" borderId="50" xfId="20" applyFont="1" applyFill="1" applyBorder="1" applyAlignment="1">
      <alignment horizontal="left" vertical="center" wrapText="1"/>
    </xf>
    <xf numFmtId="0" fontId="25" fillId="6" borderId="22" xfId="20" applyFont="1" applyFill="1" applyBorder="1" applyAlignment="1">
      <alignment horizontal="left" vertical="center" wrapText="1"/>
    </xf>
    <xf numFmtId="0" fontId="25" fillId="7" borderId="50" xfId="20" applyFont="1" applyFill="1" applyBorder="1" applyAlignment="1">
      <alignment horizontal="left" vertical="center" wrapText="1"/>
    </xf>
    <xf numFmtId="0" fontId="25" fillId="7" borderId="22" xfId="20" applyFont="1" applyFill="1" applyBorder="1" applyAlignment="1">
      <alignment horizontal="left" vertical="center" wrapText="1"/>
    </xf>
    <xf numFmtId="0" fontId="25" fillId="6" borderId="51" xfId="20" applyFont="1" applyFill="1" applyBorder="1" applyAlignment="1">
      <alignment horizontal="left" vertical="center" wrapText="1"/>
    </xf>
    <xf numFmtId="0" fontId="25" fillId="6" borderId="29" xfId="20" applyFont="1" applyFill="1" applyBorder="1" applyAlignment="1">
      <alignment horizontal="left" vertical="center" wrapText="1"/>
    </xf>
    <xf numFmtId="185" fontId="0" fillId="0" borderId="0" xfId="0" applyNumberFormat="1" applyProtection="1">
      <alignment vertical="center"/>
    </xf>
    <xf numFmtId="0" fontId="0" fillId="0" borderId="0" xfId="0" applyNumberFormat="1" applyProtection="1">
      <alignment vertical="center"/>
    </xf>
    <xf numFmtId="185" fontId="27" fillId="0" borderId="39" xfId="46" applyNumberFormat="1" applyFont="1" applyBorder="1" applyAlignment="1" applyProtection="1">
      <alignment vertical="center"/>
    </xf>
    <xf numFmtId="0" fontId="27" fillId="0" borderId="39" xfId="46" applyNumberFormat="1" applyFont="1" applyBorder="1" applyAlignment="1" applyProtection="1">
      <alignment vertical="center"/>
    </xf>
    <xf numFmtId="185" fontId="28" fillId="2" borderId="7" xfId="46" applyNumberFormat="1" applyFont="1" applyFill="1" applyBorder="1" applyAlignment="1" applyProtection="1">
      <alignment horizontal="center" vertical="center"/>
    </xf>
    <xf numFmtId="0" fontId="28" fillId="2" borderId="7" xfId="46" applyNumberFormat="1" applyFont="1" applyFill="1" applyBorder="1" applyAlignment="1" applyProtection="1">
      <alignment horizontal="center" vertical="center"/>
    </xf>
    <xf numFmtId="0" fontId="28" fillId="2" borderId="7" xfId="46" applyNumberFormat="1" applyFont="1" applyFill="1" applyBorder="1" applyAlignment="1" applyProtection="1">
      <alignment horizontal="center" vertical="center" wrapText="1"/>
    </xf>
    <xf numFmtId="0" fontId="29" fillId="2" borderId="7" xfId="46" applyNumberFormat="1" applyFont="1" applyFill="1" applyBorder="1" applyAlignment="1" applyProtection="1">
      <alignment horizontal="center" vertical="center"/>
    </xf>
    <xf numFmtId="185" fontId="28" fillId="2" borderId="7" xfId="46" applyNumberFormat="1" applyFont="1" applyFill="1" applyBorder="1" applyAlignment="1" applyProtection="1">
      <alignment horizontal="center" vertical="center" wrapText="1"/>
    </xf>
    <xf numFmtId="0" fontId="28" fillId="2" borderId="52" xfId="46" applyNumberFormat="1" applyFont="1" applyFill="1" applyBorder="1" applyAlignment="1" applyProtection="1">
      <alignment horizontal="center" vertical="center"/>
    </xf>
    <xf numFmtId="0" fontId="0" fillId="0" borderId="0" xfId="0" applyNumberFormat="1" applyFont="1" applyProtection="1">
      <alignment vertical="center"/>
    </xf>
    <xf numFmtId="0" fontId="0" fillId="0" borderId="0" xfId="0" applyAlignment="1" applyProtection="1">
      <alignment vertical="center"/>
    </xf>
    <xf numFmtId="0" fontId="0" fillId="0" borderId="0" xfId="0" applyAlignment="1" applyProtection="1">
      <alignment horizontal="center" vertical="center"/>
    </xf>
    <xf numFmtId="0" fontId="0" fillId="0" borderId="0" xfId="0" applyProtection="1">
      <alignment vertical="center"/>
    </xf>
    <xf numFmtId="0" fontId="0" fillId="2" borderId="53" xfId="0" applyFill="1" applyBorder="1" applyAlignment="1" applyProtection="1">
      <alignment horizontal="right" vertical="center"/>
    </xf>
    <xf numFmtId="0" fontId="0" fillId="2" borderId="54" xfId="0" applyFill="1" applyBorder="1" applyAlignment="1" applyProtection="1">
      <alignment horizontal="center" vertical="center"/>
    </xf>
    <xf numFmtId="0" fontId="0" fillId="2" borderId="3" xfId="0" applyFill="1" applyBorder="1" applyAlignment="1" applyProtection="1">
      <alignment horizontal="center" vertical="center"/>
    </xf>
    <xf numFmtId="180" fontId="0" fillId="2" borderId="4" xfId="0" applyNumberFormat="1" applyFill="1" applyBorder="1" applyAlignment="1" applyProtection="1">
      <alignment horizontal="center" vertical="center"/>
    </xf>
    <xf numFmtId="180" fontId="0" fillId="2" borderId="55" xfId="0" applyNumberFormat="1" applyFill="1" applyBorder="1" applyAlignment="1" applyProtection="1">
      <alignment horizontal="center" vertical="center"/>
    </xf>
    <xf numFmtId="0" fontId="0" fillId="2" borderId="6" xfId="0" applyFill="1" applyBorder="1" applyAlignment="1" applyProtection="1">
      <alignment horizontal="center" vertical="center"/>
    </xf>
    <xf numFmtId="180" fontId="0" fillId="2" borderId="7" xfId="0" applyNumberFormat="1" applyFill="1" applyBorder="1" applyAlignment="1" applyProtection="1">
      <alignment horizontal="center" vertical="center"/>
    </xf>
    <xf numFmtId="180" fontId="0" fillId="2" borderId="13" xfId="0" applyNumberFormat="1" applyFill="1" applyBorder="1" applyAlignment="1" applyProtection="1">
      <alignment horizontal="center" vertical="center"/>
    </xf>
    <xf numFmtId="0" fontId="0" fillId="2" borderId="9" xfId="0" applyFill="1" applyBorder="1" applyAlignment="1" applyProtection="1">
      <alignment horizontal="center" vertical="center"/>
    </xf>
    <xf numFmtId="180" fontId="0" fillId="2" borderId="56" xfId="0" applyNumberFormat="1" applyFill="1" applyBorder="1" applyAlignment="1" applyProtection="1">
      <alignment horizontal="center" vertical="center"/>
    </xf>
    <xf numFmtId="180" fontId="0" fillId="2" borderId="10" xfId="0" applyNumberFormat="1" applyFill="1" applyBorder="1" applyAlignment="1" applyProtection="1">
      <alignment horizontal="center" vertical="center"/>
    </xf>
    <xf numFmtId="0" fontId="30" fillId="2" borderId="3" xfId="0" applyFont="1" applyFill="1" applyBorder="1" applyAlignment="1" applyProtection="1">
      <alignment horizontal="center" vertical="center" wrapText="1"/>
    </xf>
    <xf numFmtId="0" fontId="30" fillId="2" borderId="4" xfId="0" applyFont="1" applyFill="1" applyBorder="1" applyAlignment="1" applyProtection="1">
      <alignment horizontal="center" vertical="center" wrapText="1"/>
    </xf>
    <xf numFmtId="0" fontId="30" fillId="2" borderId="6" xfId="0" applyFont="1" applyFill="1" applyBorder="1" applyAlignment="1" applyProtection="1">
      <alignment horizontal="center" vertical="center" wrapText="1"/>
    </xf>
    <xf numFmtId="0" fontId="30" fillId="2" borderId="7" xfId="0" applyFont="1" applyFill="1" applyBorder="1" applyAlignment="1" applyProtection="1">
      <alignment horizontal="center" vertical="center" wrapText="1"/>
    </xf>
    <xf numFmtId="0" fontId="30" fillId="2" borderId="57" xfId="0" applyFont="1" applyFill="1" applyBorder="1" applyAlignment="1" applyProtection="1">
      <alignment horizontal="center" vertical="center" wrapText="1"/>
    </xf>
    <xf numFmtId="0" fontId="30" fillId="2" borderId="12" xfId="0" applyFont="1" applyFill="1" applyBorder="1" applyAlignment="1" applyProtection="1">
      <alignment horizontal="center" vertical="center" wrapText="1"/>
    </xf>
    <xf numFmtId="0" fontId="0" fillId="2" borderId="7" xfId="0" applyFill="1" applyBorder="1" applyAlignment="1" applyProtection="1">
      <alignment horizontal="center" vertical="center"/>
    </xf>
    <xf numFmtId="0" fontId="31" fillId="2" borderId="39" xfId="0" applyFont="1" applyFill="1" applyBorder="1" applyAlignment="1" applyProtection="1">
      <alignment vertical="center"/>
    </xf>
    <xf numFmtId="0" fontId="31" fillId="2" borderId="0" xfId="0" applyFont="1" applyFill="1" applyBorder="1" applyAlignment="1" applyProtection="1">
      <alignment vertical="center"/>
    </xf>
    <xf numFmtId="0" fontId="30" fillId="2" borderId="13" xfId="0" applyFont="1" applyFill="1" applyBorder="1" applyAlignment="1" applyProtection="1">
      <alignment horizontal="center" vertical="center" wrapText="1"/>
    </xf>
    <xf numFmtId="0" fontId="30" fillId="2" borderId="14" xfId="0" applyFont="1" applyFill="1" applyBorder="1" applyAlignment="1" applyProtection="1">
      <alignment horizontal="center" vertical="center" wrapText="1"/>
    </xf>
    <xf numFmtId="0" fontId="30" fillId="2" borderId="0" xfId="0" applyFont="1" applyFill="1" applyBorder="1" applyAlignment="1" applyProtection="1">
      <alignment horizontal="center" vertical="center" wrapText="1"/>
    </xf>
    <xf numFmtId="0" fontId="30" fillId="2" borderId="7" xfId="0" applyFont="1" applyFill="1" applyBorder="1" applyAlignment="1" applyProtection="1">
      <alignment horizontal="center" vertical="center"/>
    </xf>
    <xf numFmtId="0" fontId="30" fillId="2" borderId="13" xfId="0" applyFont="1" applyFill="1" applyBorder="1" applyAlignment="1" applyProtection="1">
      <alignment horizontal="left" vertical="center"/>
    </xf>
    <xf numFmtId="0" fontId="30" fillId="2" borderId="14" xfId="0" applyFont="1" applyFill="1" applyBorder="1" applyAlignment="1" applyProtection="1">
      <alignment horizontal="left" vertical="center"/>
    </xf>
    <xf numFmtId="0" fontId="30" fillId="2" borderId="0" xfId="0" applyFont="1" applyFill="1" applyBorder="1" applyAlignment="1" applyProtection="1">
      <alignment vertical="center"/>
    </xf>
    <xf numFmtId="0" fontId="30" fillId="2" borderId="0" xfId="0" applyFont="1" applyFill="1" applyBorder="1" applyAlignment="1" applyProtection="1">
      <alignment horizontal="center" vertical="center"/>
    </xf>
    <xf numFmtId="0" fontId="30" fillId="0" borderId="38" xfId="0" applyFont="1" applyBorder="1" applyAlignment="1" applyProtection="1">
      <alignment vertical="center"/>
    </xf>
    <xf numFmtId="0" fontId="30" fillId="0" borderId="0" xfId="0" applyFont="1" applyBorder="1" applyAlignment="1" applyProtection="1">
      <alignment vertical="center"/>
    </xf>
    <xf numFmtId="0" fontId="30" fillId="2" borderId="58" xfId="0" applyFont="1" applyFill="1" applyBorder="1" applyAlignment="1" applyProtection="1">
      <alignment vertical="center" wrapText="1"/>
    </xf>
    <xf numFmtId="0" fontId="30" fillId="2" borderId="16" xfId="0" applyFont="1" applyFill="1" applyBorder="1" applyAlignment="1" applyProtection="1">
      <alignment vertical="center" wrapText="1"/>
    </xf>
    <xf numFmtId="0" fontId="30" fillId="2" borderId="59" xfId="0" applyFont="1" applyFill="1" applyBorder="1" applyAlignment="1" applyProtection="1">
      <alignment vertical="center" wrapText="1"/>
    </xf>
    <xf numFmtId="0" fontId="30" fillId="2" borderId="16" xfId="0" applyFont="1" applyFill="1" applyBorder="1" applyAlignment="1" applyProtection="1">
      <alignment horizontal="center" vertical="center"/>
    </xf>
    <xf numFmtId="0" fontId="30" fillId="2" borderId="0" xfId="0" applyFont="1" applyFill="1" applyAlignment="1" applyProtection="1">
      <alignment horizontal="center" vertical="center"/>
    </xf>
    <xf numFmtId="9" fontId="30" fillId="2" borderId="7" xfId="0" applyNumberFormat="1" applyFont="1" applyFill="1" applyBorder="1" applyAlignment="1" applyProtection="1">
      <alignment horizontal="center" vertical="center"/>
    </xf>
    <xf numFmtId="0" fontId="0" fillId="2" borderId="60" xfId="0" applyFill="1" applyBorder="1" applyAlignment="1" applyProtection="1">
      <alignment horizontal="center" vertical="center"/>
    </xf>
    <xf numFmtId="180" fontId="0" fillId="2" borderId="5" xfId="0" applyNumberFormat="1" applyFill="1" applyBorder="1" applyAlignment="1" applyProtection="1">
      <alignment horizontal="center" vertical="center"/>
    </xf>
    <xf numFmtId="180" fontId="0" fillId="2" borderId="8" xfId="0" applyNumberFormat="1" applyFill="1" applyBorder="1" applyAlignment="1" applyProtection="1">
      <alignment horizontal="center" vertical="center"/>
    </xf>
    <xf numFmtId="180" fontId="0" fillId="2" borderId="11" xfId="0" applyNumberFormat="1" applyFill="1" applyBorder="1" applyAlignment="1" applyProtection="1">
      <alignment horizontal="center" vertical="center"/>
    </xf>
    <xf numFmtId="0" fontId="30" fillId="2" borderId="5" xfId="0" applyFont="1" applyFill="1" applyBorder="1" applyAlignment="1" applyProtection="1">
      <alignment horizontal="center" vertical="center" wrapText="1"/>
    </xf>
    <xf numFmtId="0" fontId="30" fillId="2" borderId="8" xfId="0" applyFont="1" applyFill="1" applyBorder="1" applyAlignment="1" applyProtection="1">
      <alignment horizontal="center" vertical="center" wrapText="1"/>
    </xf>
    <xf numFmtId="0" fontId="30" fillId="2" borderId="61" xfId="0" applyFont="1" applyFill="1" applyBorder="1" applyAlignment="1" applyProtection="1">
      <alignment horizontal="center" vertical="center" wrapText="1"/>
    </xf>
    <xf numFmtId="0" fontId="1" fillId="2" borderId="0" xfId="0" applyFont="1" applyFill="1" applyProtection="1">
      <alignment vertical="center"/>
    </xf>
    <xf numFmtId="0" fontId="0" fillId="2" borderId="62" xfId="0" applyFill="1" applyBorder="1" applyProtection="1">
      <alignment vertical="center"/>
    </xf>
    <xf numFmtId="0" fontId="0" fillId="2" borderId="0" xfId="0" applyFill="1" applyAlignment="1" applyProtection="1">
      <alignment horizontal="center" vertical="center"/>
    </xf>
    <xf numFmtId="0" fontId="0" fillId="2" borderId="0" xfId="0" applyFill="1" applyProtection="1">
      <alignment vertical="center"/>
    </xf>
    <xf numFmtId="0" fontId="32" fillId="2" borderId="0" xfId="0" applyFont="1" applyFill="1" applyAlignment="1" applyProtection="1">
      <alignment horizontal="center" vertical="center"/>
    </xf>
    <xf numFmtId="0" fontId="33" fillId="2" borderId="0" xfId="0" applyFont="1" applyFill="1" applyBorder="1" applyAlignment="1" applyProtection="1">
      <alignment horizontal="left" vertical="center"/>
    </xf>
    <xf numFmtId="0" fontId="34" fillId="2" borderId="3" xfId="0" applyFont="1" applyFill="1" applyBorder="1" applyAlignment="1" applyProtection="1">
      <alignment horizontal="center" vertical="center" wrapText="1"/>
    </xf>
    <xf numFmtId="0" fontId="1" fillId="2" borderId="63" xfId="0" applyFont="1" applyFill="1" applyBorder="1" applyProtection="1">
      <alignment vertical="center"/>
    </xf>
    <xf numFmtId="0" fontId="34" fillId="2" borderId="55" xfId="0" applyFont="1" applyFill="1" applyBorder="1" applyAlignment="1" applyProtection="1">
      <alignment horizontal="center" vertical="center"/>
    </xf>
    <xf numFmtId="0" fontId="1" fillId="2" borderId="62" xfId="0" applyFont="1" applyFill="1" applyBorder="1" applyProtection="1">
      <alignment vertical="center"/>
    </xf>
    <xf numFmtId="0" fontId="34" fillId="2" borderId="9" xfId="0" applyFont="1" applyFill="1" applyBorder="1" applyAlignment="1" applyProtection="1">
      <alignment horizontal="center" vertical="center" wrapText="1"/>
    </xf>
    <xf numFmtId="0" fontId="34" fillId="2" borderId="10" xfId="0" applyFont="1" applyFill="1" applyBorder="1" applyAlignment="1" applyProtection="1">
      <alignment horizontal="center" vertical="center"/>
    </xf>
    <xf numFmtId="0" fontId="34" fillId="2" borderId="56" xfId="0" applyFont="1" applyFill="1" applyBorder="1" applyAlignment="1" applyProtection="1">
      <alignment horizontal="center" vertical="center"/>
    </xf>
    <xf numFmtId="0" fontId="35" fillId="2" borderId="53" xfId="0" applyFont="1" applyFill="1" applyBorder="1" applyAlignment="1" applyProtection="1">
      <alignment vertical="center" wrapText="1"/>
    </xf>
    <xf numFmtId="0" fontId="35" fillId="2" borderId="4" xfId="0" applyFont="1" applyFill="1" applyBorder="1" applyAlignment="1" applyProtection="1">
      <alignment horizontal="center" vertical="center" wrapText="1"/>
    </xf>
    <xf numFmtId="0" fontId="35" fillId="2" borderId="55" xfId="0" applyFont="1" applyFill="1" applyBorder="1" applyAlignment="1" applyProtection="1">
      <alignment horizontal="center" vertical="center" wrapText="1"/>
    </xf>
    <xf numFmtId="0" fontId="2" fillId="2" borderId="3" xfId="0" applyFont="1" applyFill="1" applyBorder="1" applyAlignment="1" applyProtection="1">
      <alignment horizontal="center" vertical="center"/>
    </xf>
    <xf numFmtId="0" fontId="2" fillId="2" borderId="55" xfId="0" applyFont="1" applyFill="1" applyBorder="1" applyProtection="1">
      <alignment vertical="center"/>
    </xf>
    <xf numFmtId="0" fontId="35" fillId="2" borderId="7" xfId="0" applyFont="1" applyFill="1" applyBorder="1" applyAlignment="1" applyProtection="1">
      <alignment horizontal="center" vertical="center" wrapText="1"/>
    </xf>
    <xf numFmtId="0" fontId="35" fillId="2" borderId="58" xfId="0" applyFont="1" applyFill="1" applyBorder="1" applyAlignment="1" applyProtection="1">
      <alignment horizontal="center" vertical="center" wrapText="1"/>
    </xf>
    <xf numFmtId="0" fontId="2" fillId="2" borderId="6" xfId="0" applyFont="1" applyFill="1" applyBorder="1" applyAlignment="1" applyProtection="1">
      <alignment horizontal="center" vertical="center"/>
    </xf>
    <xf numFmtId="0" fontId="2" fillId="2" borderId="13" xfId="0" applyFont="1" applyFill="1" applyBorder="1" applyProtection="1">
      <alignment vertical="center"/>
    </xf>
    <xf numFmtId="0" fontId="35" fillId="2" borderId="16" xfId="0" applyFont="1" applyFill="1" applyBorder="1" applyAlignment="1" applyProtection="1">
      <alignment horizontal="center" vertical="center" wrapText="1"/>
    </xf>
    <xf numFmtId="0" fontId="35" fillId="2" borderId="64" xfId="0" applyFont="1" applyFill="1" applyBorder="1" applyAlignment="1" applyProtection="1">
      <alignment horizontal="center" vertical="center" wrapText="1"/>
    </xf>
    <xf numFmtId="0" fontId="35" fillId="2" borderId="10" xfId="0" applyFont="1" applyFill="1" applyBorder="1" applyAlignment="1" applyProtection="1">
      <alignment horizontal="center" vertical="center" wrapText="1"/>
    </xf>
    <xf numFmtId="0" fontId="33" fillId="2" borderId="56" xfId="0" applyFont="1" applyFill="1" applyBorder="1" applyProtection="1">
      <alignment vertical="center"/>
    </xf>
    <xf numFmtId="0" fontId="35" fillId="2" borderId="13" xfId="0" applyFont="1" applyFill="1" applyBorder="1" applyAlignment="1" applyProtection="1">
      <alignment horizontal="center" vertical="center" wrapText="1"/>
    </xf>
    <xf numFmtId="0" fontId="2" fillId="2" borderId="9" xfId="0" applyFont="1" applyFill="1" applyBorder="1" applyAlignment="1" applyProtection="1">
      <alignment horizontal="center" vertical="center"/>
    </xf>
    <xf numFmtId="0" fontId="2" fillId="2" borderId="56" xfId="0" applyFont="1" applyFill="1" applyBorder="1" applyProtection="1">
      <alignment vertical="center"/>
    </xf>
    <xf numFmtId="0" fontId="33" fillId="2" borderId="13" xfId="0" applyFont="1" applyFill="1" applyBorder="1" applyProtection="1">
      <alignment vertical="center"/>
    </xf>
    <xf numFmtId="0" fontId="36" fillId="2" borderId="0" xfId="0" applyFont="1" applyFill="1" applyBorder="1" applyProtection="1">
      <alignment vertical="center"/>
    </xf>
    <xf numFmtId="0" fontId="35" fillId="2" borderId="65" xfId="0" applyFont="1" applyFill="1" applyBorder="1" applyAlignment="1" applyProtection="1">
      <alignment vertical="center" wrapText="1"/>
    </xf>
    <xf numFmtId="0" fontId="37" fillId="2" borderId="0" xfId="0" applyFont="1" applyFill="1" applyProtection="1">
      <alignment vertical="center"/>
    </xf>
    <xf numFmtId="0" fontId="36" fillId="2" borderId="0" xfId="0" applyFont="1" applyFill="1" applyProtection="1">
      <alignment vertical="center"/>
    </xf>
    <xf numFmtId="0" fontId="35" fillId="2" borderId="56" xfId="0" applyFont="1" applyFill="1" applyBorder="1" applyAlignment="1" applyProtection="1">
      <alignment horizontal="center" vertical="center" wrapText="1"/>
    </xf>
    <xf numFmtId="0" fontId="0" fillId="2" borderId="13" xfId="0" applyFill="1" applyBorder="1" applyProtection="1">
      <alignment vertical="center"/>
    </xf>
    <xf numFmtId="0" fontId="0" fillId="2" borderId="53" xfId="0" applyFill="1" applyBorder="1" applyAlignment="1" applyProtection="1">
      <alignment horizontal="center" vertical="center"/>
    </xf>
    <xf numFmtId="0" fontId="35" fillId="2" borderId="6" xfId="0" applyFont="1" applyFill="1" applyBorder="1" applyAlignment="1" applyProtection="1">
      <alignment horizontal="center" vertical="center" wrapText="1"/>
    </xf>
    <xf numFmtId="0" fontId="0" fillId="2" borderId="7" xfId="0" applyFill="1" applyBorder="1" applyProtection="1">
      <alignment vertical="center"/>
    </xf>
    <xf numFmtId="0" fontId="0" fillId="2" borderId="55" xfId="0" applyFill="1" applyBorder="1" applyProtection="1">
      <alignment vertical="center"/>
    </xf>
    <xf numFmtId="0" fontId="0" fillId="0" borderId="0" xfId="0" applyFill="1" applyProtection="1">
      <alignment vertical="center"/>
      <protection locked="0"/>
    </xf>
    <xf numFmtId="0" fontId="0" fillId="10" borderId="0" xfId="0" applyFill="1" applyProtection="1">
      <alignment vertical="center"/>
      <protection locked="0"/>
    </xf>
    <xf numFmtId="0" fontId="0" fillId="0" borderId="0" xfId="0" applyProtection="1">
      <alignment vertical="center"/>
      <protection locked="0"/>
    </xf>
    <xf numFmtId="0" fontId="0" fillId="0" borderId="0" xfId="0" applyAlignment="1" applyProtection="1">
      <alignment horizontal="center" vertical="center" wrapText="1"/>
      <protection locked="0"/>
    </xf>
    <xf numFmtId="0" fontId="21" fillId="0" borderId="0" xfId="0" applyFont="1" applyProtection="1">
      <alignment vertical="center"/>
      <protection locked="0"/>
    </xf>
    <xf numFmtId="0" fontId="23" fillId="0" borderId="0" xfId="0" applyFont="1" applyProtection="1">
      <alignment vertical="center"/>
      <protection locked="0"/>
    </xf>
    <xf numFmtId="0" fontId="23" fillId="0" borderId="0" xfId="0" applyFont="1" applyAlignment="1" applyProtection="1">
      <alignment horizontal="center" vertical="center"/>
      <protection locked="0"/>
    </xf>
    <xf numFmtId="0" fontId="38" fillId="2" borderId="0" xfId="0" applyFont="1" applyFill="1" applyProtection="1">
      <alignment vertical="center"/>
    </xf>
    <xf numFmtId="188" fontId="0" fillId="2" borderId="0" xfId="0" applyNumberFormat="1" applyFill="1" applyAlignment="1" applyProtection="1">
      <alignment horizontal="center" vertical="center" wrapText="1"/>
    </xf>
    <xf numFmtId="0" fontId="21" fillId="2" borderId="0" xfId="0" applyFont="1" applyFill="1" applyProtection="1">
      <alignment vertical="center"/>
      <protection locked="0"/>
    </xf>
    <xf numFmtId="0" fontId="23" fillId="2" borderId="0" xfId="0" applyFont="1" applyFill="1" applyProtection="1">
      <alignment vertical="center"/>
      <protection locked="0"/>
    </xf>
    <xf numFmtId="0" fontId="23" fillId="2" borderId="0" xfId="0" applyFont="1" applyFill="1" applyAlignment="1" applyProtection="1">
      <alignment horizontal="center" vertical="center"/>
      <protection locked="0"/>
    </xf>
    <xf numFmtId="0" fontId="0" fillId="2" borderId="0" xfId="0" applyFill="1" applyProtection="1">
      <alignment vertical="center"/>
      <protection locked="0"/>
    </xf>
    <xf numFmtId="0" fontId="38" fillId="2" borderId="66" xfId="0" applyFont="1" applyFill="1" applyBorder="1" applyAlignment="1" applyProtection="1">
      <alignment vertical="center"/>
    </xf>
    <xf numFmtId="188" fontId="1" fillId="2" borderId="63" xfId="0" applyNumberFormat="1" applyFont="1" applyFill="1" applyBorder="1" applyAlignment="1" applyProtection="1">
      <alignment horizontal="center" vertical="center" wrapText="1"/>
    </xf>
    <xf numFmtId="0" fontId="21" fillId="2" borderId="63" xfId="0" applyFont="1" applyFill="1" applyBorder="1" applyProtection="1">
      <alignment vertical="center"/>
    </xf>
    <xf numFmtId="0" fontId="39" fillId="2" borderId="67" xfId="0" applyFont="1" applyFill="1" applyBorder="1" applyAlignment="1" applyProtection="1">
      <alignment vertical="center"/>
    </xf>
    <xf numFmtId="0" fontId="39" fillId="2" borderId="68" xfId="0" applyFont="1" applyFill="1" applyBorder="1" applyAlignment="1" applyProtection="1">
      <alignment horizontal="center" vertical="center"/>
    </xf>
    <xf numFmtId="0" fontId="38" fillId="2" borderId="0" xfId="0" applyFont="1" applyFill="1" applyBorder="1" applyAlignment="1" applyProtection="1">
      <alignment vertical="center"/>
      <protection locked="0"/>
    </xf>
    <xf numFmtId="0" fontId="40" fillId="2" borderId="7" xfId="0" applyFont="1" applyFill="1" applyBorder="1" applyAlignment="1" applyProtection="1">
      <alignment horizontal="center" vertical="center" wrapText="1"/>
    </xf>
    <xf numFmtId="0" fontId="18" fillId="2" borderId="7" xfId="0" applyFont="1" applyFill="1" applyBorder="1" applyAlignment="1" applyProtection="1">
      <alignment horizontal="center" vertical="center" wrapText="1"/>
    </xf>
    <xf numFmtId="0" fontId="24" fillId="2" borderId="8" xfId="0" applyFont="1" applyFill="1" applyBorder="1" applyAlignment="1" applyProtection="1">
      <alignment horizontal="center" vertical="center" wrapText="1"/>
    </xf>
    <xf numFmtId="0" fontId="3" fillId="2" borderId="69" xfId="0" applyFont="1" applyFill="1" applyBorder="1" applyAlignment="1" applyProtection="1">
      <alignment horizontal="center" vertical="center" wrapText="1"/>
    </xf>
    <xf numFmtId="49" fontId="30" fillId="2" borderId="7" xfId="0" applyNumberFormat="1" applyFont="1" applyFill="1" applyBorder="1" applyAlignment="1" applyProtection="1">
      <alignment horizontal="center" vertical="center" wrapText="1"/>
    </xf>
    <xf numFmtId="0" fontId="40" fillId="3" borderId="7" xfId="0" applyFont="1" applyFill="1" applyBorder="1" applyAlignment="1" applyProtection="1">
      <alignment horizontal="center" vertical="center" wrapText="1"/>
      <protection locked="0"/>
    </xf>
    <xf numFmtId="187" fontId="18" fillId="2" borderId="7" xfId="0" applyNumberFormat="1" applyFont="1" applyFill="1" applyBorder="1" applyAlignment="1" applyProtection="1">
      <alignment horizontal="center" vertical="center" wrapText="1"/>
    </xf>
    <xf numFmtId="9" fontId="18" fillId="2" borderId="7" xfId="0" applyNumberFormat="1" applyFont="1" applyFill="1" applyBorder="1" applyAlignment="1" applyProtection="1">
      <alignment horizontal="center" vertical="center" wrapText="1"/>
    </xf>
    <xf numFmtId="10" fontId="24" fillId="2" borderId="61" xfId="0" applyNumberFormat="1" applyFont="1" applyFill="1" applyBorder="1" applyAlignment="1" applyProtection="1">
      <alignment horizontal="center" vertical="center" wrapText="1"/>
    </xf>
    <xf numFmtId="10" fontId="3" fillId="2" borderId="0" xfId="0" applyNumberFormat="1" applyFont="1" applyFill="1" applyBorder="1" applyAlignment="1" applyProtection="1">
      <alignment horizontal="center" vertical="center" wrapText="1"/>
    </xf>
    <xf numFmtId="187" fontId="23" fillId="0" borderId="7" xfId="0" applyNumberFormat="1" applyFont="1" applyBorder="1" applyAlignment="1" applyProtection="1">
      <alignment horizontal="center" vertical="center"/>
      <protection locked="0"/>
    </xf>
    <xf numFmtId="0" fontId="30" fillId="2" borderId="7" xfId="0" applyNumberFormat="1" applyFont="1" applyFill="1" applyBorder="1" applyAlignment="1" applyProtection="1">
      <alignment horizontal="center" vertical="center" wrapText="1"/>
    </xf>
    <xf numFmtId="10" fontId="24" fillId="2" borderId="70" xfId="0" applyNumberFormat="1" applyFont="1" applyFill="1" applyBorder="1" applyAlignment="1" applyProtection="1">
      <alignment vertical="center" wrapText="1"/>
    </xf>
    <xf numFmtId="10" fontId="3" fillId="2" borderId="0" xfId="0" applyNumberFormat="1" applyFont="1" applyFill="1" applyBorder="1" applyAlignment="1" applyProtection="1">
      <alignment horizontal="center" vertical="center" wrapText="1"/>
      <protection locked="0"/>
    </xf>
    <xf numFmtId="0" fontId="30" fillId="0" borderId="7" xfId="0" applyFont="1" applyFill="1" applyBorder="1" applyAlignment="1" applyProtection="1">
      <alignment horizontal="center" vertical="center" wrapText="1"/>
      <protection locked="0"/>
    </xf>
    <xf numFmtId="0" fontId="30" fillId="0" borderId="12" xfId="0" applyFont="1" applyFill="1" applyBorder="1" applyAlignment="1" applyProtection="1">
      <alignment horizontal="center" vertical="center" wrapText="1"/>
      <protection locked="0"/>
    </xf>
    <xf numFmtId="0" fontId="30" fillId="2" borderId="71" xfId="0" applyFont="1" applyFill="1" applyBorder="1" applyAlignment="1" applyProtection="1">
      <alignment horizontal="center" vertical="center" wrapText="1"/>
    </xf>
    <xf numFmtId="0" fontId="30" fillId="2" borderId="16" xfId="0" applyFont="1" applyFill="1" applyBorder="1" applyAlignment="1" applyProtection="1">
      <alignment horizontal="center" vertical="center" wrapText="1"/>
    </xf>
    <xf numFmtId="0" fontId="30" fillId="2" borderId="9" xfId="0" applyFont="1" applyFill="1" applyBorder="1" applyAlignment="1" applyProtection="1">
      <alignment horizontal="center" vertical="center" wrapText="1"/>
    </xf>
    <xf numFmtId="49" fontId="30" fillId="2" borderId="64" xfId="0" applyNumberFormat="1" applyFont="1" applyFill="1" applyBorder="1" applyAlignment="1" applyProtection="1">
      <alignment horizontal="center" vertical="center" wrapText="1"/>
    </xf>
    <xf numFmtId="9" fontId="18" fillId="2" borderId="10" xfId="0" applyNumberFormat="1" applyFont="1" applyFill="1" applyBorder="1" applyAlignment="1" applyProtection="1">
      <alignment horizontal="center" vertical="center" wrapText="1"/>
    </xf>
    <xf numFmtId="10" fontId="24" fillId="2" borderId="72" xfId="0" applyNumberFormat="1" applyFont="1" applyFill="1" applyBorder="1" applyAlignment="1" applyProtection="1">
      <alignment vertical="center" wrapText="1"/>
    </xf>
    <xf numFmtId="0" fontId="41" fillId="2" borderId="67" xfId="0" applyFont="1" applyFill="1" applyBorder="1" applyAlignment="1" applyProtection="1">
      <alignment vertical="center"/>
      <protection locked="0"/>
    </xf>
    <xf numFmtId="49" fontId="30" fillId="2" borderId="10" xfId="0" applyNumberFormat="1" applyFont="1" applyFill="1" applyBorder="1" applyAlignment="1" applyProtection="1">
      <alignment horizontal="center" vertical="center" wrapText="1"/>
    </xf>
    <xf numFmtId="10" fontId="24" fillId="2" borderId="70" xfId="0" applyNumberFormat="1" applyFont="1" applyFill="1" applyBorder="1" applyAlignment="1" applyProtection="1">
      <alignment horizontal="center" vertical="center" wrapText="1"/>
    </xf>
    <xf numFmtId="10" fontId="3" fillId="2" borderId="0" xfId="0" applyNumberFormat="1" applyFont="1" applyFill="1" applyBorder="1" applyAlignment="1" applyProtection="1">
      <alignment vertical="center" wrapText="1"/>
      <protection locked="0"/>
    </xf>
    <xf numFmtId="0" fontId="30" fillId="0" borderId="10" xfId="0" applyFont="1" applyFill="1" applyBorder="1" applyAlignment="1" applyProtection="1">
      <alignment horizontal="center" vertical="center" wrapText="1"/>
      <protection locked="0"/>
    </xf>
    <xf numFmtId="10" fontId="24" fillId="2" borderId="72" xfId="0" applyNumberFormat="1" applyFont="1" applyFill="1" applyBorder="1" applyAlignment="1" applyProtection="1">
      <alignment horizontal="center" vertical="center" wrapText="1"/>
    </xf>
    <xf numFmtId="0" fontId="30" fillId="2" borderId="10" xfId="0" applyFont="1" applyFill="1" applyBorder="1" applyAlignment="1" applyProtection="1">
      <alignment horizontal="center" vertical="center" wrapText="1"/>
    </xf>
    <xf numFmtId="0" fontId="0" fillId="10" borderId="0" xfId="0" applyFill="1" applyAlignment="1" applyProtection="1">
      <alignment horizontal="center" vertical="center" wrapText="1"/>
      <protection locked="0"/>
    </xf>
    <xf numFmtId="0" fontId="21" fillId="10" borderId="0" xfId="0" applyFont="1" applyFill="1" applyProtection="1">
      <alignment vertical="center"/>
      <protection locked="0"/>
    </xf>
    <xf numFmtId="0" fontId="23" fillId="10" borderId="0" xfId="0" applyFont="1" applyFill="1" applyProtection="1">
      <alignment vertical="center"/>
      <protection locked="0"/>
    </xf>
    <xf numFmtId="0" fontId="23" fillId="10" borderId="0" xfId="0" applyFont="1" applyFill="1" applyAlignment="1" applyProtection="1">
      <alignment horizontal="center" vertical="center"/>
      <protection locked="0"/>
    </xf>
    <xf numFmtId="0" fontId="42" fillId="2" borderId="7" xfId="0" applyNumberFormat="1" applyFont="1" applyFill="1" applyBorder="1" applyAlignment="1" applyProtection="1">
      <alignment horizontal="center" vertical="center" wrapText="1"/>
    </xf>
    <xf numFmtId="9" fontId="43" fillId="2" borderId="7" xfId="0" applyNumberFormat="1" applyFont="1" applyFill="1" applyBorder="1" applyAlignment="1" applyProtection="1">
      <alignment horizontal="center" vertical="center" wrapText="1"/>
    </xf>
    <xf numFmtId="0" fontId="43" fillId="2" borderId="7" xfId="0" applyNumberFormat="1" applyFont="1" applyFill="1" applyBorder="1" applyAlignment="1" applyProtection="1">
      <alignment horizontal="center" vertical="center" wrapText="1"/>
    </xf>
    <xf numFmtId="0" fontId="34" fillId="2" borderId="73" xfId="0" applyFont="1" applyFill="1" applyBorder="1" applyAlignment="1" applyProtection="1">
      <alignment horizontal="center" vertical="center"/>
    </xf>
    <xf numFmtId="0" fontId="34" fillId="2" borderId="53" xfId="0" applyFont="1" applyFill="1" applyBorder="1" applyAlignment="1" applyProtection="1">
      <alignment vertical="center" wrapText="1"/>
    </xf>
    <xf numFmtId="0" fontId="34" fillId="2" borderId="12" xfId="0" applyFont="1" applyFill="1" applyBorder="1" applyAlignment="1" applyProtection="1">
      <alignment horizontal="center" vertical="center"/>
    </xf>
    <xf numFmtId="10" fontId="18" fillId="0" borderId="4" xfId="0" applyNumberFormat="1" applyFont="1" applyBorder="1" applyAlignment="1">
      <alignment horizontal="center" vertical="center" wrapText="1"/>
    </xf>
    <xf numFmtId="10" fontId="18" fillId="0" borderId="5" xfId="0" applyNumberFormat="1" applyFont="1" applyBorder="1" applyAlignment="1">
      <alignment horizontal="center" vertical="center" wrapText="1"/>
    </xf>
    <xf numFmtId="10" fontId="18" fillId="0" borderId="7" xfId="0" applyNumberFormat="1" applyFont="1" applyBorder="1" applyAlignment="1">
      <alignment horizontal="center" vertical="center" wrapText="1"/>
    </xf>
    <xf numFmtId="10" fontId="18" fillId="0" borderId="8" xfId="0" applyNumberFormat="1" applyFont="1" applyBorder="1" applyAlignment="1">
      <alignment horizontal="center" vertical="center" wrapText="1"/>
    </xf>
    <xf numFmtId="10" fontId="18" fillId="0" borderId="10" xfId="0" applyNumberFormat="1" applyFont="1" applyBorder="1" applyAlignment="1">
      <alignment horizontal="center" vertical="center" wrapText="1"/>
    </xf>
    <xf numFmtId="10" fontId="0" fillId="0" borderId="18" xfId="0" applyNumberFormat="1" applyBorder="1">
      <alignment vertical="center"/>
    </xf>
    <xf numFmtId="10" fontId="0" fillId="0" borderId="74" xfId="0" applyNumberFormat="1" applyBorder="1">
      <alignment vertical="center"/>
    </xf>
    <xf numFmtId="10" fontId="0" fillId="0" borderId="75" xfId="0" applyNumberFormat="1" applyBorder="1">
      <alignment vertical="center"/>
    </xf>
    <xf numFmtId="10" fontId="0" fillId="0" borderId="0" xfId="0" applyNumberFormat="1" applyBorder="1">
      <alignment vertical="center"/>
    </xf>
    <xf numFmtId="10" fontId="18" fillId="0" borderId="11" xfId="0" applyNumberFormat="1" applyFont="1" applyBorder="1" applyAlignment="1">
      <alignment horizontal="center" vertical="center" wrapText="1"/>
    </xf>
    <xf numFmtId="0" fontId="35" fillId="2" borderId="12" xfId="0" applyFont="1" applyFill="1" applyBorder="1" applyAlignment="1" applyProtection="1">
      <alignment horizontal="center" vertical="center" wrapText="1"/>
    </xf>
    <xf numFmtId="10" fontId="18" fillId="0" borderId="12" xfId="0" applyNumberFormat="1" applyFont="1" applyBorder="1" applyAlignment="1">
      <alignment horizontal="center" vertical="center" wrapText="1"/>
    </xf>
    <xf numFmtId="0" fontId="35" fillId="2" borderId="76" xfId="0" applyFont="1" applyFill="1" applyBorder="1" applyAlignment="1" applyProtection="1">
      <alignment horizontal="center" vertical="center" wrapText="1"/>
    </xf>
    <xf numFmtId="10" fontId="0" fillId="0" borderId="77" xfId="0" applyNumberFormat="1" applyBorder="1">
      <alignment vertical="center"/>
    </xf>
    <xf numFmtId="10" fontId="18" fillId="0" borderId="78" xfId="0" applyNumberFormat="1" applyFont="1" applyBorder="1" applyAlignment="1">
      <alignment horizontal="center" vertical="center" wrapText="1"/>
    </xf>
    <xf numFmtId="0" fontId="35" fillId="2" borderId="79" xfId="0" applyFont="1" applyFill="1" applyBorder="1" applyAlignment="1" applyProtection="1">
      <alignment vertical="center" wrapText="1"/>
    </xf>
    <xf numFmtId="10" fontId="18" fillId="0" borderId="80" xfId="0" applyNumberFormat="1" applyFont="1" applyBorder="1" applyAlignment="1">
      <alignment horizontal="center" vertical="center" wrapText="1"/>
    </xf>
    <xf numFmtId="10" fontId="0" fillId="0" borderId="81" xfId="0" applyNumberFormat="1" applyBorder="1">
      <alignment vertical="center"/>
    </xf>
    <xf numFmtId="0" fontId="43" fillId="0" borderId="0" xfId="0" applyFont="1" applyAlignment="1" applyProtection="1">
      <alignment horizontal="left" vertical="center" wrapText="1"/>
    </xf>
    <xf numFmtId="0" fontId="24" fillId="10" borderId="0" xfId="0" applyFont="1" applyFill="1" applyAlignment="1" applyProtection="1">
      <alignment horizontal="left" vertical="center" wrapText="1"/>
    </xf>
    <xf numFmtId="0" fontId="24" fillId="0" borderId="0" xfId="0" applyFont="1" applyAlignment="1" applyProtection="1">
      <alignment horizontal="left" vertical="center" wrapText="1"/>
    </xf>
    <xf numFmtId="0" fontId="24" fillId="10" borderId="0" xfId="0" applyFont="1" applyFill="1" applyAlignment="1" applyProtection="1">
      <alignment horizontal="left" vertical="center" wrapText="1"/>
      <protection locked="0"/>
    </xf>
    <xf numFmtId="0" fontId="44" fillId="2" borderId="66" xfId="57" applyFont="1" applyFill="1" applyBorder="1" applyAlignment="1" applyProtection="1">
      <alignment horizontal="left" vertical="center"/>
    </xf>
    <xf numFmtId="0" fontId="45" fillId="2" borderId="67" xfId="57" applyFont="1" applyFill="1" applyBorder="1" applyAlignment="1" applyProtection="1">
      <alignment horizontal="left" vertical="center"/>
    </xf>
    <xf numFmtId="0" fontId="45" fillId="2" borderId="63" xfId="57" applyFont="1" applyFill="1" applyBorder="1" applyAlignment="1" applyProtection="1">
      <alignment horizontal="left" vertical="center"/>
    </xf>
    <xf numFmtId="0" fontId="24" fillId="2" borderId="0" xfId="0" applyFont="1" applyFill="1" applyAlignment="1" applyProtection="1">
      <alignment horizontal="left" vertical="center" wrapText="1"/>
    </xf>
    <xf numFmtId="0" fontId="45" fillId="2" borderId="7" xfId="57" applyFont="1" applyFill="1" applyBorder="1" applyAlignment="1" applyProtection="1">
      <alignment horizontal="left" vertical="center"/>
    </xf>
    <xf numFmtId="0" fontId="45" fillId="2" borderId="12" xfId="57" applyFont="1" applyFill="1" applyBorder="1" applyAlignment="1" applyProtection="1">
      <alignment horizontal="left" vertical="center"/>
    </xf>
    <xf numFmtId="0" fontId="45" fillId="2" borderId="13" xfId="57" applyFont="1" applyFill="1" applyBorder="1" applyAlignment="1" applyProtection="1">
      <alignment horizontal="left" vertical="center"/>
    </xf>
    <xf numFmtId="0" fontId="24" fillId="2" borderId="7" xfId="0" applyNumberFormat="1" applyFont="1" applyFill="1" applyBorder="1" applyAlignment="1" applyProtection="1">
      <alignment horizontal="left" vertical="center" wrapText="1"/>
    </xf>
    <xf numFmtId="0" fontId="24" fillId="3" borderId="7" xfId="0" applyNumberFormat="1" applyFont="1" applyFill="1" applyBorder="1" applyAlignment="1" applyProtection="1">
      <alignment horizontal="left" vertical="center" wrapText="1"/>
      <protection locked="0"/>
    </xf>
    <xf numFmtId="49" fontId="24" fillId="2" borderId="7" xfId="0" applyNumberFormat="1" applyFont="1" applyFill="1" applyBorder="1" applyAlignment="1" applyProtection="1">
      <alignment horizontal="left" vertical="center" wrapText="1"/>
    </xf>
    <xf numFmtId="0" fontId="24" fillId="2" borderId="14" xfId="0" applyNumberFormat="1" applyFont="1" applyFill="1" applyBorder="1" applyAlignment="1" applyProtection="1">
      <alignment horizontal="left" vertical="center" wrapText="1"/>
    </xf>
    <xf numFmtId="0" fontId="24" fillId="2" borderId="7" xfId="0" applyFont="1" applyFill="1" applyBorder="1" applyAlignment="1" applyProtection="1">
      <alignment horizontal="left" vertical="center"/>
      <protection locked="0"/>
    </xf>
    <xf numFmtId="185" fontId="43" fillId="2" borderId="7" xfId="0" applyNumberFormat="1" applyFont="1" applyFill="1" applyBorder="1" applyAlignment="1" applyProtection="1">
      <alignment horizontal="left" vertical="center" wrapText="1"/>
    </xf>
    <xf numFmtId="0" fontId="24" fillId="2" borderId="7" xfId="0" applyFont="1" applyFill="1" applyBorder="1" applyAlignment="1" applyProtection="1">
      <alignment horizontal="left" vertical="center" wrapText="1"/>
    </xf>
    <xf numFmtId="0" fontId="45" fillId="2" borderId="13" xfId="0" applyFont="1" applyFill="1" applyBorder="1" applyAlignment="1" applyProtection="1">
      <alignment horizontal="left" vertical="center" wrapText="1"/>
    </xf>
    <xf numFmtId="0" fontId="45" fillId="2" borderId="15" xfId="0" applyFont="1" applyFill="1" applyBorder="1" applyAlignment="1" applyProtection="1">
      <alignment horizontal="left" vertical="center" wrapText="1"/>
    </xf>
    <xf numFmtId="0" fontId="45" fillId="2" borderId="0" xfId="0" applyFont="1" applyFill="1" applyBorder="1" applyAlignment="1" applyProtection="1">
      <alignment horizontal="left" vertical="center" wrapText="1"/>
    </xf>
    <xf numFmtId="0" fontId="46" fillId="2" borderId="12" xfId="0" applyFont="1" applyFill="1" applyBorder="1" applyAlignment="1" applyProtection="1">
      <alignment horizontal="left" vertical="center" wrapText="1"/>
    </xf>
    <xf numFmtId="0" fontId="46" fillId="2" borderId="56" xfId="0" applyFont="1" applyFill="1" applyBorder="1" applyAlignment="1" applyProtection="1">
      <alignment horizontal="left" vertical="center"/>
    </xf>
    <xf numFmtId="0" fontId="47" fillId="2" borderId="56" xfId="0" applyFont="1" applyFill="1" applyBorder="1" applyAlignment="1" applyProtection="1">
      <alignment horizontal="left" vertical="center"/>
    </xf>
    <xf numFmtId="0" fontId="46" fillId="2" borderId="56" xfId="0" applyFont="1" applyFill="1" applyBorder="1" applyAlignment="1" applyProtection="1">
      <alignment horizontal="left" vertical="center" wrapText="1"/>
    </xf>
    <xf numFmtId="0" fontId="43" fillId="2" borderId="38" xfId="0" applyFont="1" applyFill="1" applyBorder="1" applyAlignment="1" applyProtection="1">
      <alignment horizontal="left" vertical="center" wrapText="1"/>
    </xf>
    <xf numFmtId="0" fontId="48" fillId="2" borderId="65" xfId="0" applyFont="1" applyFill="1" applyBorder="1" applyAlignment="1" applyProtection="1">
      <alignment horizontal="left" vertical="center" wrapText="1"/>
    </xf>
    <xf numFmtId="0" fontId="48" fillId="2" borderId="77" xfId="0" applyFont="1" applyFill="1" applyBorder="1" applyAlignment="1" applyProtection="1">
      <alignment horizontal="left" vertical="center" wrapText="1"/>
    </xf>
    <xf numFmtId="0" fontId="48" fillId="2" borderId="82" xfId="0" applyFont="1" applyFill="1" applyBorder="1" applyAlignment="1" applyProtection="1">
      <alignment horizontal="left" vertical="center"/>
    </xf>
    <xf numFmtId="0" fontId="19" fillId="2" borderId="82" xfId="0" applyFont="1" applyFill="1" applyBorder="1" applyAlignment="1" applyProtection="1">
      <alignment horizontal="left" vertical="center"/>
    </xf>
    <xf numFmtId="0" fontId="24" fillId="2" borderId="77" xfId="0" applyFont="1" applyFill="1" applyBorder="1" applyAlignment="1" applyProtection="1">
      <alignment horizontal="left" vertical="center" wrapText="1"/>
    </xf>
    <xf numFmtId="0" fontId="24" fillId="2" borderId="53" xfId="0" applyFont="1" applyFill="1" applyBorder="1" applyAlignment="1" applyProtection="1">
      <alignment horizontal="left" vertical="center" wrapText="1"/>
    </xf>
    <xf numFmtId="0" fontId="48" fillId="2" borderId="4" xfId="0" applyFont="1" applyFill="1" applyBorder="1" applyAlignment="1" applyProtection="1">
      <alignment horizontal="left" vertical="center" wrapText="1"/>
    </xf>
    <xf numFmtId="0" fontId="48" fillId="2" borderId="55" xfId="0" applyNumberFormat="1" applyFont="1" applyFill="1" applyBorder="1" applyAlignment="1" applyProtection="1">
      <alignment horizontal="left" vertical="center" wrapText="1"/>
    </xf>
    <xf numFmtId="0" fontId="24" fillId="2" borderId="4" xfId="0" applyFont="1" applyFill="1" applyBorder="1" applyAlignment="1" applyProtection="1">
      <alignment horizontal="left" vertical="center" wrapText="1"/>
    </xf>
    <xf numFmtId="0" fontId="24" fillId="0" borderId="4" xfId="0" applyFont="1" applyFill="1" applyBorder="1" applyAlignment="1" applyProtection="1">
      <alignment horizontal="left" vertical="center" wrapText="1"/>
      <protection locked="0"/>
    </xf>
    <xf numFmtId="0" fontId="24" fillId="2" borderId="63" xfId="0" applyFont="1" applyFill="1" applyBorder="1" applyAlignment="1" applyProtection="1">
      <alignment horizontal="left" vertical="center" wrapText="1"/>
    </xf>
    <xf numFmtId="0" fontId="24" fillId="2" borderId="79" xfId="0" applyFont="1" applyFill="1" applyBorder="1" applyAlignment="1" applyProtection="1">
      <alignment horizontal="left" vertical="center" wrapText="1"/>
    </xf>
    <xf numFmtId="0" fontId="24" fillId="3" borderId="7" xfId="0" applyFont="1" applyFill="1" applyBorder="1" applyAlignment="1" applyProtection="1">
      <alignment horizontal="left" vertical="center" wrapText="1"/>
      <protection locked="0"/>
    </xf>
    <xf numFmtId="0" fontId="24" fillId="2" borderId="16" xfId="0" applyFont="1" applyFill="1" applyBorder="1" applyAlignment="1" applyProtection="1">
      <alignment horizontal="left" vertical="center" wrapText="1"/>
    </xf>
    <xf numFmtId="0" fontId="24" fillId="2" borderId="58" xfId="0" applyFont="1" applyFill="1" applyBorder="1" applyAlignment="1" applyProtection="1">
      <alignment horizontal="left" vertical="center" wrapText="1"/>
    </xf>
    <xf numFmtId="0" fontId="24" fillId="2" borderId="13" xfId="0" applyFont="1" applyFill="1" applyBorder="1" applyAlignment="1" applyProtection="1">
      <alignment horizontal="left" vertical="center"/>
    </xf>
    <xf numFmtId="0" fontId="24" fillId="2" borderId="15" xfId="0" applyFont="1" applyFill="1" applyBorder="1" applyAlignment="1" applyProtection="1">
      <alignment horizontal="left" vertical="center" wrapText="1"/>
    </xf>
    <xf numFmtId="9" fontId="24" fillId="2" borderId="7" xfId="0" applyNumberFormat="1" applyFont="1" applyFill="1" applyBorder="1" applyAlignment="1" applyProtection="1">
      <alignment horizontal="left" vertical="center" wrapText="1"/>
    </xf>
    <xf numFmtId="0" fontId="24" fillId="2" borderId="12" xfId="0" applyFont="1" applyFill="1" applyBorder="1" applyAlignment="1" applyProtection="1">
      <alignment horizontal="left" vertical="center" wrapText="1"/>
    </xf>
    <xf numFmtId="0" fontId="24" fillId="2" borderId="83" xfId="0" applyFont="1" applyFill="1" applyBorder="1" applyAlignment="1" applyProtection="1">
      <alignment horizontal="left" vertical="center"/>
    </xf>
    <xf numFmtId="0" fontId="24" fillId="2" borderId="38" xfId="0" applyFont="1" applyFill="1" applyBorder="1" applyAlignment="1" applyProtection="1">
      <alignment horizontal="left" vertical="center" wrapText="1"/>
    </xf>
    <xf numFmtId="0" fontId="48" fillId="2" borderId="54" xfId="0" applyFont="1" applyFill="1" applyBorder="1" applyAlignment="1" applyProtection="1">
      <alignment horizontal="left" vertical="center" wrapText="1"/>
    </xf>
    <xf numFmtId="0" fontId="24" fillId="2" borderId="55" xfId="0" applyFont="1" applyFill="1" applyBorder="1" applyAlignment="1" applyProtection="1">
      <alignment horizontal="left" vertical="center"/>
    </xf>
    <xf numFmtId="0" fontId="24" fillId="2" borderId="67" xfId="0" applyFont="1" applyFill="1" applyBorder="1" applyAlignment="1" applyProtection="1">
      <alignment horizontal="left" vertical="center" wrapText="1"/>
    </xf>
    <xf numFmtId="0" fontId="23" fillId="2" borderId="62" xfId="0" applyFont="1" applyFill="1" applyBorder="1" applyAlignment="1" applyProtection="1">
      <alignment horizontal="left" vertical="center" wrapText="1"/>
    </xf>
    <xf numFmtId="0" fontId="18" fillId="2" borderId="12" xfId="0" applyFont="1" applyFill="1" applyBorder="1" applyAlignment="1" applyProtection="1">
      <alignment horizontal="left" vertical="center" wrapText="1"/>
    </xf>
    <xf numFmtId="0" fontId="18" fillId="2" borderId="14" xfId="0" applyFont="1" applyFill="1" applyBorder="1" applyAlignment="1" applyProtection="1">
      <alignment horizontal="left" vertical="center" wrapText="1"/>
    </xf>
    <xf numFmtId="0" fontId="18" fillId="2" borderId="16" xfId="0" applyFont="1" applyFill="1" applyBorder="1" applyAlignment="1" applyProtection="1">
      <alignment horizontal="left" vertical="center" wrapText="1"/>
    </xf>
    <xf numFmtId="0" fontId="49" fillId="2" borderId="16" xfId="0" applyFont="1" applyFill="1" applyBorder="1" applyAlignment="1" applyProtection="1">
      <alignment horizontal="left" vertical="center" wrapText="1"/>
    </xf>
    <xf numFmtId="0" fontId="24" fillId="0" borderId="7" xfId="0" applyFont="1" applyFill="1" applyBorder="1" applyAlignment="1" applyProtection="1">
      <alignment horizontal="left" vertical="center"/>
      <protection locked="0"/>
    </xf>
    <xf numFmtId="0" fontId="18" fillId="3" borderId="14" xfId="0" applyFont="1" applyFill="1" applyBorder="1" applyAlignment="1" applyProtection="1">
      <alignment horizontal="left" vertical="center" wrapText="1"/>
      <protection locked="0"/>
    </xf>
    <xf numFmtId="0" fontId="18" fillId="3" borderId="7" xfId="0" applyFont="1" applyFill="1" applyBorder="1" applyAlignment="1" applyProtection="1">
      <alignment horizontal="left" vertical="center" wrapText="1"/>
      <protection locked="0"/>
    </xf>
    <xf numFmtId="0" fontId="18" fillId="3" borderId="16" xfId="0" applyFont="1" applyFill="1" applyBorder="1" applyAlignment="1" applyProtection="1">
      <alignment horizontal="left" vertical="center" wrapText="1"/>
      <protection locked="0"/>
    </xf>
    <xf numFmtId="0" fontId="50" fillId="2" borderId="58" xfId="0" applyFont="1" applyFill="1" applyBorder="1" applyAlignment="1" applyProtection="1">
      <alignment horizontal="left" vertical="center"/>
    </xf>
    <xf numFmtId="0" fontId="24" fillId="2" borderId="0" xfId="0" applyFont="1" applyFill="1" applyBorder="1" applyAlignment="1" applyProtection="1">
      <alignment horizontal="left" vertical="center" wrapText="1"/>
    </xf>
    <xf numFmtId="0" fontId="23" fillId="2" borderId="84" xfId="0" applyFont="1" applyFill="1" applyBorder="1" applyAlignment="1" applyProtection="1">
      <alignment horizontal="left" vertical="center" wrapText="1"/>
    </xf>
    <xf numFmtId="0" fontId="18" fillId="2" borderId="64" xfId="0" applyFont="1" applyFill="1" applyBorder="1" applyAlignment="1" applyProtection="1">
      <alignment horizontal="left" vertical="center" wrapText="1"/>
    </xf>
    <xf numFmtId="0" fontId="24" fillId="2" borderId="10" xfId="0" applyFont="1" applyFill="1" applyBorder="1" applyAlignment="1" applyProtection="1">
      <alignment horizontal="left" vertical="center" wrapText="1"/>
    </xf>
    <xf numFmtId="0" fontId="24" fillId="0" borderId="10" xfId="0" applyFont="1" applyFill="1" applyBorder="1" applyAlignment="1" applyProtection="1">
      <alignment horizontal="left" vertical="center" wrapText="1"/>
      <protection locked="0"/>
    </xf>
    <xf numFmtId="0" fontId="24" fillId="2" borderId="85" xfId="0" applyFont="1" applyFill="1" applyBorder="1" applyAlignment="1" applyProtection="1">
      <alignment horizontal="left" vertical="center" wrapText="1"/>
    </xf>
    <xf numFmtId="0" fontId="48" fillId="2" borderId="3" xfId="0" applyFont="1" applyFill="1" applyBorder="1" applyAlignment="1" applyProtection="1">
      <alignment horizontal="left" vertical="center" wrapText="1"/>
    </xf>
    <xf numFmtId="0" fontId="24" fillId="2" borderId="73" xfId="0" applyFont="1" applyFill="1" applyBorder="1" applyAlignment="1" applyProtection="1">
      <alignment horizontal="left" vertical="center" wrapText="1"/>
    </xf>
    <xf numFmtId="0" fontId="24" fillId="2" borderId="86" xfId="0" applyFont="1" applyFill="1" applyBorder="1" applyAlignment="1" applyProtection="1">
      <alignment horizontal="left" vertical="center" wrapText="1"/>
    </xf>
    <xf numFmtId="0" fontId="24" fillId="3" borderId="4" xfId="0" applyFont="1" applyFill="1" applyBorder="1" applyAlignment="1" applyProtection="1">
      <alignment horizontal="left" vertical="center" wrapText="1"/>
      <protection locked="0"/>
    </xf>
    <xf numFmtId="0" fontId="24" fillId="2" borderId="62" xfId="0" applyFont="1" applyFill="1" applyBorder="1" applyAlignment="1" applyProtection="1">
      <alignment horizontal="left" vertical="center" wrapText="1"/>
    </xf>
    <xf numFmtId="0" fontId="24" fillId="2" borderId="9" xfId="0" applyFont="1" applyFill="1" applyBorder="1" applyAlignment="1" applyProtection="1">
      <alignment horizontal="left" vertical="center"/>
    </xf>
    <xf numFmtId="0" fontId="24" fillId="2" borderId="64" xfId="0" applyFont="1" applyFill="1" applyBorder="1" applyAlignment="1" applyProtection="1">
      <alignment horizontal="left" vertical="center" wrapText="1"/>
    </xf>
    <xf numFmtId="0" fontId="24" fillId="2" borderId="56" xfId="0" applyFont="1" applyFill="1" applyBorder="1" applyAlignment="1" applyProtection="1">
      <alignment horizontal="left" vertical="center" wrapText="1"/>
    </xf>
    <xf numFmtId="0" fontId="24" fillId="3" borderId="10" xfId="0" applyFont="1" applyFill="1" applyBorder="1" applyAlignment="1" applyProtection="1">
      <alignment horizontal="left" vertical="center" wrapText="1"/>
      <protection locked="0"/>
    </xf>
    <xf numFmtId="0" fontId="24" fillId="2" borderId="87" xfId="0" applyFont="1" applyFill="1" applyBorder="1" applyAlignment="1" applyProtection="1">
      <alignment horizontal="left" vertical="center" wrapText="1"/>
    </xf>
    <xf numFmtId="0" fontId="46" fillId="2" borderId="65" xfId="0" applyFont="1" applyFill="1" applyBorder="1" applyAlignment="1" applyProtection="1">
      <alignment horizontal="left" vertical="center" wrapText="1"/>
    </xf>
    <xf numFmtId="0" fontId="46" fillId="2" borderId="64" xfId="0" applyFont="1" applyFill="1" applyBorder="1" applyAlignment="1" applyProtection="1">
      <alignment horizontal="left" vertical="center" wrapText="1"/>
    </xf>
    <xf numFmtId="0" fontId="46" fillId="2" borderId="88" xfId="0" applyFont="1" applyFill="1" applyBorder="1" applyAlignment="1" applyProtection="1">
      <alignment horizontal="left" vertical="center" wrapText="1"/>
    </xf>
    <xf numFmtId="0" fontId="24" fillId="2" borderId="88" xfId="0" applyFont="1" applyFill="1" applyBorder="1" applyAlignment="1" applyProtection="1">
      <alignment horizontal="left" vertical="center"/>
    </xf>
    <xf numFmtId="0" fontId="43" fillId="2" borderId="18" xfId="0" applyFont="1" applyFill="1" applyBorder="1" applyAlignment="1" applyProtection="1">
      <alignment horizontal="left" vertical="center" wrapText="1"/>
    </xf>
    <xf numFmtId="0" fontId="46" fillId="2" borderId="76" xfId="0" applyFont="1" applyFill="1" applyBorder="1" applyAlignment="1" applyProtection="1">
      <alignment horizontal="left" vertical="center" wrapText="1"/>
    </xf>
    <xf numFmtId="188" fontId="46" fillId="2" borderId="76" xfId="0" applyNumberFormat="1" applyFont="1" applyFill="1" applyBorder="1" applyAlignment="1" applyProtection="1">
      <alignment horizontal="left" vertical="center" wrapText="1"/>
    </xf>
    <xf numFmtId="0" fontId="43" fillId="2" borderId="76" xfId="0" applyFont="1" applyFill="1" applyBorder="1" applyAlignment="1" applyProtection="1">
      <alignment horizontal="left" vertical="center" wrapText="1"/>
    </xf>
    <xf numFmtId="14" fontId="43" fillId="2" borderId="76" xfId="0" applyNumberFormat="1" applyFont="1" applyFill="1" applyBorder="1" applyAlignment="1" applyProtection="1">
      <alignment horizontal="left" vertical="center" wrapText="1"/>
    </xf>
    <xf numFmtId="14" fontId="43" fillId="2" borderId="77" xfId="0" applyNumberFormat="1" applyFont="1" applyFill="1" applyBorder="1" applyAlignment="1" applyProtection="1">
      <alignment horizontal="left" vertical="center" wrapText="1"/>
    </xf>
    <xf numFmtId="0" fontId="43" fillId="3" borderId="76" xfId="51" applyFont="1" applyFill="1" applyBorder="1" applyAlignment="1" applyProtection="1">
      <alignment horizontal="left" vertical="center" wrapText="1"/>
      <protection locked="0"/>
    </xf>
    <xf numFmtId="0" fontId="46" fillId="2" borderId="53" xfId="0" applyFont="1" applyFill="1" applyBorder="1" applyAlignment="1" applyProtection="1">
      <alignment horizontal="left" vertical="center" wrapText="1"/>
    </xf>
    <xf numFmtId="0" fontId="46" fillId="2" borderId="54" xfId="0" applyFont="1" applyFill="1" applyBorder="1" applyAlignment="1" applyProtection="1">
      <alignment horizontal="left" vertical="center" wrapText="1"/>
    </xf>
    <xf numFmtId="188" fontId="46" fillId="2" borderId="54" xfId="0" applyNumberFormat="1" applyFont="1" applyFill="1" applyBorder="1" applyAlignment="1" applyProtection="1">
      <alignment horizontal="left" vertical="center" wrapText="1"/>
    </xf>
    <xf numFmtId="0" fontId="24" fillId="2" borderId="54" xfId="0" applyFont="1" applyFill="1" applyBorder="1" applyAlignment="1" applyProtection="1">
      <alignment horizontal="left" vertical="center" wrapText="1"/>
    </xf>
    <xf numFmtId="10" fontId="24" fillId="2" borderId="54" xfId="0" applyNumberFormat="1" applyFont="1" applyFill="1" applyBorder="1" applyAlignment="1" applyProtection="1">
      <alignment horizontal="left" vertical="center" wrapText="1"/>
    </xf>
    <xf numFmtId="10" fontId="18" fillId="2" borderId="54" xfId="0" applyNumberFormat="1" applyFont="1" applyFill="1" applyBorder="1" applyAlignment="1" applyProtection="1">
      <alignment horizontal="left" vertical="center" wrapText="1"/>
    </xf>
    <xf numFmtId="0" fontId="46" fillId="2" borderId="3" xfId="0" applyFont="1" applyFill="1" applyBorder="1" applyAlignment="1" applyProtection="1">
      <alignment horizontal="left" vertical="center" wrapText="1"/>
    </xf>
    <xf numFmtId="0" fontId="46" fillId="3" borderId="4" xfId="0" applyFont="1" applyFill="1" applyBorder="1" applyAlignment="1" applyProtection="1">
      <alignment horizontal="left" vertical="center" wrapText="1"/>
      <protection locked="0"/>
    </xf>
    <xf numFmtId="0" fontId="43" fillId="2" borderId="4" xfId="0" applyFont="1" applyFill="1" applyBorder="1" applyAlignment="1" applyProtection="1">
      <alignment horizontal="left" vertical="center" wrapText="1"/>
    </xf>
    <xf numFmtId="0" fontId="43" fillId="2" borderId="63" xfId="0" applyFont="1" applyFill="1" applyBorder="1" applyAlignment="1" applyProtection="1">
      <alignment horizontal="left" vertical="center" wrapText="1"/>
    </xf>
    <xf numFmtId="0" fontId="43" fillId="2" borderId="57" xfId="0" applyFont="1" applyFill="1" applyBorder="1" applyAlignment="1" applyProtection="1">
      <alignment horizontal="left" vertical="center" wrapText="1"/>
    </xf>
    <xf numFmtId="0" fontId="43" fillId="2" borderId="7" xfId="0" applyFont="1" applyFill="1" applyBorder="1" applyAlignment="1" applyProtection="1">
      <alignment horizontal="left" vertical="center" wrapText="1"/>
    </xf>
    <xf numFmtId="0" fontId="46" fillId="2" borderId="16" xfId="0" applyFont="1" applyFill="1" applyBorder="1" applyAlignment="1" applyProtection="1">
      <alignment horizontal="left" vertical="center" wrapText="1"/>
    </xf>
    <xf numFmtId="188" fontId="24" fillId="2" borderId="52" xfId="0" applyNumberFormat="1" applyFont="1" applyFill="1" applyBorder="1" applyAlignment="1" applyProtection="1">
      <alignment horizontal="left" vertical="center" wrapText="1"/>
    </xf>
    <xf numFmtId="188" fontId="24" fillId="2" borderId="69" xfId="0" applyNumberFormat="1" applyFont="1" applyFill="1" applyBorder="1" applyAlignment="1" applyProtection="1">
      <alignment horizontal="left" vertical="center" wrapText="1"/>
    </xf>
    <xf numFmtId="0" fontId="24" fillId="2" borderId="14" xfId="0" applyFont="1" applyFill="1" applyBorder="1" applyAlignment="1" applyProtection="1">
      <alignment horizontal="left" vertical="center" wrapText="1"/>
    </xf>
    <xf numFmtId="0" fontId="46" fillId="2" borderId="9" xfId="0" applyFont="1" applyFill="1" applyBorder="1" applyAlignment="1" applyProtection="1">
      <alignment horizontal="left" vertical="center" wrapText="1"/>
    </xf>
    <xf numFmtId="0" fontId="46" fillId="2" borderId="10" xfId="0" applyFont="1" applyFill="1" applyBorder="1" applyAlignment="1" applyProtection="1">
      <alignment horizontal="left" vertical="center" wrapText="1"/>
    </xf>
    <xf numFmtId="188" fontId="46" fillId="2" borderId="10" xfId="0" applyNumberFormat="1" applyFont="1" applyFill="1" applyBorder="1" applyAlignment="1" applyProtection="1">
      <alignment horizontal="left" vertical="center" wrapText="1"/>
    </xf>
    <xf numFmtId="0" fontId="24" fillId="2" borderId="89" xfId="0" applyFont="1" applyFill="1" applyBorder="1" applyAlignment="1" applyProtection="1">
      <alignment horizontal="left" vertical="center"/>
    </xf>
    <xf numFmtId="0" fontId="43" fillId="2" borderId="10" xfId="0" applyFont="1" applyFill="1" applyBorder="1" applyAlignment="1" applyProtection="1">
      <alignment horizontal="left" vertical="center" wrapText="1"/>
    </xf>
    <xf numFmtId="0" fontId="46" fillId="2" borderId="55" xfId="0" applyFont="1" applyFill="1" applyBorder="1" applyAlignment="1" applyProtection="1">
      <alignment horizontal="left" vertical="center" wrapText="1"/>
    </xf>
    <xf numFmtId="0" fontId="48" fillId="2" borderId="67" xfId="0" applyFont="1" applyFill="1" applyBorder="1" applyAlignment="1" applyProtection="1">
      <alignment horizontal="left" vertical="center" wrapText="1"/>
    </xf>
    <xf numFmtId="0" fontId="48" fillId="2" borderId="63" xfId="0" applyFont="1" applyFill="1" applyBorder="1" applyAlignment="1" applyProtection="1">
      <alignment horizontal="left" vertical="center" wrapText="1"/>
    </xf>
    <xf numFmtId="0" fontId="46" fillId="2" borderId="79" xfId="0" applyFont="1" applyFill="1" applyBorder="1" applyAlignment="1" applyProtection="1">
      <alignment horizontal="left" vertical="center" wrapText="1"/>
    </xf>
    <xf numFmtId="0" fontId="48" fillId="11" borderId="7" xfId="0" applyFont="1" applyFill="1" applyBorder="1" applyAlignment="1" applyProtection="1">
      <alignment horizontal="left" vertical="center" wrapText="1"/>
    </xf>
    <xf numFmtId="0" fontId="24" fillId="2" borderId="69" xfId="0" applyFont="1" applyFill="1" applyBorder="1" applyAlignment="1" applyProtection="1">
      <alignment horizontal="left" vertical="center" wrapText="1"/>
    </xf>
    <xf numFmtId="0" fontId="48" fillId="2" borderId="0" xfId="0" applyFont="1" applyFill="1" applyBorder="1" applyAlignment="1" applyProtection="1">
      <alignment horizontal="left" vertical="center" wrapText="1"/>
    </xf>
    <xf numFmtId="0" fontId="43" fillId="2" borderId="0" xfId="0" applyFont="1" applyFill="1" applyBorder="1" applyAlignment="1" applyProtection="1">
      <alignment horizontal="left" vertical="center" wrapText="1"/>
    </xf>
    <xf numFmtId="0" fontId="48" fillId="2" borderId="52" xfId="0" applyFont="1" applyFill="1" applyBorder="1" applyAlignment="1" applyProtection="1">
      <alignment horizontal="left" vertical="center" wrapText="1"/>
    </xf>
    <xf numFmtId="0" fontId="24" fillId="2" borderId="88" xfId="0" applyFont="1" applyFill="1" applyBorder="1" applyAlignment="1" applyProtection="1">
      <alignment horizontal="left" vertical="center" wrapText="1"/>
    </xf>
    <xf numFmtId="0" fontId="24" fillId="2" borderId="18" xfId="0" applyFont="1" applyFill="1" applyBorder="1" applyAlignment="1" applyProtection="1">
      <alignment horizontal="left" vertical="center" wrapText="1"/>
    </xf>
    <xf numFmtId="0" fontId="48" fillId="2" borderId="18" xfId="0" applyFont="1" applyFill="1" applyBorder="1" applyAlignment="1" applyProtection="1">
      <alignment horizontal="left" vertical="center" wrapText="1"/>
    </xf>
    <xf numFmtId="0" fontId="48" fillId="2" borderId="90" xfId="0" applyFont="1" applyFill="1" applyBorder="1" applyAlignment="1" applyProtection="1">
      <alignment horizontal="left" vertical="center" wrapText="1"/>
    </xf>
    <xf numFmtId="0" fontId="46" fillId="2" borderId="4" xfId="0" applyFont="1" applyFill="1" applyBorder="1" applyAlignment="1" applyProtection="1">
      <alignment horizontal="left" vertical="center" wrapText="1"/>
    </xf>
    <xf numFmtId="0" fontId="48" fillId="2" borderId="55" xfId="0" applyFont="1" applyFill="1" applyBorder="1" applyAlignment="1" applyProtection="1">
      <alignment horizontal="left" vertical="center" wrapText="1"/>
    </xf>
    <xf numFmtId="0" fontId="48" fillId="2" borderId="7" xfId="0" applyFont="1" applyFill="1" applyBorder="1" applyAlignment="1" applyProtection="1">
      <alignment horizontal="left" vertical="center" wrapText="1"/>
    </xf>
    <xf numFmtId="0" fontId="24" fillId="0" borderId="7" xfId="0" applyFont="1" applyBorder="1" applyAlignment="1" applyProtection="1">
      <alignment horizontal="left" vertical="center" wrapText="1"/>
      <protection locked="0"/>
    </xf>
    <xf numFmtId="0" fontId="18" fillId="2" borderId="7" xfId="0" applyFont="1" applyFill="1" applyBorder="1" applyAlignment="1" applyProtection="1">
      <alignment horizontal="left" vertical="center"/>
    </xf>
    <xf numFmtId="0" fontId="18" fillId="2" borderId="13" xfId="0" applyFont="1" applyFill="1" applyBorder="1" applyAlignment="1" applyProtection="1">
      <alignment horizontal="left" vertical="center"/>
    </xf>
    <xf numFmtId="0" fontId="18" fillId="2" borderId="15" xfId="0" applyFont="1" applyFill="1" applyBorder="1" applyAlignment="1" applyProtection="1">
      <alignment horizontal="left" vertical="center"/>
    </xf>
    <xf numFmtId="0" fontId="48" fillId="2" borderId="84" xfId="0" applyFont="1" applyFill="1" applyBorder="1" applyAlignment="1" applyProtection="1">
      <alignment horizontal="left" vertical="center" wrapText="1"/>
    </xf>
    <xf numFmtId="0" fontId="24" fillId="0" borderId="10" xfId="0" applyFont="1" applyBorder="1" applyAlignment="1" applyProtection="1">
      <alignment horizontal="left" vertical="center" wrapText="1"/>
      <protection locked="0"/>
    </xf>
    <xf numFmtId="0" fontId="24" fillId="2" borderId="10" xfId="0" applyFont="1" applyFill="1" applyBorder="1" applyAlignment="1" applyProtection="1">
      <alignment horizontal="left" vertical="center"/>
    </xf>
    <xf numFmtId="0" fontId="24" fillId="2" borderId="89" xfId="0" applyFont="1" applyFill="1" applyBorder="1" applyAlignment="1" applyProtection="1">
      <alignment horizontal="left" vertical="center" wrapText="1"/>
    </xf>
    <xf numFmtId="0" fontId="48" fillId="2" borderId="53" xfId="0" applyFont="1" applyFill="1" applyBorder="1" applyAlignment="1" applyProtection="1">
      <alignment horizontal="left" vertical="center" wrapText="1"/>
    </xf>
    <xf numFmtId="0" fontId="48" fillId="2" borderId="86" xfId="0" applyFont="1" applyFill="1" applyBorder="1" applyAlignment="1" applyProtection="1">
      <alignment horizontal="left" vertical="center" wrapText="1"/>
    </xf>
    <xf numFmtId="0" fontId="24" fillId="2" borderId="67" xfId="0" applyFont="1" applyFill="1" applyBorder="1" applyAlignment="1" applyProtection="1">
      <alignment horizontal="left" vertical="center"/>
    </xf>
    <xf numFmtId="0" fontId="48" fillId="2" borderId="59" xfId="0" applyFont="1" applyFill="1" applyBorder="1" applyAlignment="1" applyProtection="1">
      <alignment horizontal="left" vertical="center" wrapText="1"/>
    </xf>
    <xf numFmtId="0" fontId="46" fillId="2" borderId="14" xfId="0" applyFont="1" applyFill="1" applyBorder="1" applyAlignment="1" applyProtection="1">
      <alignment horizontal="left" vertical="center" wrapText="1"/>
    </xf>
    <xf numFmtId="0" fontId="46" fillId="2" borderId="7" xfId="0" applyFont="1" applyFill="1" applyBorder="1" applyAlignment="1" applyProtection="1">
      <alignment horizontal="left" vertical="center" wrapText="1"/>
    </xf>
    <xf numFmtId="0" fontId="51" fillId="2" borderId="12" xfId="0" applyFont="1" applyFill="1" applyBorder="1" applyAlignment="1" applyProtection="1">
      <alignment horizontal="left" vertical="center" wrapText="1"/>
    </xf>
    <xf numFmtId="0" fontId="18" fillId="2" borderId="59" xfId="0" applyFont="1" applyFill="1" applyBorder="1" applyAlignment="1" applyProtection="1">
      <alignment horizontal="left" vertical="center" wrapText="1"/>
    </xf>
    <xf numFmtId="0" fontId="51" fillId="2" borderId="52" xfId="0" applyFont="1" applyFill="1" applyBorder="1" applyAlignment="1" applyProtection="1">
      <alignment horizontal="left" vertical="center" wrapText="1"/>
    </xf>
    <xf numFmtId="0" fontId="51" fillId="2" borderId="16" xfId="0" applyFont="1" applyFill="1" applyBorder="1" applyAlignment="1" applyProtection="1">
      <alignment horizontal="left" vertical="center" wrapText="1"/>
    </xf>
    <xf numFmtId="0" fontId="48" fillId="2" borderId="79" xfId="0" applyFont="1" applyFill="1" applyBorder="1" applyAlignment="1" applyProtection="1">
      <alignment horizontal="left" vertical="center" wrapText="1"/>
    </xf>
    <xf numFmtId="0" fontId="18" fillId="2" borderId="87" xfId="0" applyFont="1" applyFill="1" applyBorder="1" applyAlignment="1" applyProtection="1">
      <alignment horizontal="left" vertical="center" wrapText="1"/>
    </xf>
    <xf numFmtId="0" fontId="48" fillId="2" borderId="10" xfId="0" applyFont="1" applyFill="1" applyBorder="1" applyAlignment="1" applyProtection="1">
      <alignment horizontal="left" vertical="center" wrapText="1"/>
    </xf>
    <xf numFmtId="0" fontId="3" fillId="2" borderId="7" xfId="0" applyFont="1" applyFill="1" applyBorder="1" applyAlignment="1" applyProtection="1">
      <alignment horizontal="left" vertical="center" wrapText="1"/>
    </xf>
    <xf numFmtId="187" fontId="18" fillId="2" borderId="7" xfId="0" applyNumberFormat="1" applyFont="1" applyFill="1" applyBorder="1" applyAlignment="1" applyProtection="1">
      <alignment horizontal="left" vertical="center" wrapText="1"/>
    </xf>
    <xf numFmtId="0" fontId="24" fillId="0" borderId="7" xfId="0" applyFont="1" applyFill="1" applyBorder="1" applyAlignment="1" applyProtection="1">
      <alignment horizontal="left" vertical="center" wrapText="1"/>
      <protection locked="0"/>
    </xf>
    <xf numFmtId="0" fontId="24" fillId="0" borderId="0" xfId="0" applyFont="1" applyFill="1" applyAlignment="1" applyProtection="1">
      <alignment horizontal="left" vertical="center" wrapText="1"/>
      <protection locked="0"/>
    </xf>
    <xf numFmtId="0" fontId="39" fillId="2" borderId="0" xfId="0" applyFont="1" applyFill="1" applyAlignment="1" applyProtection="1">
      <alignment horizontal="left" vertical="center"/>
    </xf>
    <xf numFmtId="188" fontId="23" fillId="2" borderId="0" xfId="0" applyNumberFormat="1" applyFont="1" applyFill="1" applyAlignment="1" applyProtection="1">
      <alignment horizontal="left" vertical="center" wrapText="1"/>
    </xf>
    <xf numFmtId="0" fontId="23" fillId="2" borderId="0" xfId="0" applyFont="1" applyFill="1" applyAlignment="1" applyProtection="1">
      <alignment horizontal="left" vertical="center"/>
    </xf>
    <xf numFmtId="0" fontId="39" fillId="2" borderId="66" xfId="0" applyFont="1" applyFill="1" applyBorder="1" applyAlignment="1" applyProtection="1">
      <alignment horizontal="left" vertical="center"/>
    </xf>
    <xf numFmtId="188" fontId="52" fillId="2" borderId="63" xfId="0" applyNumberFormat="1" applyFont="1" applyFill="1" applyBorder="1" applyAlignment="1" applyProtection="1">
      <alignment horizontal="left" vertical="center" wrapText="1"/>
    </xf>
    <xf numFmtId="0" fontId="23" fillId="2" borderId="63" xfId="0" applyFont="1" applyFill="1" applyBorder="1" applyAlignment="1" applyProtection="1">
      <alignment horizontal="left" vertical="center"/>
    </xf>
    <xf numFmtId="0" fontId="39" fillId="2" borderId="67" xfId="0" applyFont="1" applyFill="1" applyBorder="1" applyAlignment="1" applyProtection="1">
      <alignment horizontal="left" vertical="center"/>
    </xf>
    <xf numFmtId="0" fontId="39" fillId="2" borderId="68" xfId="0" applyFont="1" applyFill="1" applyBorder="1" applyAlignment="1" applyProtection="1">
      <alignment horizontal="left" vertical="center"/>
    </xf>
    <xf numFmtId="0" fontId="39" fillId="2" borderId="0" xfId="0" applyFont="1" applyFill="1" applyBorder="1" applyAlignment="1" applyProtection="1">
      <alignment horizontal="left" vertical="center"/>
    </xf>
    <xf numFmtId="0" fontId="18" fillId="2" borderId="6" xfId="0" applyFont="1" applyFill="1" applyBorder="1" applyAlignment="1" applyProtection="1">
      <alignment horizontal="left" vertical="center" wrapText="1"/>
    </xf>
    <xf numFmtId="0" fontId="18" fillId="2" borderId="7" xfId="0" applyFont="1" applyFill="1" applyBorder="1" applyAlignment="1" applyProtection="1">
      <alignment horizontal="left" vertical="center" wrapText="1"/>
    </xf>
    <xf numFmtId="0" fontId="24" fillId="2" borderId="8" xfId="0" applyFont="1" applyFill="1" applyBorder="1" applyAlignment="1" applyProtection="1">
      <alignment horizontal="left" vertical="center" wrapText="1"/>
    </xf>
    <xf numFmtId="0" fontId="19" fillId="2" borderId="7" xfId="0" applyFont="1" applyFill="1" applyBorder="1" applyAlignment="1" applyProtection="1">
      <alignment horizontal="left" vertical="center" wrapText="1"/>
    </xf>
    <xf numFmtId="49" fontId="18" fillId="2" borderId="7" xfId="0" applyNumberFormat="1" applyFont="1" applyFill="1" applyBorder="1" applyAlignment="1" applyProtection="1">
      <alignment horizontal="left" vertical="center" wrapText="1"/>
    </xf>
    <xf numFmtId="10" fontId="18" fillId="2" borderId="7" xfId="0" applyNumberFormat="1" applyFont="1" applyFill="1" applyBorder="1" applyAlignment="1" applyProtection="1">
      <alignment horizontal="left" vertical="center" wrapText="1"/>
    </xf>
    <xf numFmtId="10" fontId="24" fillId="2" borderId="61" xfId="0" applyNumberFormat="1" applyFont="1" applyFill="1" applyBorder="1" applyAlignment="1" applyProtection="1">
      <alignment horizontal="left" vertical="center" wrapText="1"/>
    </xf>
    <xf numFmtId="10" fontId="24" fillId="2" borderId="0" xfId="0" applyNumberFormat="1" applyFont="1" applyFill="1" applyBorder="1" applyAlignment="1" applyProtection="1">
      <alignment horizontal="left" vertical="center" wrapText="1"/>
    </xf>
    <xf numFmtId="10" fontId="23" fillId="0" borderId="7" xfId="0" applyNumberFormat="1" applyFont="1" applyBorder="1" applyAlignment="1" applyProtection="1">
      <alignment horizontal="left" vertical="center"/>
      <protection locked="0"/>
    </xf>
    <xf numFmtId="10" fontId="23" fillId="2" borderId="7" xfId="0" applyNumberFormat="1" applyFont="1" applyFill="1" applyBorder="1" applyAlignment="1" applyProtection="1">
      <alignment horizontal="left" vertical="center"/>
    </xf>
    <xf numFmtId="0" fontId="18" fillId="2" borderId="7" xfId="0" applyNumberFormat="1" applyFont="1" applyFill="1" applyBorder="1" applyAlignment="1" applyProtection="1">
      <alignment horizontal="left" vertical="center" wrapText="1"/>
    </xf>
    <xf numFmtId="10" fontId="24" fillId="2" borderId="70" xfId="0" applyNumberFormat="1" applyFont="1" applyFill="1" applyBorder="1" applyAlignment="1" applyProtection="1">
      <alignment horizontal="left" vertical="center" wrapText="1"/>
    </xf>
    <xf numFmtId="0" fontId="53" fillId="0" borderId="7" xfId="0" applyNumberFormat="1" applyFont="1" applyFill="1" applyBorder="1" applyAlignment="1" applyProtection="1">
      <alignment horizontal="left" vertical="center" wrapText="1"/>
      <protection locked="0"/>
    </xf>
    <xf numFmtId="0" fontId="53" fillId="0" borderId="12" xfId="0" applyNumberFormat="1" applyFont="1" applyFill="1" applyBorder="1" applyAlignment="1" applyProtection="1">
      <alignment horizontal="left" vertical="center" wrapText="1"/>
      <protection locked="0"/>
    </xf>
    <xf numFmtId="0" fontId="18" fillId="2" borderId="71" xfId="0" applyFont="1" applyFill="1" applyBorder="1" applyAlignment="1" applyProtection="1">
      <alignment horizontal="left" vertical="center" wrapText="1"/>
    </xf>
    <xf numFmtId="0" fontId="18" fillId="2" borderId="12" xfId="0" applyNumberFormat="1" applyFont="1" applyFill="1" applyBorder="1" applyAlignment="1" applyProtection="1">
      <alignment horizontal="left" vertical="center" wrapText="1"/>
    </xf>
    <xf numFmtId="0" fontId="18" fillId="2" borderId="9" xfId="0" applyFont="1" applyFill="1" applyBorder="1" applyAlignment="1" applyProtection="1">
      <alignment horizontal="left" vertical="center" wrapText="1"/>
    </xf>
    <xf numFmtId="49" fontId="18" fillId="2" borderId="64" xfId="0" applyNumberFormat="1" applyFont="1" applyFill="1" applyBorder="1" applyAlignment="1" applyProtection="1">
      <alignment horizontal="left" vertical="center" wrapText="1"/>
    </xf>
    <xf numFmtId="10" fontId="24" fillId="2" borderId="72" xfId="0" applyNumberFormat="1" applyFont="1" applyFill="1" applyBorder="1" applyAlignment="1" applyProtection="1">
      <alignment horizontal="left" vertical="center" wrapText="1"/>
    </xf>
    <xf numFmtId="0" fontId="52" fillId="2" borderId="63" xfId="0" applyNumberFormat="1" applyFont="1" applyFill="1" applyBorder="1" applyAlignment="1" applyProtection="1">
      <alignment horizontal="left" vertical="center" wrapText="1"/>
    </xf>
    <xf numFmtId="0" fontId="23" fillId="2" borderId="3" xfId="0" applyNumberFormat="1" applyFont="1" applyFill="1" applyBorder="1" applyAlignment="1" applyProtection="1">
      <alignment horizontal="left" vertical="center"/>
    </xf>
    <xf numFmtId="0" fontId="23" fillId="2" borderId="55" xfId="0" applyNumberFormat="1" applyFont="1" applyFill="1" applyBorder="1" applyAlignment="1" applyProtection="1">
      <alignment horizontal="left" vertical="center"/>
    </xf>
    <xf numFmtId="10" fontId="24" fillId="2" borderId="5" xfId="0" applyNumberFormat="1" applyFont="1" applyFill="1" applyBorder="1" applyAlignment="1" applyProtection="1">
      <alignment horizontal="left" vertical="center" wrapText="1"/>
    </xf>
    <xf numFmtId="0" fontId="24" fillId="2" borderId="0" xfId="0" applyNumberFormat="1" applyFont="1" applyFill="1" applyAlignment="1" applyProtection="1">
      <alignment horizontal="left" vertical="center" wrapText="1"/>
    </xf>
    <xf numFmtId="0" fontId="23" fillId="2" borderId="6" xfId="0" applyNumberFormat="1" applyFont="1" applyFill="1" applyBorder="1" applyAlignment="1" applyProtection="1">
      <alignment horizontal="left" vertical="center"/>
    </xf>
    <xf numFmtId="0" fontId="23" fillId="2" borderId="13" xfId="0" applyNumberFormat="1" applyFont="1" applyFill="1" applyBorder="1" applyAlignment="1" applyProtection="1">
      <alignment horizontal="left" vertical="center"/>
    </xf>
    <xf numFmtId="10" fontId="24" fillId="2" borderId="8" xfId="0" applyNumberFormat="1" applyFont="1" applyFill="1" applyBorder="1" applyAlignment="1" applyProtection="1">
      <alignment horizontal="left" vertical="center" wrapText="1"/>
    </xf>
    <xf numFmtId="183" fontId="43" fillId="0" borderId="7" xfId="0" applyNumberFormat="1" applyFont="1" applyFill="1" applyBorder="1" applyAlignment="1" applyProtection="1">
      <alignment horizontal="left" vertical="center" wrapText="1"/>
      <protection locked="0"/>
    </xf>
    <xf numFmtId="0" fontId="45" fillId="2" borderId="91" xfId="0" applyFont="1" applyFill="1" applyBorder="1" applyAlignment="1" applyProtection="1">
      <alignment horizontal="left" vertical="center" wrapText="1"/>
    </xf>
    <xf numFmtId="0" fontId="43" fillId="2" borderId="91" xfId="0" applyFont="1" applyFill="1" applyBorder="1" applyAlignment="1" applyProtection="1">
      <alignment horizontal="left" vertical="center" wrapText="1"/>
    </xf>
    <xf numFmtId="0" fontId="43" fillId="0" borderId="0" xfId="0" applyFont="1" applyFill="1" applyAlignment="1" applyProtection="1">
      <alignment horizontal="left" vertical="center"/>
      <protection locked="0"/>
    </xf>
    <xf numFmtId="0" fontId="24" fillId="2" borderId="92" xfId="0" applyFont="1" applyFill="1" applyBorder="1" applyAlignment="1" applyProtection="1">
      <alignment horizontal="left" vertical="center" wrapText="1"/>
    </xf>
    <xf numFmtId="0" fontId="24" fillId="0" borderId="0" xfId="0" applyFont="1" applyFill="1" applyAlignment="1" applyProtection="1">
      <alignment horizontal="left" vertical="center"/>
      <protection locked="0"/>
    </xf>
    <xf numFmtId="0" fontId="24" fillId="2" borderId="81" xfId="0" applyFont="1" applyFill="1" applyBorder="1" applyAlignment="1" applyProtection="1">
      <alignment horizontal="left" vertical="center" wrapText="1"/>
    </xf>
    <xf numFmtId="0" fontId="24" fillId="2" borderId="93" xfId="0" applyFont="1" applyFill="1" applyBorder="1" applyAlignment="1" applyProtection="1">
      <alignment horizontal="left" vertical="center" wrapText="1"/>
    </xf>
    <xf numFmtId="0" fontId="24" fillId="2" borderId="94" xfId="0" applyFont="1" applyFill="1" applyBorder="1" applyAlignment="1" applyProtection="1">
      <alignment horizontal="left" vertical="center" wrapText="1"/>
    </xf>
    <xf numFmtId="0" fontId="24" fillId="2" borderId="68" xfId="0" applyFont="1" applyFill="1" applyBorder="1" applyAlignment="1" applyProtection="1">
      <alignment horizontal="left" vertical="center" wrapText="1"/>
    </xf>
    <xf numFmtId="0" fontId="23" fillId="2" borderId="9" xfId="0" applyNumberFormat="1" applyFont="1" applyFill="1" applyBorder="1" applyAlignment="1" applyProtection="1">
      <alignment horizontal="left" vertical="center"/>
    </xf>
    <xf numFmtId="0" fontId="23" fillId="2" borderId="56" xfId="0" applyNumberFormat="1" applyFont="1" applyFill="1" applyBorder="1" applyAlignment="1" applyProtection="1">
      <alignment horizontal="left" vertical="center"/>
    </xf>
    <xf numFmtId="10" fontId="24" fillId="2" borderId="11" xfId="0" applyNumberFormat="1" applyFont="1" applyFill="1" applyBorder="1" applyAlignment="1" applyProtection="1">
      <alignment horizontal="left" vertical="center" wrapText="1"/>
    </xf>
    <xf numFmtId="0" fontId="24" fillId="0" borderId="8" xfId="0" applyFont="1" applyFill="1" applyBorder="1" applyAlignment="1" applyProtection="1">
      <alignment horizontal="left" vertical="center" wrapText="1"/>
      <protection locked="0"/>
    </xf>
    <xf numFmtId="0" fontId="19" fillId="2" borderId="39" xfId="0" applyFont="1" applyFill="1" applyBorder="1" applyAlignment="1" applyProtection="1">
      <alignment horizontal="left" vertical="center"/>
    </xf>
    <xf numFmtId="0" fontId="19" fillId="2" borderId="95" xfId="0" applyFont="1" applyFill="1" applyBorder="1" applyAlignment="1" applyProtection="1">
      <alignment horizontal="left" vertical="center"/>
    </xf>
    <xf numFmtId="0" fontId="24" fillId="0" borderId="11" xfId="0" applyFont="1" applyFill="1" applyBorder="1" applyAlignment="1" applyProtection="1">
      <alignment horizontal="left" vertical="center" wrapText="1"/>
      <protection locked="0"/>
    </xf>
    <xf numFmtId="0" fontId="24" fillId="3" borderId="55" xfId="0" applyFont="1" applyFill="1" applyBorder="1" applyAlignment="1" applyProtection="1">
      <alignment horizontal="left" vertical="center" wrapText="1"/>
      <protection locked="0"/>
    </xf>
    <xf numFmtId="0" fontId="24" fillId="3" borderId="5" xfId="0" applyFont="1" applyFill="1" applyBorder="1" applyAlignment="1" applyProtection="1">
      <alignment horizontal="left" vertical="center" wrapText="1"/>
      <protection locked="0"/>
    </xf>
    <xf numFmtId="0" fontId="24" fillId="2" borderId="72" xfId="0" applyFont="1" applyFill="1" applyBorder="1" applyAlignment="1" applyProtection="1">
      <alignment horizontal="left" vertical="center" wrapText="1"/>
    </xf>
    <xf numFmtId="0" fontId="43" fillId="2" borderId="74" xfId="0" applyFont="1" applyFill="1" applyBorder="1" applyAlignment="1" applyProtection="1">
      <alignment horizontal="left" vertical="center" wrapText="1"/>
    </xf>
    <xf numFmtId="0" fontId="43" fillId="0" borderId="0" xfId="0" applyFont="1" applyFill="1" applyAlignment="1" applyProtection="1">
      <alignment horizontal="left" vertical="center" wrapText="1"/>
      <protection locked="0"/>
    </xf>
    <xf numFmtId="10" fontId="43" fillId="2" borderId="77" xfId="0" applyNumberFormat="1" applyFont="1" applyFill="1" applyBorder="1" applyAlignment="1" applyProtection="1">
      <alignment horizontal="left" vertical="center" wrapText="1"/>
    </xf>
    <xf numFmtId="0" fontId="43" fillId="2" borderId="92" xfId="0" applyFont="1" applyFill="1" applyBorder="1" applyAlignment="1" applyProtection="1">
      <alignment horizontal="left" vertical="center" wrapText="1"/>
    </xf>
    <xf numFmtId="0" fontId="43" fillId="2" borderId="3" xfId="0" applyFont="1" applyFill="1" applyBorder="1" applyAlignment="1" applyProtection="1">
      <alignment horizontal="left" vertical="center" wrapText="1"/>
    </xf>
    <xf numFmtId="0" fontId="54" fillId="2" borderId="5" xfId="0" applyFont="1" applyFill="1" applyBorder="1" applyAlignment="1" applyProtection="1">
      <alignment horizontal="left" vertical="center" wrapText="1"/>
    </xf>
    <xf numFmtId="0" fontId="24" fillId="2" borderId="96" xfId="0" applyFont="1" applyFill="1" applyBorder="1" applyAlignment="1" applyProtection="1">
      <alignment horizontal="left" vertical="center" wrapText="1"/>
    </xf>
    <xf numFmtId="0" fontId="18" fillId="2" borderId="78" xfId="0" applyFont="1" applyFill="1" applyBorder="1" applyAlignment="1" applyProtection="1">
      <alignment horizontal="left" vertical="center" wrapText="1"/>
    </xf>
    <xf numFmtId="0" fontId="24" fillId="2" borderId="60" xfId="0" applyFont="1" applyFill="1" applyBorder="1" applyAlignment="1" applyProtection="1">
      <alignment horizontal="left" vertical="center" wrapText="1"/>
    </xf>
    <xf numFmtId="0" fontId="43" fillId="2" borderId="9" xfId="0" applyFont="1" applyFill="1" applyBorder="1" applyAlignment="1" applyProtection="1">
      <alignment horizontal="left" vertical="center" wrapText="1"/>
    </xf>
    <xf numFmtId="0" fontId="54" fillId="2" borderId="11" xfId="0" applyFont="1" applyFill="1" applyBorder="1" applyAlignment="1" applyProtection="1">
      <alignment horizontal="left" vertical="center" wrapText="1"/>
    </xf>
    <xf numFmtId="0" fontId="43" fillId="2" borderId="85" xfId="51" applyFont="1" applyFill="1" applyBorder="1" applyAlignment="1" applyProtection="1">
      <alignment horizontal="left" vertical="center" wrapText="1"/>
      <protection locked="0"/>
    </xf>
    <xf numFmtId="0" fontId="43" fillId="2" borderId="4" xfId="51" applyFont="1" applyFill="1" applyBorder="1" applyAlignment="1" applyProtection="1">
      <alignment horizontal="left" vertical="center" wrapText="1"/>
      <protection locked="0"/>
    </xf>
    <xf numFmtId="0" fontId="43" fillId="2" borderId="81" xfId="51" applyFont="1" applyFill="1" applyBorder="1" applyAlignment="1" applyProtection="1">
      <alignment horizontal="left" vertical="center"/>
      <protection locked="0"/>
    </xf>
    <xf numFmtId="0" fontId="43" fillId="2" borderId="5" xfId="0" applyFont="1" applyFill="1" applyBorder="1" applyAlignment="1" applyProtection="1">
      <alignment horizontal="left" vertical="center" wrapText="1"/>
    </xf>
    <xf numFmtId="0" fontId="43" fillId="2" borderId="6" xfId="51" applyFont="1" applyFill="1" applyBorder="1" applyAlignment="1" applyProtection="1">
      <alignment horizontal="left" vertical="center" wrapText="1"/>
    </xf>
    <xf numFmtId="10" fontId="43" fillId="0" borderId="14" xfId="51" applyNumberFormat="1" applyFont="1" applyFill="1" applyBorder="1" applyAlignment="1" applyProtection="1">
      <alignment horizontal="left" vertical="center" wrapText="1"/>
      <protection locked="0"/>
    </xf>
    <xf numFmtId="10" fontId="24" fillId="2" borderId="8" xfId="51" applyNumberFormat="1" applyFont="1" applyFill="1" applyBorder="1" applyAlignment="1" applyProtection="1">
      <alignment horizontal="left" vertical="center" wrapText="1"/>
    </xf>
    <xf numFmtId="0" fontId="43" fillId="2" borderId="8" xfId="0" applyFont="1" applyFill="1" applyBorder="1" applyAlignment="1" applyProtection="1">
      <alignment horizontal="left" vertical="center" wrapText="1"/>
    </xf>
    <xf numFmtId="0" fontId="43" fillId="2" borderId="11" xfId="0" applyFont="1" applyFill="1" applyBorder="1" applyAlignment="1" applyProtection="1">
      <alignment horizontal="left" vertical="center" wrapText="1"/>
    </xf>
    <xf numFmtId="0" fontId="43" fillId="2" borderId="9" xfId="51" applyFont="1" applyFill="1" applyBorder="1" applyAlignment="1" applyProtection="1">
      <alignment horizontal="left" vertical="center" wrapText="1"/>
    </xf>
    <xf numFmtId="10" fontId="43" fillId="0" borderId="87" xfId="51" applyNumberFormat="1" applyFont="1" applyFill="1" applyBorder="1" applyAlignment="1" applyProtection="1">
      <alignment horizontal="left" vertical="center" wrapText="1"/>
      <protection locked="0"/>
    </xf>
    <xf numFmtId="10" fontId="24" fillId="2" borderId="11" xfId="51" applyNumberFormat="1" applyFont="1" applyFill="1" applyBorder="1" applyAlignment="1" applyProtection="1">
      <alignment horizontal="left" vertical="center" wrapText="1"/>
    </xf>
    <xf numFmtId="0" fontId="43" fillId="2" borderId="53" xfId="51" applyFont="1" applyFill="1" applyBorder="1" applyAlignment="1" applyProtection="1">
      <alignment horizontal="left" vertical="center" wrapText="1"/>
      <protection locked="0"/>
    </xf>
    <xf numFmtId="0" fontId="43" fillId="2" borderId="0" xfId="51" applyFont="1" applyFill="1" applyBorder="1" applyAlignment="1" applyProtection="1">
      <alignment horizontal="left" vertical="center" wrapText="1"/>
      <protection locked="0"/>
    </xf>
    <xf numFmtId="10" fontId="24" fillId="2" borderId="61" xfId="51" applyNumberFormat="1" applyFont="1" applyFill="1" applyBorder="1" applyAlignment="1" applyProtection="1">
      <alignment horizontal="left" vertical="center" wrapText="1"/>
    </xf>
    <xf numFmtId="0" fontId="24" fillId="2" borderId="75" xfId="0" applyFont="1" applyFill="1" applyBorder="1" applyAlignment="1" applyProtection="1">
      <alignment horizontal="left" vertical="center" wrapText="1"/>
    </xf>
    <xf numFmtId="0" fontId="24" fillId="2" borderId="3" xfId="0" applyFont="1" applyFill="1" applyBorder="1" applyAlignment="1" applyProtection="1">
      <alignment horizontal="left" vertical="center" wrapText="1"/>
    </xf>
    <xf numFmtId="0" fontId="24" fillId="2" borderId="5" xfId="0" applyFont="1" applyFill="1" applyBorder="1" applyAlignment="1" applyProtection="1">
      <alignment horizontal="left" vertical="center" wrapText="1"/>
    </xf>
    <xf numFmtId="0" fontId="24" fillId="2" borderId="74" xfId="0" applyFont="1" applyFill="1" applyBorder="1" applyAlignment="1" applyProtection="1">
      <alignment horizontal="left" vertical="center" wrapText="1"/>
    </xf>
    <xf numFmtId="0" fontId="24" fillId="2" borderId="6" xfId="0" applyFont="1" applyFill="1" applyBorder="1" applyAlignment="1" applyProtection="1">
      <alignment horizontal="left" vertical="center" wrapText="1"/>
    </xf>
    <xf numFmtId="9" fontId="24" fillId="2" borderId="8" xfId="0" applyNumberFormat="1" applyFont="1" applyFill="1" applyBorder="1" applyAlignment="1" applyProtection="1">
      <alignment horizontal="left" vertical="center" wrapText="1"/>
    </xf>
    <xf numFmtId="9" fontId="24" fillId="2" borderId="9" xfId="0" applyNumberFormat="1" applyFont="1" applyFill="1" applyBorder="1" applyAlignment="1" applyProtection="1">
      <alignment horizontal="left" vertical="center" wrapText="1"/>
    </xf>
    <xf numFmtId="10" fontId="24" fillId="2" borderId="10" xfId="0" applyNumberFormat="1" applyFont="1" applyFill="1" applyBorder="1" applyAlignment="1" applyProtection="1">
      <alignment horizontal="left" vertical="center" wrapText="1"/>
    </xf>
    <xf numFmtId="0" fontId="18" fillId="2" borderId="93" xfId="0" applyFont="1" applyFill="1" applyBorder="1" applyAlignment="1" applyProtection="1">
      <alignment horizontal="left" vertical="center"/>
    </xf>
    <xf numFmtId="0" fontId="24" fillId="2" borderId="97" xfId="0" applyFont="1" applyFill="1" applyBorder="1" applyAlignment="1" applyProtection="1">
      <alignment horizontal="left" vertical="center" wrapText="1"/>
    </xf>
    <xf numFmtId="0" fontId="24" fillId="2" borderId="90" xfId="0" applyFont="1" applyFill="1" applyBorder="1" applyAlignment="1" applyProtection="1">
      <alignment horizontal="left" vertical="center"/>
    </xf>
    <xf numFmtId="0" fontId="24" fillId="2" borderId="80" xfId="0" applyFont="1" applyFill="1" applyBorder="1" applyAlignment="1" applyProtection="1">
      <alignment horizontal="left" vertical="center"/>
    </xf>
    <xf numFmtId="0" fontId="24" fillId="2" borderId="85" xfId="0" applyFont="1" applyFill="1" applyBorder="1" applyAlignment="1" applyProtection="1">
      <alignment horizontal="left" vertical="center"/>
    </xf>
    <xf numFmtId="0" fontId="24" fillId="2" borderId="6" xfId="0" applyFont="1" applyFill="1" applyBorder="1" applyAlignment="1" applyProtection="1">
      <alignment horizontal="left" vertical="center"/>
    </xf>
    <xf numFmtId="9" fontId="24" fillId="2" borderId="8" xfId="0" applyNumberFormat="1" applyFont="1" applyFill="1" applyBorder="1" applyAlignment="1" applyProtection="1">
      <alignment horizontal="left" vertical="center"/>
    </xf>
    <xf numFmtId="0" fontId="24" fillId="2" borderId="9" xfId="0" applyFont="1" applyFill="1" applyBorder="1" applyAlignment="1" applyProtection="1">
      <alignment horizontal="left" vertical="center" wrapText="1"/>
    </xf>
    <xf numFmtId="9" fontId="24" fillId="2" borderId="11" xfId="0" applyNumberFormat="1" applyFont="1" applyFill="1" applyBorder="1" applyAlignment="1" applyProtection="1">
      <alignment horizontal="left" vertical="center" wrapText="1"/>
    </xf>
    <xf numFmtId="0" fontId="24" fillId="2" borderId="0" xfId="0" applyFont="1" applyFill="1" applyAlignment="1" applyProtection="1">
      <alignment horizontal="left" vertical="center" wrapText="1"/>
      <protection locked="0"/>
    </xf>
    <xf numFmtId="0" fontId="42" fillId="2" borderId="7" xfId="0" applyNumberFormat="1" applyFont="1" applyFill="1" applyBorder="1" applyAlignment="1" applyProtection="1">
      <alignment horizontal="left" vertical="center" wrapText="1"/>
    </xf>
    <xf numFmtId="9" fontId="18" fillId="2" borderId="7" xfId="0" applyNumberFormat="1" applyFont="1" applyFill="1" applyBorder="1" applyAlignment="1" applyProtection="1">
      <alignment horizontal="left" vertical="center" wrapText="1"/>
    </xf>
    <xf numFmtId="10" fontId="43" fillId="2" borderId="7" xfId="0" applyNumberFormat="1" applyFont="1" applyFill="1" applyBorder="1" applyAlignment="1" applyProtection="1">
      <alignment horizontal="left" vertical="center" wrapText="1"/>
    </xf>
    <xf numFmtId="9" fontId="18" fillId="2" borderId="10" xfId="0" applyNumberFormat="1" applyFont="1" applyFill="1" applyBorder="1" applyAlignment="1" applyProtection="1">
      <alignment horizontal="left" vertical="center" wrapText="1"/>
    </xf>
    <xf numFmtId="0" fontId="54" fillId="2" borderId="7" xfId="51" applyFont="1" applyFill="1" applyBorder="1" applyAlignment="1" applyProtection="1">
      <alignment horizontal="left" vertical="center" wrapText="1"/>
    </xf>
    <xf numFmtId="0" fontId="24" fillId="2" borderId="0" xfId="51" applyFont="1" applyFill="1" applyAlignment="1" applyProtection="1">
      <alignment horizontal="left" vertical="center" wrapText="1"/>
      <protection locked="0"/>
    </xf>
    <xf numFmtId="0" fontId="54" fillId="0" borderId="7" xfId="51" applyFont="1" applyFill="1" applyBorder="1" applyAlignment="1" applyProtection="1">
      <alignment horizontal="left" vertical="center" wrapText="1"/>
      <protection locked="0"/>
    </xf>
    <xf numFmtId="0" fontId="24" fillId="2" borderId="14" xfId="51" applyFont="1" applyFill="1" applyBorder="1" applyAlignment="1" applyProtection="1">
      <alignment horizontal="left" vertical="center" wrapText="1"/>
      <protection locked="0"/>
    </xf>
    <xf numFmtId="0" fontId="24" fillId="2" borderId="7" xfId="51" applyFont="1" applyFill="1" applyBorder="1" applyAlignment="1" applyProtection="1">
      <alignment horizontal="left" vertical="center" wrapText="1"/>
      <protection locked="0"/>
    </xf>
    <xf numFmtId="0" fontId="24" fillId="2" borderId="15" xfId="51" applyFont="1" applyFill="1" applyBorder="1" applyAlignment="1" applyProtection="1">
      <alignment horizontal="left" vertical="center" wrapText="1"/>
      <protection locked="0"/>
    </xf>
    <xf numFmtId="178" fontId="18" fillId="2" borderId="7" xfId="51" applyNumberFormat="1" applyFont="1" applyFill="1" applyBorder="1" applyAlignment="1" applyProtection="1">
      <alignment horizontal="left" vertical="center"/>
    </xf>
    <xf numFmtId="0" fontId="24" fillId="2" borderId="7" xfId="51" applyFont="1" applyFill="1" applyBorder="1" applyAlignment="1" applyProtection="1">
      <alignment horizontal="left" vertical="center" wrapText="1"/>
    </xf>
    <xf numFmtId="0" fontId="18" fillId="2" borderId="7" xfId="51" applyFont="1" applyFill="1" applyBorder="1" applyAlignment="1" applyProtection="1">
      <alignment horizontal="left" vertical="center" wrapText="1"/>
    </xf>
    <xf numFmtId="0" fontId="24" fillId="10" borderId="0" xfId="51" applyFont="1" applyFill="1" applyAlignment="1" applyProtection="1">
      <alignment horizontal="left" vertical="center" wrapText="1"/>
    </xf>
    <xf numFmtId="0" fontId="43" fillId="2" borderId="0" xfId="51" applyFont="1" applyFill="1" applyAlignment="1" applyProtection="1">
      <alignment horizontal="left" vertical="center" wrapText="1"/>
      <protection locked="0"/>
    </xf>
    <xf numFmtId="0" fontId="43" fillId="10" borderId="0" xfId="51" applyFont="1" applyFill="1" applyAlignment="1" applyProtection="1">
      <alignment horizontal="left" vertical="center" wrapText="1"/>
    </xf>
    <xf numFmtId="185" fontId="24" fillId="2" borderId="7" xfId="51" applyNumberFormat="1" applyFont="1" applyFill="1" applyBorder="1" applyAlignment="1" applyProtection="1">
      <alignment horizontal="left" vertical="center" wrapText="1"/>
      <protection locked="0"/>
    </xf>
    <xf numFmtId="0" fontId="18" fillId="2" borderId="7" xfId="51" applyFont="1" applyFill="1" applyBorder="1" applyAlignment="1" applyProtection="1">
      <alignment horizontal="left" vertical="center"/>
    </xf>
    <xf numFmtId="183" fontId="19" fillId="0" borderId="7" xfId="51" applyNumberFormat="1" applyFont="1" applyFill="1" applyBorder="1" applyAlignment="1" applyProtection="1">
      <alignment horizontal="left" vertical="center"/>
    </xf>
    <xf numFmtId="183" fontId="19" fillId="2" borderId="7" xfId="51" applyNumberFormat="1" applyFont="1" applyFill="1" applyBorder="1" applyAlignment="1" applyProtection="1">
      <alignment horizontal="left" vertical="center"/>
    </xf>
    <xf numFmtId="188" fontId="19" fillId="2" borderId="7" xfId="51" applyNumberFormat="1" applyFont="1" applyFill="1" applyBorder="1" applyAlignment="1" applyProtection="1">
      <alignment horizontal="left" vertical="center" wrapText="1"/>
    </xf>
    <xf numFmtId="0" fontId="24" fillId="2" borderId="7" xfId="51" applyNumberFormat="1" applyFont="1" applyFill="1" applyBorder="1" applyAlignment="1" applyProtection="1">
      <alignment horizontal="left" vertical="center" wrapText="1"/>
    </xf>
    <xf numFmtId="0" fontId="43" fillId="10" borderId="0" xfId="0" applyFont="1" applyFill="1" applyAlignment="1" applyProtection="1">
      <alignment horizontal="left" vertical="center" wrapText="1"/>
      <protection locked="0"/>
    </xf>
    <xf numFmtId="10" fontId="24" fillId="10" borderId="0" xfId="0" applyNumberFormat="1" applyFont="1" applyFill="1" applyAlignment="1" applyProtection="1">
      <alignment horizontal="left" vertical="center" wrapText="1"/>
      <protection locked="0"/>
    </xf>
    <xf numFmtId="0" fontId="24" fillId="0" borderId="0" xfId="51" applyFont="1" applyAlignment="1" applyProtection="1">
      <alignment horizontal="left" vertical="center" wrapText="1"/>
    </xf>
    <xf numFmtId="0" fontId="43" fillId="0" borderId="0" xfId="51" applyFont="1" applyAlignment="1" applyProtection="1">
      <alignment horizontal="left" vertical="center" wrapText="1"/>
    </xf>
    <xf numFmtId="10" fontId="24" fillId="0" borderId="0" xfId="0" applyNumberFormat="1" applyFont="1" applyAlignment="1" applyProtection="1">
      <alignment horizontal="left" vertical="center" wrapText="1"/>
    </xf>
    <xf numFmtId="49" fontId="18" fillId="2" borderId="10" xfId="0" applyNumberFormat="1" applyFont="1" applyFill="1" applyBorder="1" applyAlignment="1" applyProtection="1">
      <alignment horizontal="left" vertical="center" wrapText="1"/>
    </xf>
    <xf numFmtId="0" fontId="18" fillId="0" borderId="10" xfId="0" applyNumberFormat="1" applyFont="1" applyFill="1" applyBorder="1" applyAlignment="1" applyProtection="1">
      <alignment horizontal="left" vertical="center" wrapText="1"/>
      <protection locked="0"/>
    </xf>
    <xf numFmtId="0" fontId="18" fillId="2" borderId="10" xfId="0" applyNumberFormat="1" applyFont="1" applyFill="1" applyBorder="1" applyAlignment="1" applyProtection="1">
      <alignment horizontal="left" vertical="center" wrapText="1"/>
    </xf>
    <xf numFmtId="0" fontId="18" fillId="3" borderId="10" xfId="0" applyFont="1" applyFill="1" applyBorder="1" applyAlignment="1" applyProtection="1">
      <alignment horizontal="left" vertical="center" wrapText="1"/>
      <protection locked="0"/>
    </xf>
    <xf numFmtId="10" fontId="18" fillId="2" borderId="10" xfId="0" applyNumberFormat="1" applyFont="1" applyFill="1" applyBorder="1" applyAlignment="1" applyProtection="1">
      <alignment horizontal="left" vertical="center" wrapText="1"/>
    </xf>
    <xf numFmtId="0" fontId="16" fillId="2" borderId="0" xfId="0" applyFont="1" applyFill="1" applyAlignment="1" applyProtection="1">
      <alignment horizontal="left" vertical="center"/>
    </xf>
    <xf numFmtId="0" fontId="18" fillId="2" borderId="12" xfId="0" applyFont="1" applyFill="1" applyBorder="1" applyAlignment="1" applyProtection="1">
      <alignment horizontal="left" vertical="center"/>
    </xf>
    <xf numFmtId="178" fontId="18" fillId="2" borderId="7" xfId="0" applyNumberFormat="1" applyFont="1" applyFill="1" applyBorder="1" applyAlignment="1" applyProtection="1">
      <alignment horizontal="left" vertical="center"/>
    </xf>
    <xf numFmtId="188" fontId="18" fillId="2" borderId="7" xfId="0" applyNumberFormat="1" applyFont="1" applyFill="1" applyBorder="1" applyAlignment="1" applyProtection="1">
      <alignment horizontal="left" vertical="center"/>
    </xf>
    <xf numFmtId="0" fontId="18" fillId="2" borderId="52" xfId="0" applyFont="1" applyFill="1" applyBorder="1" applyAlignment="1" applyProtection="1">
      <alignment horizontal="left" vertical="center"/>
    </xf>
    <xf numFmtId="183" fontId="19" fillId="2" borderId="7" xfId="0" applyNumberFormat="1" applyFont="1" applyFill="1" applyBorder="1" applyAlignment="1" applyProtection="1">
      <alignment horizontal="left" vertical="center"/>
    </xf>
    <xf numFmtId="0" fontId="18" fillId="2" borderId="16" xfId="0" applyFont="1" applyFill="1" applyBorder="1" applyAlignment="1" applyProtection="1">
      <alignment horizontal="left" vertical="center"/>
    </xf>
    <xf numFmtId="188" fontId="19" fillId="2" borderId="7" xfId="0" applyNumberFormat="1" applyFont="1" applyFill="1" applyBorder="1" applyAlignment="1" applyProtection="1">
      <alignment horizontal="left" vertical="center" wrapText="1"/>
    </xf>
    <xf numFmtId="178" fontId="18" fillId="2" borderId="16" xfId="0" applyNumberFormat="1" applyFont="1" applyFill="1" applyBorder="1" applyAlignment="1" applyProtection="1">
      <alignment horizontal="left" vertical="center" wrapText="1"/>
    </xf>
    <xf numFmtId="185" fontId="19" fillId="2" borderId="7" xfId="0" applyNumberFormat="1" applyFont="1" applyFill="1" applyBorder="1" applyAlignment="1" applyProtection="1">
      <alignment horizontal="left" vertical="center"/>
    </xf>
    <xf numFmtId="0" fontId="18" fillId="0" borderId="0" xfId="0" applyFont="1" applyAlignment="1" applyProtection="1">
      <alignment horizontal="left" vertical="center"/>
    </xf>
    <xf numFmtId="0" fontId="24" fillId="2" borderId="52" xfId="0" applyNumberFormat="1" applyFont="1" applyFill="1" applyBorder="1" applyAlignment="1" applyProtection="1">
      <alignment horizontal="left" vertical="center" wrapText="1"/>
    </xf>
    <xf numFmtId="185" fontId="19" fillId="2" borderId="52" xfId="0" applyNumberFormat="1" applyFont="1" applyFill="1" applyBorder="1" applyAlignment="1" applyProtection="1">
      <alignment horizontal="left" vertical="center" wrapText="1"/>
    </xf>
    <xf numFmtId="0" fontId="24" fillId="2" borderId="54" xfId="0" applyNumberFormat="1" applyFont="1" applyFill="1" applyBorder="1" applyAlignment="1" applyProtection="1">
      <alignment horizontal="left" vertical="center" wrapText="1"/>
    </xf>
    <xf numFmtId="0" fontId="19" fillId="2" borderId="63" xfId="0" applyNumberFormat="1" applyFont="1" applyFill="1" applyBorder="1" applyAlignment="1" applyProtection="1">
      <alignment horizontal="left" vertical="center" wrapText="1"/>
    </xf>
    <xf numFmtId="0" fontId="55" fillId="2" borderId="7" xfId="46" applyNumberFormat="1" applyFont="1" applyFill="1" applyBorder="1" applyAlignment="1" applyProtection="1">
      <alignment horizontal="left" vertical="center"/>
    </xf>
    <xf numFmtId="0" fontId="24" fillId="2" borderId="85" xfId="0" applyNumberFormat="1" applyFont="1" applyFill="1" applyBorder="1" applyAlignment="1" applyProtection="1">
      <alignment horizontal="left" vertical="center" wrapText="1"/>
    </xf>
    <xf numFmtId="0" fontId="24" fillId="2" borderId="4" xfId="46" applyNumberFormat="1" applyFont="1" applyFill="1" applyBorder="1" applyAlignment="1" applyProtection="1">
      <alignment horizontal="left" vertical="center"/>
    </xf>
    <xf numFmtId="0" fontId="24" fillId="2" borderId="16" xfId="46" applyNumberFormat="1" applyFont="1" applyFill="1" applyBorder="1" applyAlignment="1" applyProtection="1">
      <alignment horizontal="left" vertical="center"/>
    </xf>
    <xf numFmtId="0" fontId="24" fillId="2" borderId="16" xfId="46" applyNumberFormat="1" applyFont="1" applyFill="1" applyBorder="1" applyAlignment="1" applyProtection="1">
      <alignment horizontal="left" vertical="center" wrapText="1"/>
    </xf>
    <xf numFmtId="0" fontId="24" fillId="2" borderId="6" xfId="0" applyNumberFormat="1" applyFont="1" applyFill="1" applyBorder="1" applyAlignment="1" applyProtection="1">
      <alignment horizontal="left" vertical="center" wrapText="1"/>
    </xf>
    <xf numFmtId="0" fontId="19" fillId="2" borderId="7" xfId="0" applyNumberFormat="1" applyFont="1" applyFill="1" applyBorder="1" applyAlignment="1" applyProtection="1">
      <alignment horizontal="left" vertical="center" wrapText="1"/>
    </xf>
    <xf numFmtId="0" fontId="24" fillId="2" borderId="9" xfId="0" applyNumberFormat="1" applyFont="1" applyFill="1" applyBorder="1" applyAlignment="1" applyProtection="1">
      <alignment horizontal="left" vertical="center" wrapText="1"/>
    </xf>
    <xf numFmtId="0" fontId="19" fillId="2" borderId="10" xfId="0" applyNumberFormat="1" applyFont="1" applyFill="1" applyBorder="1" applyAlignment="1" applyProtection="1">
      <alignment horizontal="left" vertical="center" wrapText="1"/>
    </xf>
    <xf numFmtId="0" fontId="18" fillId="2" borderId="14" xfId="0" applyFont="1" applyFill="1" applyBorder="1" applyAlignment="1" applyProtection="1">
      <alignment horizontal="left" vertical="center"/>
    </xf>
    <xf numFmtId="0" fontId="18" fillId="2" borderId="0" xfId="0" applyFont="1" applyFill="1" applyBorder="1" applyAlignment="1" applyProtection="1">
      <alignment horizontal="left" vertical="center"/>
    </xf>
    <xf numFmtId="0" fontId="23" fillId="0" borderId="0" xfId="0" applyNumberFormat="1" applyFont="1" applyAlignment="1" applyProtection="1">
      <alignment horizontal="left" vertical="center"/>
    </xf>
    <xf numFmtId="0" fontId="24" fillId="2" borderId="54" xfId="46" applyNumberFormat="1" applyFont="1" applyFill="1" applyBorder="1" applyAlignment="1" applyProtection="1">
      <alignment horizontal="left" vertical="center"/>
    </xf>
    <xf numFmtId="0" fontId="24" fillId="2" borderId="60" xfId="46" applyNumberFormat="1" applyFont="1" applyFill="1" applyBorder="1" applyAlignment="1" applyProtection="1">
      <alignment horizontal="left" vertical="center"/>
    </xf>
    <xf numFmtId="0" fontId="19" fillId="2" borderId="8" xfId="0" applyNumberFormat="1" applyFont="1" applyFill="1" applyBorder="1" applyAlignment="1" applyProtection="1">
      <alignment horizontal="left" vertical="center" wrapText="1"/>
    </xf>
    <xf numFmtId="0" fontId="19" fillId="2" borderId="11" xfId="0" applyNumberFormat="1" applyFont="1" applyFill="1" applyBorder="1" applyAlignment="1" applyProtection="1">
      <alignment horizontal="left" vertical="center" wrapText="1"/>
    </xf>
    <xf numFmtId="0" fontId="24" fillId="0" borderId="0" xfId="0" applyFont="1" applyFill="1" applyAlignment="1" applyProtection="1">
      <alignment horizontal="left" vertical="center" wrapText="1"/>
    </xf>
    <xf numFmtId="0" fontId="56" fillId="0" borderId="0" xfId="0" applyFont="1" applyFill="1" applyAlignment="1" applyProtection="1">
      <alignment horizontal="center" vertical="center"/>
      <protection locked="0"/>
    </xf>
    <xf numFmtId="0" fontId="42" fillId="0" borderId="0" xfId="0" applyFont="1" applyFill="1" applyAlignment="1" applyProtection="1">
      <alignment horizontal="center" vertical="center"/>
      <protection locked="0"/>
    </xf>
    <xf numFmtId="0" fontId="57" fillId="0" borderId="0" xfId="0" applyFont="1" applyFill="1" applyAlignment="1" applyProtection="1">
      <alignment horizontal="center" vertical="center"/>
      <protection locked="0"/>
    </xf>
    <xf numFmtId="0" fontId="58" fillId="0" borderId="0" xfId="0" applyFont="1" applyFill="1" applyAlignment="1" applyProtection="1">
      <alignment horizontal="center" vertical="center"/>
      <protection locked="0"/>
    </xf>
    <xf numFmtId="0" fontId="59" fillId="0" borderId="0" xfId="0" applyFont="1" applyFill="1" applyAlignment="1" applyProtection="1">
      <alignment horizontal="center" vertical="center"/>
      <protection locked="0"/>
    </xf>
    <xf numFmtId="0" fontId="60" fillId="0" borderId="0" xfId="0" applyFont="1" applyFill="1" applyAlignment="1" applyProtection="1">
      <alignment horizontal="center" vertical="center"/>
      <protection locked="0"/>
    </xf>
    <xf numFmtId="49" fontId="42" fillId="0" borderId="0" xfId="0" applyNumberFormat="1" applyFont="1" applyFill="1" applyAlignment="1" applyProtection="1">
      <alignment horizontal="center" vertical="center"/>
      <protection locked="0"/>
    </xf>
    <xf numFmtId="0" fontId="43" fillId="0" borderId="0" xfId="0" applyFont="1" applyFill="1" applyAlignment="1" applyProtection="1">
      <alignment horizontal="center" vertical="center"/>
      <protection locked="0"/>
    </xf>
    <xf numFmtId="184" fontId="43" fillId="0" borderId="0" xfId="0" applyNumberFormat="1" applyFont="1" applyFill="1" applyAlignment="1" applyProtection="1">
      <alignment horizontal="center" vertical="center"/>
      <protection locked="0"/>
    </xf>
    <xf numFmtId="187" fontId="43" fillId="0" borderId="0" xfId="0" applyNumberFormat="1" applyFont="1" applyFill="1" applyAlignment="1" applyProtection="1">
      <alignment horizontal="center" vertical="center"/>
      <protection locked="0"/>
    </xf>
    <xf numFmtId="0" fontId="44" fillId="2" borderId="83" xfId="0" applyFont="1" applyFill="1" applyBorder="1" applyAlignment="1" applyProtection="1">
      <alignment vertical="center"/>
    </xf>
    <xf numFmtId="0" fontId="61" fillId="2" borderId="38" xfId="0" applyFont="1" applyFill="1" applyBorder="1" applyAlignment="1" applyProtection="1">
      <alignment horizontal="right" vertical="center"/>
    </xf>
    <xf numFmtId="0" fontId="61" fillId="2" borderId="0" xfId="0" applyFont="1" applyFill="1" applyAlignment="1" applyProtection="1">
      <alignment horizontal="center" vertical="center"/>
    </xf>
    <xf numFmtId="0" fontId="61" fillId="2" borderId="38" xfId="0" applyFont="1" applyFill="1" applyBorder="1" applyAlignment="1" applyProtection="1">
      <alignment vertical="center"/>
    </xf>
    <xf numFmtId="0" fontId="62" fillId="2" borderId="38" xfId="0" applyFont="1" applyFill="1" applyBorder="1" applyAlignment="1" applyProtection="1">
      <alignment vertical="center"/>
    </xf>
    <xf numFmtId="0" fontId="45" fillId="2" borderId="7" xfId="57" applyFont="1" applyFill="1" applyBorder="1" applyAlignment="1" applyProtection="1">
      <alignment vertical="center"/>
    </xf>
    <xf numFmtId="183" fontId="45" fillId="2" borderId="7" xfId="0" applyNumberFormat="1" applyFont="1" applyFill="1" applyBorder="1" applyAlignment="1" applyProtection="1">
      <alignment horizontal="right" vertical="center"/>
    </xf>
    <xf numFmtId="0" fontId="45" fillId="2" borderId="0" xfId="0" applyFont="1" applyFill="1" applyBorder="1" applyAlignment="1" applyProtection="1">
      <alignment vertical="center"/>
    </xf>
    <xf numFmtId="0" fontId="61" fillId="0" borderId="0" xfId="0" applyFont="1" applyFill="1" applyBorder="1" applyAlignment="1" applyProtection="1">
      <alignment vertical="center"/>
      <protection locked="0"/>
    </xf>
    <xf numFmtId="0" fontId="62" fillId="0" borderId="0" xfId="0" applyFont="1" applyFill="1" applyBorder="1" applyAlignment="1" applyProtection="1">
      <alignment vertical="center"/>
      <protection locked="0"/>
    </xf>
    <xf numFmtId="0" fontId="45" fillId="2" borderId="12" xfId="57" applyFont="1" applyFill="1" applyBorder="1" applyAlignment="1" applyProtection="1">
      <alignment vertical="center"/>
    </xf>
    <xf numFmtId="178" fontId="45" fillId="2" borderId="12" xfId="0" applyNumberFormat="1" applyFont="1" applyFill="1" applyBorder="1" applyAlignment="1" applyProtection="1">
      <alignment horizontal="right" vertical="center"/>
    </xf>
    <xf numFmtId="0" fontId="46" fillId="2" borderId="85" xfId="0" applyFont="1" applyFill="1" applyBorder="1" applyAlignment="1" applyProtection="1">
      <alignment vertical="center" wrapText="1"/>
    </xf>
    <xf numFmtId="0" fontId="46" fillId="2" borderId="63" xfId="0" applyFont="1" applyFill="1" applyBorder="1" applyAlignment="1" applyProtection="1">
      <alignment vertical="center" wrapText="1"/>
    </xf>
    <xf numFmtId="0" fontId="43" fillId="2" borderId="3" xfId="0" applyFont="1" applyFill="1" applyBorder="1" applyAlignment="1" applyProtection="1">
      <alignment horizontal="center" vertical="center" wrapText="1"/>
    </xf>
    <xf numFmtId="0" fontId="43" fillId="2" borderId="5" xfId="0" applyFont="1" applyFill="1" applyBorder="1" applyAlignment="1" applyProtection="1">
      <alignment horizontal="center" vertical="center" wrapText="1"/>
    </xf>
    <xf numFmtId="0" fontId="43" fillId="2" borderId="90" xfId="0" applyFont="1" applyFill="1" applyBorder="1" applyAlignment="1" applyProtection="1">
      <alignment horizontal="center" vertical="center" wrapText="1"/>
    </xf>
    <xf numFmtId="0" fontId="43" fillId="2" borderId="55" xfId="0" applyFont="1" applyFill="1" applyBorder="1" applyAlignment="1" applyProtection="1">
      <alignment horizontal="center" vertical="center" wrapText="1"/>
    </xf>
    <xf numFmtId="0" fontId="46" fillId="2" borderId="62" xfId="0" applyFont="1" applyFill="1" applyBorder="1" applyAlignment="1" applyProtection="1">
      <alignment vertical="center" wrapText="1"/>
    </xf>
    <xf numFmtId="0" fontId="46" fillId="2" borderId="0" xfId="0" applyFont="1" applyFill="1" applyBorder="1" applyAlignment="1" applyProtection="1">
      <alignment vertical="center" wrapText="1"/>
    </xf>
    <xf numFmtId="0" fontId="63" fillId="0" borderId="6" xfId="0" applyFont="1" applyFill="1" applyBorder="1" applyAlignment="1" applyProtection="1">
      <alignment horizontal="center" vertical="center" wrapText="1"/>
      <protection locked="0"/>
    </xf>
    <xf numFmtId="0" fontId="63" fillId="0" borderId="8" xfId="0" applyFont="1" applyFill="1" applyBorder="1" applyAlignment="1" applyProtection="1">
      <alignment horizontal="center" vertical="center" wrapText="1"/>
      <protection locked="0"/>
    </xf>
    <xf numFmtId="0" fontId="63" fillId="0" borderId="14" xfId="0" applyFont="1" applyFill="1" applyBorder="1" applyAlignment="1" applyProtection="1">
      <alignment horizontal="center" vertical="center" wrapText="1"/>
      <protection locked="0"/>
    </xf>
    <xf numFmtId="0" fontId="63" fillId="0" borderId="13" xfId="0" applyFont="1" applyFill="1" applyBorder="1" applyAlignment="1" applyProtection="1">
      <alignment horizontal="center" vertical="center" wrapText="1"/>
      <protection locked="0"/>
    </xf>
    <xf numFmtId="0" fontId="46" fillId="2" borderId="98" xfId="0" applyFont="1" applyFill="1" applyBorder="1" applyAlignment="1" applyProtection="1">
      <alignment vertical="center" wrapText="1"/>
    </xf>
    <xf numFmtId="0" fontId="46" fillId="2" borderId="18" xfId="0" applyFont="1" applyFill="1" applyBorder="1" applyAlignment="1" applyProtection="1">
      <alignment vertical="center" wrapText="1"/>
    </xf>
    <xf numFmtId="0" fontId="63" fillId="0" borderId="57" xfId="0" applyFont="1" applyFill="1" applyBorder="1" applyAlignment="1" applyProtection="1">
      <alignment horizontal="center" vertical="center" wrapText="1"/>
      <protection locked="0"/>
    </xf>
    <xf numFmtId="0" fontId="63" fillId="0" borderId="61" xfId="0" applyFont="1" applyFill="1" applyBorder="1" applyAlignment="1" applyProtection="1">
      <alignment horizontal="center" vertical="center" wrapText="1"/>
      <protection locked="0"/>
    </xf>
    <xf numFmtId="0" fontId="63" fillId="0" borderId="91" xfId="0" applyFont="1" applyFill="1" applyBorder="1" applyAlignment="1" applyProtection="1">
      <alignment horizontal="center" vertical="center" wrapText="1"/>
      <protection locked="0"/>
    </xf>
    <xf numFmtId="0" fontId="63" fillId="0" borderId="83" xfId="0" applyFont="1" applyFill="1" applyBorder="1" applyAlignment="1" applyProtection="1">
      <alignment horizontal="center" vertical="center" wrapText="1"/>
      <protection locked="0"/>
    </xf>
    <xf numFmtId="0" fontId="64" fillId="2" borderId="96" xfId="0" applyFont="1" applyFill="1" applyBorder="1" applyAlignment="1" applyProtection="1">
      <alignment vertical="center" wrapText="1"/>
    </xf>
    <xf numFmtId="0" fontId="64" fillId="2" borderId="77" xfId="0" applyFont="1" applyFill="1" applyBorder="1" applyAlignment="1" applyProtection="1">
      <alignment vertical="center" wrapText="1"/>
    </xf>
    <xf numFmtId="177" fontId="42" fillId="2" borderId="65" xfId="0" applyNumberFormat="1" applyFont="1" applyFill="1" applyBorder="1" applyAlignment="1" applyProtection="1">
      <alignment horizontal="center" vertical="center" wrapText="1"/>
    </xf>
    <xf numFmtId="0" fontId="42" fillId="2" borderId="78" xfId="0" applyNumberFormat="1" applyFont="1" applyFill="1" applyBorder="1" applyAlignment="1" applyProtection="1">
      <alignment horizontal="center" vertical="center" wrapText="1"/>
    </xf>
    <xf numFmtId="177" fontId="42" fillId="0" borderId="99" xfId="0" applyNumberFormat="1" applyFont="1" applyFill="1" applyBorder="1" applyAlignment="1" applyProtection="1">
      <alignment horizontal="center" vertical="center" wrapText="1"/>
      <protection locked="0"/>
    </xf>
    <xf numFmtId="0" fontId="42" fillId="2" borderId="82" xfId="0" applyNumberFormat="1" applyFont="1" applyFill="1" applyBorder="1" applyAlignment="1" applyProtection="1">
      <alignment horizontal="center" vertical="center" wrapText="1"/>
    </xf>
    <xf numFmtId="177" fontId="42" fillId="0" borderId="65" xfId="0" applyNumberFormat="1" applyFont="1" applyFill="1" applyBorder="1" applyAlignment="1" applyProtection="1">
      <alignment horizontal="center" vertical="center" wrapText="1"/>
      <protection locked="0"/>
    </xf>
    <xf numFmtId="49" fontId="42" fillId="12" borderId="65" xfId="0" applyNumberFormat="1" applyFont="1" applyFill="1" applyBorder="1" applyAlignment="1" applyProtection="1">
      <alignment horizontal="center" vertical="center" wrapText="1"/>
      <protection locked="0"/>
    </xf>
    <xf numFmtId="0" fontId="64" fillId="2" borderId="53" xfId="0" applyFont="1" applyFill="1" applyBorder="1" applyAlignment="1" applyProtection="1">
      <alignment vertical="center" wrapText="1"/>
    </xf>
    <xf numFmtId="0" fontId="42" fillId="2" borderId="55" xfId="0" applyFont="1" applyFill="1" applyBorder="1" applyAlignment="1" applyProtection="1">
      <alignment horizontal="center" vertical="center" wrapText="1"/>
    </xf>
    <xf numFmtId="0" fontId="42" fillId="12" borderId="66" xfId="0" applyNumberFormat="1" applyFont="1" applyFill="1" applyBorder="1" applyAlignment="1" applyProtection="1">
      <alignment horizontal="center" vertical="center" wrapText="1"/>
      <protection locked="0"/>
    </xf>
    <xf numFmtId="0" fontId="42" fillId="2" borderId="5" xfId="0" applyNumberFormat="1" applyFont="1" applyFill="1" applyBorder="1" applyAlignment="1" applyProtection="1">
      <alignment horizontal="center" vertical="center" wrapText="1"/>
    </xf>
    <xf numFmtId="0" fontId="65" fillId="2" borderId="79" xfId="0" applyFont="1" applyFill="1" applyBorder="1" applyAlignment="1" applyProtection="1">
      <alignment vertical="center" wrapText="1"/>
    </xf>
    <xf numFmtId="0" fontId="42" fillId="2" borderId="13" xfId="0" applyFont="1" applyFill="1" applyBorder="1" applyAlignment="1" applyProtection="1">
      <alignment horizontal="center" vertical="center" wrapText="1"/>
    </xf>
    <xf numFmtId="0" fontId="42" fillId="0" borderId="100" xfId="0" applyNumberFormat="1" applyFont="1" applyFill="1" applyBorder="1" applyAlignment="1" applyProtection="1">
      <alignment horizontal="center" vertical="center" wrapText="1"/>
      <protection locked="0"/>
    </xf>
    <xf numFmtId="0" fontId="42" fillId="2" borderId="8" xfId="0" applyNumberFormat="1" applyFont="1" applyFill="1" applyBorder="1" applyAlignment="1" applyProtection="1">
      <alignment horizontal="center" vertical="center" wrapText="1"/>
    </xf>
    <xf numFmtId="0" fontId="46" fillId="2" borderId="79" xfId="0" applyFont="1" applyFill="1" applyBorder="1" applyAlignment="1" applyProtection="1">
      <alignment vertical="center" wrapText="1"/>
    </xf>
    <xf numFmtId="0" fontId="42" fillId="0" borderId="6" xfId="0" applyNumberFormat="1" applyFont="1" applyFill="1" applyBorder="1" applyAlignment="1" applyProtection="1">
      <alignment horizontal="center" vertical="center" wrapText="1"/>
      <protection locked="0"/>
    </xf>
    <xf numFmtId="0" fontId="42" fillId="0" borderId="14" xfId="0" applyNumberFormat="1" applyFont="1" applyFill="1" applyBorder="1" applyAlignment="1" applyProtection="1">
      <alignment horizontal="center" vertical="center" wrapText="1"/>
      <protection locked="0"/>
    </xf>
    <xf numFmtId="0" fontId="64" fillId="2" borderId="79" xfId="0" applyFont="1" applyFill="1" applyBorder="1" applyAlignment="1" applyProtection="1">
      <alignment vertical="center" wrapText="1"/>
    </xf>
    <xf numFmtId="0" fontId="42" fillId="0" borderId="83" xfId="0" applyFont="1" applyFill="1" applyBorder="1" applyAlignment="1" applyProtection="1">
      <alignment horizontal="center" vertical="center" wrapText="1"/>
      <protection locked="0"/>
    </xf>
    <xf numFmtId="0" fontId="42" fillId="2" borderId="95" xfId="0" applyNumberFormat="1" applyFont="1" applyFill="1" applyBorder="1" applyAlignment="1" applyProtection="1">
      <alignment horizontal="center" vertical="center" wrapText="1"/>
    </xf>
    <xf numFmtId="0" fontId="43" fillId="0" borderId="7" xfId="0" applyNumberFormat="1" applyFont="1" applyFill="1" applyBorder="1" applyAlignment="1" applyProtection="1">
      <alignment horizontal="center" vertical="center" wrapText="1"/>
      <protection locked="0"/>
    </xf>
    <xf numFmtId="0" fontId="43" fillId="0" borderId="6" xfId="0" applyNumberFormat="1" applyFont="1" applyFill="1" applyBorder="1" applyAlignment="1" applyProtection="1">
      <alignment horizontal="center" vertical="center" wrapText="1"/>
      <protection locked="0"/>
    </xf>
    <xf numFmtId="0" fontId="43" fillId="0" borderId="71" xfId="0" applyNumberFormat="1" applyFont="1" applyFill="1" applyBorder="1" applyAlignment="1" applyProtection="1">
      <alignment horizontal="center" vertical="center" wrapText="1"/>
      <protection locked="0"/>
    </xf>
    <xf numFmtId="0" fontId="43" fillId="2" borderId="8" xfId="0" applyNumberFormat="1" applyFont="1" applyFill="1" applyBorder="1" applyAlignment="1" applyProtection="1">
      <alignment horizontal="center" vertical="center" wrapText="1"/>
    </xf>
    <xf numFmtId="0" fontId="46" fillId="2" borderId="84" xfId="0" applyFont="1" applyFill="1" applyBorder="1" applyAlignment="1" applyProtection="1">
      <alignment vertical="center" wrapText="1"/>
    </xf>
    <xf numFmtId="0" fontId="42" fillId="0" borderId="56" xfId="0" applyFont="1" applyFill="1" applyBorder="1" applyAlignment="1" applyProtection="1">
      <alignment horizontal="center" vertical="center" wrapText="1"/>
      <protection locked="0"/>
    </xf>
    <xf numFmtId="0" fontId="43" fillId="0" borderId="101" xfId="0" applyNumberFormat="1" applyFont="1" applyFill="1" applyBorder="1" applyAlignment="1" applyProtection="1">
      <alignment horizontal="center" vertical="center" wrapText="1"/>
      <protection locked="0"/>
    </xf>
    <xf numFmtId="0" fontId="43" fillId="2" borderId="11" xfId="0" applyNumberFormat="1" applyFont="1" applyFill="1" applyBorder="1" applyAlignment="1" applyProtection="1">
      <alignment horizontal="center" vertical="center" wrapText="1"/>
    </xf>
    <xf numFmtId="0" fontId="46" fillId="2" borderId="53" xfId="0" applyFont="1" applyFill="1" applyBorder="1" applyAlignment="1" applyProtection="1">
      <alignment vertical="center" wrapText="1"/>
    </xf>
    <xf numFmtId="0" fontId="42" fillId="2" borderId="60" xfId="0" applyFont="1" applyFill="1" applyBorder="1" applyAlignment="1" applyProtection="1">
      <alignment horizontal="center" vertical="center" wrapText="1"/>
    </xf>
    <xf numFmtId="0" fontId="43" fillId="2" borderId="53" xfId="0" applyNumberFormat="1" applyFont="1" applyFill="1" applyBorder="1" applyAlignment="1" applyProtection="1">
      <alignment horizontal="center" vertical="center" wrapText="1"/>
    </xf>
    <xf numFmtId="0" fontId="43" fillId="2" borderId="60" xfId="0" applyNumberFormat="1" applyFont="1" applyFill="1" applyBorder="1" applyAlignment="1" applyProtection="1">
      <alignment horizontal="center" vertical="center" wrapText="1"/>
    </xf>
    <xf numFmtId="49" fontId="43" fillId="0" borderId="86" xfId="0" applyNumberFormat="1" applyFont="1" applyFill="1" applyBorder="1" applyAlignment="1" applyProtection="1">
      <alignment horizontal="center" vertical="center" wrapText="1"/>
      <protection locked="0"/>
    </xf>
    <xf numFmtId="0" fontId="43" fillId="2" borderId="75" xfId="0" applyFont="1" applyFill="1" applyBorder="1" applyAlignment="1" applyProtection="1">
      <alignment horizontal="center" vertical="center"/>
    </xf>
    <xf numFmtId="0" fontId="43" fillId="12" borderId="100" xfId="0" applyNumberFormat="1" applyFont="1" applyFill="1" applyBorder="1" applyAlignment="1" applyProtection="1">
      <alignment horizontal="center" vertical="center" wrapText="1"/>
      <protection locked="0"/>
    </xf>
    <xf numFmtId="0" fontId="43" fillId="2" borderId="80" xfId="0" applyNumberFormat="1" applyFont="1" applyFill="1" applyBorder="1" applyAlignment="1" applyProtection="1">
      <alignment horizontal="center" vertical="center" wrapText="1"/>
    </xf>
    <xf numFmtId="0" fontId="43" fillId="12" borderId="59" xfId="0" applyNumberFormat="1" applyFont="1" applyFill="1" applyBorder="1" applyAlignment="1" applyProtection="1">
      <alignment horizontal="center" vertical="center" wrapText="1"/>
      <protection locked="0"/>
    </xf>
    <xf numFmtId="0" fontId="43" fillId="2" borderId="70" xfId="0" applyNumberFormat="1" applyFont="1" applyFill="1" applyBorder="1" applyAlignment="1" applyProtection="1">
      <alignment horizontal="center" vertical="center" wrapText="1"/>
    </xf>
    <xf numFmtId="0" fontId="42" fillId="2" borderId="61" xfId="0" applyFont="1" applyFill="1" applyBorder="1" applyAlignment="1" applyProtection="1">
      <alignment horizontal="center" vertical="center" wrapText="1"/>
    </xf>
    <xf numFmtId="0" fontId="43" fillId="2" borderId="57" xfId="0" applyNumberFormat="1" applyFont="1" applyFill="1" applyBorder="1" applyAlignment="1" applyProtection="1">
      <alignment horizontal="center" vertical="center" wrapText="1"/>
    </xf>
    <xf numFmtId="49" fontId="43" fillId="0" borderId="102" xfId="0" applyNumberFormat="1" applyFont="1" applyFill="1" applyBorder="1" applyAlignment="1" applyProtection="1">
      <alignment horizontal="center" vertical="center" wrapText="1"/>
      <protection locked="0"/>
    </xf>
    <xf numFmtId="0" fontId="43" fillId="2" borderId="61" xfId="0" applyNumberFormat="1" applyFont="1" applyFill="1" applyBorder="1" applyAlignment="1" applyProtection="1">
      <alignment horizontal="center" vertical="center" wrapText="1"/>
    </xf>
    <xf numFmtId="0" fontId="42" fillId="2" borderId="80" xfId="0" applyFont="1" applyFill="1" applyBorder="1" applyAlignment="1" applyProtection="1">
      <alignment horizontal="center" vertical="center" wrapText="1"/>
    </xf>
    <xf numFmtId="49" fontId="43" fillId="12" borderId="59" xfId="0" applyNumberFormat="1" applyFont="1" applyFill="1" applyBorder="1" applyAlignment="1" applyProtection="1">
      <alignment horizontal="center" vertical="center" wrapText="1"/>
      <protection locked="0"/>
    </xf>
    <xf numFmtId="0" fontId="64" fillId="2" borderId="62" xfId="0" applyFont="1" applyFill="1" applyBorder="1" applyAlignment="1" applyProtection="1">
      <alignment vertical="center" wrapText="1"/>
    </xf>
    <xf numFmtId="0" fontId="42" fillId="12" borderId="103" xfId="0" applyNumberFormat="1" applyFont="1" applyFill="1" applyBorder="1" applyAlignment="1" applyProtection="1">
      <alignment horizontal="center" vertical="center" wrapText="1"/>
      <protection locked="0"/>
    </xf>
    <xf numFmtId="0" fontId="42" fillId="2" borderId="70" xfId="0" applyFont="1" applyFill="1" applyBorder="1" applyAlignment="1" applyProtection="1">
      <alignment horizontal="center" vertical="center" wrapText="1"/>
    </xf>
    <xf numFmtId="0" fontId="42" fillId="12" borderId="39" xfId="0" applyNumberFormat="1" applyFont="1" applyFill="1" applyBorder="1" applyAlignment="1" applyProtection="1">
      <alignment horizontal="center" vertical="center" wrapText="1"/>
      <protection locked="0"/>
    </xf>
    <xf numFmtId="0" fontId="43" fillId="12" borderId="71" xfId="0" applyNumberFormat="1" applyFont="1" applyFill="1" applyBorder="1" applyAlignment="1" applyProtection="1">
      <alignment horizontal="center" vertical="center" wrapText="1"/>
      <protection locked="0"/>
    </xf>
    <xf numFmtId="0" fontId="43" fillId="12" borderId="15" xfId="0" applyNumberFormat="1" applyFont="1" applyFill="1" applyBorder="1" applyAlignment="1" applyProtection="1">
      <alignment horizontal="center" vertical="center" wrapText="1"/>
      <protection locked="0"/>
    </xf>
    <xf numFmtId="0" fontId="43" fillId="2" borderId="79" xfId="0" applyNumberFormat="1" applyFont="1" applyFill="1" applyBorder="1" applyAlignment="1" applyProtection="1">
      <alignment horizontal="center" vertical="center" wrapText="1"/>
    </xf>
    <xf numFmtId="0" fontId="42" fillId="2" borderId="8" xfId="0" applyFont="1" applyFill="1" applyBorder="1" applyAlignment="1" applyProtection="1">
      <alignment horizontal="center" vertical="center" wrapText="1"/>
    </xf>
    <xf numFmtId="0" fontId="43" fillId="2" borderId="71" xfId="0" applyNumberFormat="1" applyFont="1" applyFill="1" applyBorder="1" applyAlignment="1" applyProtection="1">
      <alignment horizontal="center" vertical="center" wrapText="1"/>
    </xf>
    <xf numFmtId="0" fontId="42" fillId="0" borderId="8" xfId="0" applyFont="1" applyFill="1" applyBorder="1" applyAlignment="1" applyProtection="1">
      <alignment horizontal="center" vertical="center" wrapText="1"/>
      <protection locked="0"/>
    </xf>
    <xf numFmtId="0" fontId="43" fillId="0" borderId="14" xfId="0" applyNumberFormat="1" applyFont="1" applyFill="1" applyBorder="1" applyAlignment="1" applyProtection="1">
      <alignment horizontal="center" vertical="center" wrapText="1"/>
      <protection locked="0"/>
    </xf>
    <xf numFmtId="0" fontId="43" fillId="2" borderId="62" xfId="0" applyFont="1" applyFill="1" applyBorder="1" applyAlignment="1" applyProtection="1">
      <alignment horizontal="center" vertical="center"/>
    </xf>
    <xf numFmtId="0" fontId="43" fillId="0" borderId="8" xfId="0" applyFont="1" applyFill="1" applyBorder="1" applyAlignment="1" applyProtection="1">
      <alignment horizontal="center" vertical="center"/>
      <protection locked="0"/>
    </xf>
    <xf numFmtId="0" fontId="66" fillId="2" borderId="98" xfId="0" applyFont="1" applyFill="1" applyBorder="1" applyAlignment="1" applyProtection="1">
      <alignment vertical="center" textRotation="255" wrapText="1"/>
    </xf>
    <xf numFmtId="0" fontId="58" fillId="0" borderId="11" xfId="0" applyFont="1" applyFill="1" applyBorder="1" applyAlignment="1" applyProtection="1">
      <alignment horizontal="center" vertical="center"/>
      <protection locked="0"/>
    </xf>
    <xf numFmtId="0" fontId="43" fillId="0" borderId="9" xfId="0" applyNumberFormat="1" applyFont="1" applyFill="1" applyBorder="1" applyAlignment="1" applyProtection="1">
      <alignment horizontal="center" vertical="center" wrapText="1"/>
      <protection locked="0"/>
    </xf>
    <xf numFmtId="0" fontId="42" fillId="2" borderId="11" xfId="0" applyNumberFormat="1" applyFont="1" applyFill="1" applyBorder="1" applyAlignment="1" applyProtection="1">
      <alignment horizontal="center" vertical="center" wrapText="1"/>
    </xf>
    <xf numFmtId="0" fontId="43" fillId="0" borderId="87" xfId="0" applyNumberFormat="1" applyFont="1" applyFill="1" applyBorder="1" applyAlignment="1" applyProtection="1">
      <alignment horizontal="center" vertical="center" wrapText="1"/>
      <protection locked="0"/>
    </xf>
    <xf numFmtId="0" fontId="46" fillId="2" borderId="79" xfId="0" applyFont="1" applyFill="1" applyBorder="1" applyAlignment="1" applyProtection="1">
      <alignment vertical="center" textRotation="255" wrapText="1"/>
    </xf>
    <xf numFmtId="0" fontId="42" fillId="2" borderId="58" xfId="0" applyFont="1" applyFill="1" applyBorder="1" applyAlignment="1" applyProtection="1">
      <alignment horizontal="center" vertical="center" wrapText="1"/>
    </xf>
    <xf numFmtId="0" fontId="43" fillId="0" borderId="3" xfId="0" applyNumberFormat="1" applyFont="1" applyFill="1" applyBorder="1" applyAlignment="1" applyProtection="1">
      <alignment horizontal="center" vertical="center" wrapText="1"/>
      <protection locked="0"/>
    </xf>
    <xf numFmtId="0" fontId="43" fillId="2" borderId="5" xfId="0" applyNumberFormat="1" applyFont="1" applyFill="1" applyBorder="1" applyAlignment="1" applyProtection="1">
      <alignment horizontal="center" vertical="center" wrapText="1"/>
    </xf>
    <xf numFmtId="49" fontId="43" fillId="12" borderId="6" xfId="0" applyNumberFormat="1" applyFont="1" applyFill="1" applyBorder="1" applyAlignment="1" applyProtection="1">
      <alignment horizontal="center" vertical="center" wrapText="1"/>
      <protection locked="0"/>
    </xf>
    <xf numFmtId="0" fontId="64" fillId="2" borderId="79" xfId="0" applyFont="1" applyFill="1" applyBorder="1" applyAlignment="1" applyProtection="1">
      <alignment vertical="center" textRotation="255" wrapText="1"/>
    </xf>
    <xf numFmtId="9" fontId="42" fillId="12" borderId="71" xfId="0" applyNumberFormat="1" applyFont="1" applyFill="1" applyBorder="1" applyAlignment="1" applyProtection="1">
      <alignment horizontal="center" vertical="center" wrapText="1"/>
      <protection locked="0"/>
    </xf>
    <xf numFmtId="0" fontId="43" fillId="0" borderId="13" xfId="0" applyFont="1" applyFill="1" applyBorder="1" applyAlignment="1" applyProtection="1">
      <alignment horizontal="center" vertical="center"/>
      <protection locked="0"/>
    </xf>
    <xf numFmtId="0" fontId="66" fillId="2" borderId="79" xfId="0" applyFont="1" applyFill="1" applyBorder="1" applyAlignment="1" applyProtection="1">
      <alignment vertical="center" textRotation="255" wrapText="1"/>
    </xf>
    <xf numFmtId="0" fontId="58" fillId="0" borderId="101" xfId="0" applyNumberFormat="1" applyFont="1" applyFill="1" applyBorder="1" applyAlignment="1" applyProtection="1">
      <alignment horizontal="center" vertical="center" wrapText="1"/>
      <protection locked="0"/>
    </xf>
    <xf numFmtId="49" fontId="46" fillId="2" borderId="66" xfId="0" applyNumberFormat="1" applyFont="1" applyFill="1" applyBorder="1" applyAlignment="1" applyProtection="1">
      <alignment vertical="center"/>
    </xf>
    <xf numFmtId="49" fontId="46" fillId="12" borderId="5" xfId="0" applyNumberFormat="1" applyFont="1" applyFill="1" applyBorder="1" applyAlignment="1" applyProtection="1">
      <alignment vertical="center"/>
      <protection locked="0"/>
    </xf>
    <xf numFmtId="0" fontId="46" fillId="2" borderId="67" xfId="0" applyFont="1" applyFill="1" applyBorder="1" applyAlignment="1" applyProtection="1">
      <alignment horizontal="right" vertical="center" wrapText="1"/>
    </xf>
    <xf numFmtId="0" fontId="46" fillId="2" borderId="68" xfId="0" applyFont="1" applyFill="1" applyBorder="1" applyAlignment="1" applyProtection="1">
      <alignment vertical="center" wrapText="1"/>
    </xf>
    <xf numFmtId="0" fontId="67" fillId="13" borderId="67" xfId="0" applyFont="1" applyFill="1" applyBorder="1" applyAlignment="1" applyProtection="1">
      <alignment vertical="center" wrapText="1"/>
      <protection locked="0"/>
    </xf>
    <xf numFmtId="0" fontId="67" fillId="2" borderId="67" xfId="0" applyFont="1" applyFill="1" applyBorder="1" applyAlignment="1" applyProtection="1">
      <alignment vertical="center" wrapText="1"/>
    </xf>
    <xf numFmtId="0" fontId="67" fillId="13" borderId="66" xfId="0" applyFont="1" applyFill="1" applyBorder="1" applyAlignment="1" applyProtection="1">
      <alignment vertical="center" wrapText="1"/>
      <protection locked="0"/>
    </xf>
    <xf numFmtId="0" fontId="67" fillId="2" borderId="68" xfId="0" applyFont="1" applyFill="1" applyBorder="1" applyAlignment="1" applyProtection="1">
      <alignment vertical="center" wrapText="1"/>
    </xf>
    <xf numFmtId="49" fontId="46" fillId="2" borderId="101" xfId="0" applyNumberFormat="1" applyFont="1" applyFill="1" applyBorder="1" applyAlignment="1" applyProtection="1">
      <alignment vertical="center"/>
    </xf>
    <xf numFmtId="49" fontId="46" fillId="2" borderId="97" xfId="0" applyNumberFormat="1" applyFont="1" applyFill="1" applyBorder="1" applyAlignment="1" applyProtection="1">
      <alignment vertical="center"/>
    </xf>
    <xf numFmtId="178" fontId="46" fillId="2" borderId="89" xfId="0" applyNumberFormat="1" applyFont="1" applyFill="1" applyBorder="1" applyAlignment="1" applyProtection="1">
      <alignment vertical="center" wrapText="1"/>
    </xf>
    <xf numFmtId="0" fontId="48" fillId="11" borderId="97" xfId="0" applyNumberFormat="1" applyFont="1" applyFill="1" applyBorder="1" applyAlignment="1" applyProtection="1">
      <alignment horizontal="left" vertical="center" wrapText="1"/>
      <protection locked="0"/>
    </xf>
    <xf numFmtId="187" fontId="46" fillId="11" borderId="97" xfId="0" applyNumberFormat="1" applyFont="1" applyFill="1" applyBorder="1" applyAlignment="1" applyProtection="1">
      <alignment horizontal="left" vertical="center" wrapText="1"/>
      <protection locked="0"/>
    </xf>
    <xf numFmtId="178" fontId="46" fillId="2" borderId="101" xfId="0" applyNumberFormat="1" applyFont="1" applyFill="1" applyBorder="1" applyAlignment="1" applyProtection="1">
      <alignment vertical="center" wrapText="1"/>
    </xf>
    <xf numFmtId="49" fontId="46" fillId="0" borderId="98" xfId="0" applyNumberFormat="1" applyFont="1" applyFill="1" applyBorder="1" applyAlignment="1" applyProtection="1">
      <alignment vertical="center"/>
      <protection locked="0"/>
    </xf>
    <xf numFmtId="49" fontId="46" fillId="0" borderId="74" xfId="0" applyNumberFormat="1" applyFont="1" applyFill="1" applyBorder="1" applyAlignment="1" applyProtection="1">
      <alignment vertical="center"/>
      <protection locked="0"/>
    </xf>
    <xf numFmtId="178" fontId="46" fillId="2" borderId="18" xfId="0" applyNumberFormat="1" applyFont="1" applyFill="1" applyBorder="1" applyAlignment="1" applyProtection="1">
      <alignment vertical="center" wrapText="1"/>
    </xf>
    <xf numFmtId="9" fontId="43" fillId="0" borderId="0" xfId="0" applyNumberFormat="1" applyFont="1" applyFill="1" applyAlignment="1" applyProtection="1">
      <alignment horizontal="center" vertical="center"/>
      <protection locked="0"/>
    </xf>
    <xf numFmtId="0" fontId="46" fillId="2" borderId="7" xfId="0" applyFont="1" applyFill="1" applyBorder="1" applyAlignment="1" applyProtection="1">
      <alignment horizontal="left" vertical="center"/>
    </xf>
    <xf numFmtId="0" fontId="46" fillId="2" borderId="7" xfId="0" applyFont="1" applyFill="1" applyBorder="1" applyAlignment="1" applyProtection="1">
      <alignment horizontal="center" vertical="center" wrapText="1"/>
    </xf>
    <xf numFmtId="187" fontId="43" fillId="2" borderId="13" xfId="0" applyNumberFormat="1" applyFont="1" applyFill="1" applyBorder="1" applyAlignment="1" applyProtection="1">
      <alignment horizontal="center" vertical="center"/>
    </xf>
    <xf numFmtId="187" fontId="43" fillId="2" borderId="14" xfId="0" applyNumberFormat="1" applyFont="1" applyFill="1" applyBorder="1" applyAlignment="1" applyProtection="1">
      <alignment vertical="center"/>
    </xf>
    <xf numFmtId="0" fontId="46" fillId="2" borderId="14" xfId="0" applyFont="1" applyFill="1" applyBorder="1" applyAlignment="1" applyProtection="1">
      <alignment horizontal="center" vertical="center" wrapText="1"/>
    </xf>
    <xf numFmtId="14" fontId="43" fillId="0" borderId="0" xfId="0" applyNumberFormat="1" applyFont="1" applyFill="1" applyAlignment="1" applyProtection="1">
      <alignment horizontal="center" vertical="center"/>
      <protection locked="0"/>
    </xf>
    <xf numFmtId="189" fontId="43" fillId="0" borderId="0" xfId="0" applyNumberFormat="1" applyFont="1" applyFill="1" applyAlignment="1" applyProtection="1">
      <alignment horizontal="center" vertical="center"/>
      <protection locked="0"/>
    </xf>
    <xf numFmtId="14" fontId="43" fillId="2" borderId="3" xfId="0" applyNumberFormat="1" applyFont="1" applyFill="1" applyBorder="1" applyAlignment="1" applyProtection="1">
      <alignment horizontal="left" vertical="center"/>
    </xf>
    <xf numFmtId="189" fontId="43" fillId="2" borderId="4" xfId="0" applyNumberFormat="1" applyFont="1" applyFill="1" applyBorder="1" applyAlignment="1" applyProtection="1">
      <alignment horizontal="center" vertical="center"/>
    </xf>
    <xf numFmtId="0" fontId="43" fillId="3" borderId="4" xfId="0" applyFont="1" applyFill="1" applyBorder="1" applyAlignment="1" applyProtection="1">
      <alignment horizontal="center" vertical="center"/>
      <protection locked="0"/>
    </xf>
    <xf numFmtId="0" fontId="43" fillId="2" borderId="63" xfId="0" applyFont="1" applyFill="1" applyBorder="1" applyAlignment="1" applyProtection="1">
      <alignment horizontal="center" vertical="center" wrapText="1"/>
      <protection locked="0"/>
    </xf>
    <xf numFmtId="0" fontId="43" fillId="2" borderId="4" xfId="0" applyFont="1" applyFill="1" applyBorder="1" applyAlignment="1" applyProtection="1">
      <alignment horizontal="center" vertical="center"/>
    </xf>
    <xf numFmtId="0" fontId="43" fillId="2" borderId="5" xfId="0" applyFont="1" applyFill="1" applyBorder="1" applyAlignment="1" applyProtection="1">
      <alignment horizontal="center" vertical="center"/>
    </xf>
    <xf numFmtId="0" fontId="43" fillId="2" borderId="7" xfId="0" applyFont="1" applyFill="1" applyBorder="1" applyAlignment="1" applyProtection="1">
      <alignment horizontal="center" vertical="center"/>
    </xf>
    <xf numFmtId="0" fontId="24" fillId="2" borderId="6" xfId="0" applyFont="1" applyFill="1" applyBorder="1" applyAlignment="1" applyProtection="1"/>
    <xf numFmtId="178" fontId="24" fillId="2" borderId="7" xfId="57" applyNumberFormat="1" applyFont="1" applyFill="1" applyBorder="1" applyAlignment="1" applyProtection="1">
      <alignment horizontal="center"/>
    </xf>
    <xf numFmtId="0" fontId="24" fillId="2" borderId="7" xfId="0" applyFont="1" applyFill="1" applyBorder="1" applyAlignment="1" applyProtection="1">
      <alignment horizontal="center"/>
    </xf>
    <xf numFmtId="185" fontId="24" fillId="0" borderId="7" xfId="57" applyNumberFormat="1" applyFont="1" applyFill="1" applyBorder="1" applyAlignment="1" applyProtection="1">
      <alignment horizontal="center"/>
      <protection locked="0"/>
    </xf>
    <xf numFmtId="183" fontId="24" fillId="2" borderId="8" xfId="57" applyNumberFormat="1" applyFont="1" applyFill="1" applyBorder="1" applyAlignment="1" applyProtection="1">
      <alignment horizontal="center"/>
    </xf>
    <xf numFmtId="0" fontId="18" fillId="2" borderId="7" xfId="0" applyFont="1" applyFill="1" applyBorder="1" applyAlignment="1" applyProtection="1">
      <alignment horizontal="center" vertical="center"/>
    </xf>
    <xf numFmtId="0" fontId="24" fillId="2" borderId="6" xfId="57" applyFont="1" applyFill="1" applyBorder="1" applyAlignment="1" applyProtection="1"/>
    <xf numFmtId="0" fontId="24" fillId="2" borderId="7" xfId="57" applyFont="1" applyFill="1" applyBorder="1" applyAlignment="1" applyProtection="1">
      <alignment horizontal="center"/>
    </xf>
    <xf numFmtId="0" fontId="24" fillId="2" borderId="7" xfId="0" applyFont="1" applyFill="1" applyBorder="1" applyAlignment="1" applyProtection="1">
      <alignment horizontal="center" vertical="center" wrapText="1"/>
    </xf>
    <xf numFmtId="9" fontId="60" fillId="3" borderId="7" xfId="0" applyNumberFormat="1" applyFont="1" applyFill="1" applyBorder="1" applyAlignment="1" applyProtection="1">
      <alignment horizontal="center" vertical="center"/>
      <protection locked="0"/>
    </xf>
    <xf numFmtId="0" fontId="18" fillId="0" borderId="7" xfId="0" applyFont="1" applyFill="1" applyBorder="1" applyAlignment="1" applyProtection="1">
      <alignment horizontal="center" vertical="center"/>
      <protection locked="0"/>
    </xf>
    <xf numFmtId="0" fontId="48" fillId="2" borderId="9" xfId="57" applyFont="1" applyFill="1" applyBorder="1" applyAlignment="1" applyProtection="1"/>
    <xf numFmtId="0" fontId="24" fillId="2" borderId="10" xfId="0" applyFont="1" applyFill="1" applyBorder="1" applyAlignment="1" applyProtection="1">
      <alignment horizontal="center"/>
    </xf>
    <xf numFmtId="183" fontId="48" fillId="2" borderId="11" xfId="0" applyNumberFormat="1" applyFont="1" applyFill="1" applyBorder="1" applyAlignment="1" applyProtection="1">
      <alignment horizontal="center"/>
    </xf>
    <xf numFmtId="0" fontId="24" fillId="2" borderId="0" xfId="0" applyFont="1" applyFill="1" applyAlignment="1" applyProtection="1">
      <protection locked="0"/>
    </xf>
    <xf numFmtId="0" fontId="43" fillId="2" borderId="0" xfId="0" applyFont="1" applyFill="1" applyAlignment="1" applyProtection="1">
      <alignment horizontal="center" vertical="center"/>
      <protection locked="0"/>
    </xf>
    <xf numFmtId="14" fontId="43" fillId="2" borderId="0" xfId="0" applyNumberFormat="1" applyFont="1" applyFill="1" applyAlignment="1" applyProtection="1">
      <alignment horizontal="center" vertical="center"/>
      <protection locked="0"/>
    </xf>
    <xf numFmtId="189" fontId="43" fillId="2" borderId="0" xfId="0" applyNumberFormat="1" applyFont="1" applyFill="1" applyAlignment="1" applyProtection="1">
      <alignment horizontal="center" vertical="center"/>
      <protection locked="0"/>
    </xf>
    <xf numFmtId="14" fontId="43" fillId="2" borderId="0" xfId="0" applyNumberFormat="1" applyFont="1" applyFill="1" applyAlignment="1" applyProtection="1">
      <alignment horizontal="center" vertical="center"/>
    </xf>
    <xf numFmtId="0" fontId="68" fillId="2" borderId="0" xfId="0" applyFont="1" applyFill="1" applyBorder="1" applyAlignment="1" applyProtection="1"/>
    <xf numFmtId="0" fontId="43" fillId="2" borderId="0" xfId="0" applyFont="1" applyFill="1" applyAlignment="1" applyProtection="1">
      <alignment horizontal="center" vertical="center"/>
    </xf>
    <xf numFmtId="0" fontId="43" fillId="2" borderId="0" xfId="0" applyFont="1" applyFill="1" applyBorder="1" applyAlignment="1" applyProtection="1"/>
    <xf numFmtId="0" fontId="43" fillId="2" borderId="0" xfId="0" applyFont="1" applyFill="1" applyBorder="1" applyAlignment="1" applyProtection="1">
      <alignment horizontal="center"/>
    </xf>
    <xf numFmtId="184" fontId="61" fillId="2" borderId="38" xfId="0" applyNumberFormat="1" applyFont="1" applyFill="1" applyBorder="1" applyAlignment="1" applyProtection="1">
      <alignment horizontal="center" vertical="center"/>
    </xf>
    <xf numFmtId="187" fontId="61" fillId="2" borderId="38" xfId="0" applyNumberFormat="1" applyFont="1" applyFill="1" applyBorder="1" applyAlignment="1" applyProtection="1">
      <alignment vertical="center"/>
    </xf>
    <xf numFmtId="0" fontId="61" fillId="2" borderId="38" xfId="0" applyFont="1" applyFill="1" applyBorder="1" applyAlignment="1" applyProtection="1">
      <alignment horizontal="center" vertical="center"/>
    </xf>
    <xf numFmtId="0" fontId="61" fillId="2" borderId="0" xfId="0" applyFont="1" applyFill="1" applyBorder="1" applyAlignment="1" applyProtection="1">
      <alignment horizontal="center" vertical="center"/>
    </xf>
    <xf numFmtId="184" fontId="61" fillId="0" borderId="0" xfId="0" applyNumberFormat="1" applyFont="1" applyFill="1" applyBorder="1" applyAlignment="1" applyProtection="1">
      <alignment horizontal="center" vertical="center"/>
      <protection locked="0"/>
    </xf>
    <xf numFmtId="187" fontId="61" fillId="0" borderId="0" xfId="0" applyNumberFormat="1" applyFont="1" applyFill="1" applyBorder="1" applyAlignment="1" applyProtection="1">
      <alignment vertical="center"/>
      <protection locked="0"/>
    </xf>
    <xf numFmtId="0" fontId="61" fillId="0" borderId="0" xfId="0" applyFont="1" applyFill="1" applyBorder="1" applyAlignment="1" applyProtection="1">
      <alignment horizontal="center" vertical="center"/>
      <protection locked="0"/>
    </xf>
    <xf numFmtId="184" fontId="42" fillId="2" borderId="14" xfId="0" applyNumberFormat="1" applyFont="1" applyFill="1" applyBorder="1" applyAlignment="1" applyProtection="1">
      <alignment horizontal="center" vertical="center" wrapText="1"/>
    </xf>
    <xf numFmtId="187" fontId="42" fillId="0" borderId="0" xfId="0" applyNumberFormat="1" applyFont="1" applyFill="1" applyBorder="1" applyAlignment="1" applyProtection="1">
      <alignment vertical="center" wrapText="1"/>
      <protection locked="0"/>
    </xf>
    <xf numFmtId="0" fontId="43" fillId="0" borderId="0" xfId="0" applyFont="1" applyFill="1" applyBorder="1" applyAlignment="1" applyProtection="1">
      <alignment horizontal="center" vertical="center"/>
      <protection locked="0"/>
    </xf>
    <xf numFmtId="0" fontId="43" fillId="2" borderId="83" xfId="0" applyFont="1" applyFill="1" applyBorder="1" applyAlignment="1" applyProtection="1">
      <alignment horizontal="center" vertical="center" wrapText="1"/>
    </xf>
    <xf numFmtId="0" fontId="43" fillId="2" borderId="69" xfId="0" applyFont="1" applyFill="1" applyBorder="1" applyAlignment="1" applyProtection="1">
      <alignment horizontal="center" vertical="center" wrapText="1"/>
    </xf>
    <xf numFmtId="0" fontId="43" fillId="2" borderId="58" xfId="0" applyFont="1" applyFill="1" applyBorder="1" applyAlignment="1" applyProtection="1">
      <alignment horizontal="center" vertical="center" wrapText="1"/>
    </xf>
    <xf numFmtId="0" fontId="42" fillId="2" borderId="14" xfId="0" applyNumberFormat="1" applyFont="1" applyFill="1" applyBorder="1" applyAlignment="1" applyProtection="1">
      <alignment horizontal="center" vertical="center" wrapText="1"/>
    </xf>
    <xf numFmtId="187" fontId="42" fillId="0" borderId="0" xfId="0" applyNumberFormat="1" applyFont="1" applyFill="1" applyBorder="1" applyAlignment="1" applyProtection="1">
      <alignment horizontal="center" vertical="center" wrapText="1"/>
      <protection locked="0"/>
    </xf>
    <xf numFmtId="0" fontId="42" fillId="0" borderId="0" xfId="0" applyFont="1" applyFill="1" applyBorder="1" applyAlignment="1" applyProtection="1">
      <alignment horizontal="center" vertical="center"/>
      <protection locked="0"/>
    </xf>
    <xf numFmtId="0" fontId="42" fillId="2" borderId="13" xfId="0" applyFont="1" applyFill="1" applyBorder="1" applyAlignment="1" applyProtection="1">
      <alignment horizontal="center" vertical="center"/>
    </xf>
    <xf numFmtId="0" fontId="42" fillId="0" borderId="102" xfId="0" applyFont="1" applyFill="1" applyBorder="1" applyAlignment="1" applyProtection="1">
      <alignment horizontal="center" vertical="center"/>
      <protection locked="0"/>
    </xf>
    <xf numFmtId="0" fontId="43" fillId="2" borderId="7" xfId="0" applyFont="1" applyFill="1" applyBorder="1" applyAlignment="1" applyProtection="1">
      <alignment horizontal="center" vertical="center" wrapText="1"/>
    </xf>
    <xf numFmtId="0" fontId="69" fillId="2" borderId="14" xfId="0" applyNumberFormat="1" applyFont="1" applyFill="1" applyBorder="1" applyAlignment="1" applyProtection="1">
      <alignment horizontal="center" vertical="center" wrapText="1"/>
    </xf>
    <xf numFmtId="187" fontId="57" fillId="0" borderId="0" xfId="0" applyNumberFormat="1" applyFont="1" applyFill="1" applyBorder="1" applyAlignment="1" applyProtection="1">
      <alignment horizontal="center" vertical="center" wrapText="1"/>
      <protection locked="0"/>
    </xf>
    <xf numFmtId="0" fontId="57" fillId="0" borderId="0" xfId="0" applyFont="1" applyFill="1" applyBorder="1" applyAlignment="1" applyProtection="1">
      <alignment horizontal="center" vertical="center"/>
      <protection locked="0"/>
    </xf>
    <xf numFmtId="0" fontId="57" fillId="0" borderId="102" xfId="0" applyFont="1" applyFill="1" applyBorder="1" applyAlignment="1" applyProtection="1">
      <alignment horizontal="center" vertical="center"/>
      <protection locked="0"/>
    </xf>
    <xf numFmtId="0" fontId="69" fillId="0" borderId="14" xfId="0" applyNumberFormat="1" applyFont="1" applyFill="1" applyBorder="1" applyAlignment="1" applyProtection="1">
      <alignment horizontal="center" vertical="center" wrapText="1"/>
      <protection locked="0"/>
    </xf>
    <xf numFmtId="187" fontId="58" fillId="0" borderId="0" xfId="0" applyNumberFormat="1" applyFont="1" applyFill="1" applyBorder="1" applyAlignment="1" applyProtection="1">
      <alignment horizontal="center" vertical="center" wrapText="1"/>
      <protection locked="0"/>
    </xf>
    <xf numFmtId="0" fontId="43" fillId="0" borderId="102" xfId="0" applyFont="1" applyFill="1" applyBorder="1" applyAlignment="1" applyProtection="1">
      <alignment horizontal="center" vertical="center"/>
      <protection locked="0"/>
    </xf>
    <xf numFmtId="187" fontId="59" fillId="0" borderId="0" xfId="0" applyNumberFormat="1" applyFont="1" applyFill="1" applyBorder="1" applyAlignment="1" applyProtection="1">
      <alignment horizontal="center" vertical="center" wrapText="1"/>
      <protection locked="0"/>
    </xf>
    <xf numFmtId="49" fontId="43" fillId="0" borderId="53" xfId="0" applyNumberFormat="1" applyFont="1" applyFill="1" applyBorder="1" applyAlignment="1" applyProtection="1">
      <alignment horizontal="center" vertical="center" wrapText="1"/>
      <protection locked="0"/>
    </xf>
    <xf numFmtId="0" fontId="43" fillId="2" borderId="12" xfId="0" applyFont="1" applyFill="1" applyBorder="1" applyAlignment="1" applyProtection="1">
      <alignment horizontal="center" vertical="center" wrapText="1"/>
    </xf>
    <xf numFmtId="0" fontId="43" fillId="2" borderId="52" xfId="0" applyFont="1" applyFill="1" applyBorder="1" applyAlignment="1" applyProtection="1">
      <alignment horizontal="center" vertical="center" wrapText="1"/>
    </xf>
    <xf numFmtId="49" fontId="43" fillId="0" borderId="79" xfId="0" applyNumberFormat="1" applyFont="1" applyFill="1" applyBorder="1" applyAlignment="1" applyProtection="1">
      <alignment horizontal="center" vertical="center" wrapText="1"/>
      <protection locked="0"/>
    </xf>
    <xf numFmtId="49" fontId="43" fillId="12" borderId="100" xfId="0" applyNumberFormat="1" applyFont="1" applyFill="1" applyBorder="1" applyAlignment="1" applyProtection="1">
      <alignment horizontal="center" vertical="center" wrapText="1"/>
      <protection locked="0"/>
    </xf>
    <xf numFmtId="0" fontId="69" fillId="2" borderId="14" xfId="0" applyNumberFormat="1" applyFont="1" applyFill="1" applyBorder="1" applyAlignment="1" applyProtection="1">
      <alignment horizontal="center" vertical="center" wrapText="1"/>
      <protection locked="0"/>
    </xf>
    <xf numFmtId="0" fontId="54" fillId="2" borderId="14" xfId="0" applyNumberFormat="1" applyFont="1" applyFill="1" applyBorder="1" applyAlignment="1" applyProtection="1">
      <alignment horizontal="center" vertical="center" wrapText="1"/>
    </xf>
    <xf numFmtId="0" fontId="54" fillId="0" borderId="14" xfId="0" applyNumberFormat="1" applyFont="1" applyFill="1" applyBorder="1" applyAlignment="1" applyProtection="1">
      <alignment horizontal="center" vertical="center" wrapText="1"/>
      <protection locked="0"/>
    </xf>
    <xf numFmtId="0" fontId="43" fillId="2" borderId="12" xfId="0" applyFont="1" applyFill="1" applyBorder="1" applyAlignment="1" applyProtection="1">
      <alignment horizontal="center" vertical="center" textRotation="255" wrapText="1"/>
    </xf>
    <xf numFmtId="0" fontId="58" fillId="0" borderId="0" xfId="0" applyFont="1" applyFill="1" applyBorder="1" applyAlignment="1" applyProtection="1">
      <alignment horizontal="center" vertical="center"/>
      <protection locked="0"/>
    </xf>
    <xf numFmtId="0" fontId="58" fillId="0" borderId="102" xfId="0" applyFont="1" applyFill="1" applyBorder="1" applyAlignment="1" applyProtection="1">
      <alignment horizontal="center" vertical="center"/>
      <protection locked="0"/>
    </xf>
    <xf numFmtId="0" fontId="43" fillId="2" borderId="52" xfId="0" applyFont="1" applyFill="1" applyBorder="1" applyAlignment="1" applyProtection="1">
      <alignment horizontal="center" vertical="center" textRotation="255" wrapText="1"/>
    </xf>
    <xf numFmtId="0" fontId="43" fillId="0" borderId="4" xfId="0" applyNumberFormat="1" applyFont="1" applyFill="1" applyBorder="1" applyAlignment="1" applyProtection="1">
      <alignment horizontal="center" vertical="center" wrapText="1"/>
      <protection locked="0"/>
    </xf>
    <xf numFmtId="0" fontId="70" fillId="2" borderId="14" xfId="0" applyNumberFormat="1" applyFont="1" applyFill="1" applyBorder="1" applyAlignment="1" applyProtection="1">
      <alignment horizontal="center" vertical="center" wrapText="1"/>
    </xf>
    <xf numFmtId="184" fontId="43" fillId="2" borderId="14" xfId="0" applyNumberFormat="1" applyFont="1" applyFill="1" applyBorder="1" applyAlignment="1" applyProtection="1">
      <alignment horizontal="center" vertical="center"/>
    </xf>
    <xf numFmtId="187" fontId="43" fillId="0" borderId="0" xfId="0" applyNumberFormat="1" applyFont="1" applyFill="1" applyBorder="1" applyAlignment="1" applyProtection="1">
      <alignment vertical="center" wrapText="1"/>
      <protection locked="0"/>
    </xf>
    <xf numFmtId="189" fontId="43" fillId="2" borderId="93" xfId="0" applyNumberFormat="1" applyFont="1" applyFill="1" applyBorder="1" applyAlignment="1" applyProtection="1">
      <alignment horizontal="left" vertical="center" wrapText="1"/>
    </xf>
    <xf numFmtId="184" fontId="43" fillId="2" borderId="7" xfId="0" applyNumberFormat="1" applyFont="1" applyFill="1" applyBorder="1" applyAlignment="1" applyProtection="1">
      <alignment horizontal="center" vertical="center" wrapText="1"/>
    </xf>
    <xf numFmtId="0" fontId="43" fillId="2" borderId="13" xfId="0" applyFont="1" applyFill="1" applyBorder="1" applyAlignment="1" applyProtection="1">
      <alignment horizontal="center" vertical="center" wrapText="1"/>
    </xf>
    <xf numFmtId="184" fontId="59" fillId="0" borderId="0" xfId="0" applyNumberFormat="1" applyFont="1" applyFill="1" applyAlignment="1" applyProtection="1">
      <alignment horizontal="center" vertical="center"/>
      <protection locked="0"/>
    </xf>
    <xf numFmtId="187" fontId="59" fillId="0" borderId="0" xfId="0" applyNumberFormat="1" applyFont="1" applyFill="1" applyAlignment="1" applyProtection="1">
      <alignment horizontal="center" vertical="center"/>
      <protection locked="0"/>
    </xf>
    <xf numFmtId="0" fontId="71" fillId="2" borderId="0" xfId="0" applyFont="1" applyFill="1" applyAlignment="1" applyProtection="1">
      <alignment horizontal="left" vertical="center"/>
      <protection locked="0"/>
    </xf>
    <xf numFmtId="184" fontId="43" fillId="2" borderId="0" xfId="0" applyNumberFormat="1" applyFont="1" applyFill="1" applyAlignment="1" applyProtection="1">
      <alignment horizontal="center" vertical="center"/>
      <protection locked="0"/>
    </xf>
    <xf numFmtId="187" fontId="43" fillId="2" borderId="0" xfId="0" applyNumberFormat="1" applyFont="1" applyFill="1" applyAlignment="1" applyProtection="1">
      <alignment horizontal="center" vertical="center"/>
      <protection locked="0"/>
    </xf>
    <xf numFmtId="0" fontId="24" fillId="0" borderId="0" xfId="0" applyFont="1" applyFill="1" applyAlignment="1" applyProtection="1">
      <protection locked="0"/>
    </xf>
    <xf numFmtId="0" fontId="43" fillId="2" borderId="0" xfId="0" applyFont="1" applyFill="1" applyBorder="1" applyAlignment="1" applyProtection="1">
      <protection locked="0"/>
    </xf>
    <xf numFmtId="184" fontId="43" fillId="2" borderId="0" xfId="0" applyNumberFormat="1" applyFont="1" applyFill="1" applyBorder="1" applyAlignment="1" applyProtection="1">
      <alignment horizontal="center"/>
      <protection locked="0"/>
    </xf>
    <xf numFmtId="187" fontId="43" fillId="2" borderId="0" xfId="0" applyNumberFormat="1" applyFont="1" applyFill="1" applyBorder="1" applyAlignment="1" applyProtection="1">
      <protection locked="0"/>
    </xf>
    <xf numFmtId="0" fontId="43" fillId="0" borderId="0" xfId="0" applyFont="1" applyBorder="1" applyAlignment="1" applyProtection="1">
      <protection locked="0"/>
    </xf>
    <xf numFmtId="0" fontId="43" fillId="2" borderId="91" xfId="0" applyFont="1" applyFill="1" applyBorder="1" applyAlignment="1" applyProtection="1">
      <alignment horizontal="center" vertical="center" wrapText="1"/>
    </xf>
    <xf numFmtId="0" fontId="43" fillId="2" borderId="83" xfId="0" applyFont="1" applyFill="1" applyBorder="1" applyAlignment="1" applyProtection="1">
      <alignment horizontal="center" vertical="center"/>
    </xf>
    <xf numFmtId="0" fontId="43" fillId="2" borderId="91" xfId="0" applyFont="1" applyFill="1" applyBorder="1" applyAlignment="1" applyProtection="1">
      <alignment horizontal="center" vertical="center"/>
    </xf>
    <xf numFmtId="0" fontId="43" fillId="2" borderId="52" xfId="0" applyFont="1" applyFill="1" applyBorder="1" applyAlignment="1" applyProtection="1">
      <alignment horizontal="center" vertical="center"/>
    </xf>
    <xf numFmtId="0" fontId="43" fillId="2" borderId="102" xfId="0" applyFont="1" applyFill="1" applyBorder="1" applyAlignment="1" applyProtection="1">
      <alignment horizontal="center" vertical="center" wrapText="1"/>
    </xf>
    <xf numFmtId="0" fontId="43" fillId="2" borderId="69" xfId="0" applyFont="1" applyFill="1" applyBorder="1" applyAlignment="1" applyProtection="1">
      <alignment horizontal="center" vertical="center"/>
    </xf>
    <xf numFmtId="0" fontId="43" fillId="2" borderId="102" xfId="0" applyFont="1" applyFill="1" applyBorder="1" applyAlignment="1" applyProtection="1">
      <alignment horizontal="center" vertical="center"/>
    </xf>
    <xf numFmtId="0" fontId="43" fillId="2" borderId="59" xfId="0" applyFont="1" applyFill="1" applyBorder="1" applyAlignment="1" applyProtection="1">
      <alignment horizontal="center" vertical="center" wrapText="1"/>
    </xf>
    <xf numFmtId="0" fontId="43" fillId="2" borderId="58" xfId="0" applyFont="1" applyFill="1" applyBorder="1" applyAlignment="1" applyProtection="1">
      <alignment horizontal="center" vertical="center"/>
    </xf>
    <xf numFmtId="0" fontId="43" fillId="2" borderId="59" xfId="0" applyFont="1" applyFill="1" applyBorder="1" applyAlignment="1" applyProtection="1">
      <alignment horizontal="center" vertical="center"/>
    </xf>
    <xf numFmtId="0" fontId="42" fillId="2" borderId="15" xfId="0" applyFont="1" applyFill="1" applyBorder="1" applyAlignment="1" applyProtection="1">
      <alignment horizontal="center" vertical="center"/>
    </xf>
    <xf numFmtId="176" fontId="42" fillId="2" borderId="13" xfId="0" applyNumberFormat="1" applyFont="1" applyFill="1" applyBorder="1" applyAlignment="1" applyProtection="1">
      <alignment horizontal="center" vertical="center"/>
    </xf>
    <xf numFmtId="49" fontId="42" fillId="2" borderId="14" xfId="0" applyNumberFormat="1" applyFont="1" applyFill="1" applyBorder="1" applyAlignment="1" applyProtection="1">
      <alignment horizontal="center" vertical="center"/>
    </xf>
    <xf numFmtId="0" fontId="42" fillId="2" borderId="52" xfId="0" applyFont="1" applyFill="1" applyBorder="1" applyAlignment="1" applyProtection="1">
      <alignment horizontal="center" vertical="center"/>
    </xf>
    <xf numFmtId="0" fontId="42" fillId="2" borderId="14" xfId="0" applyFont="1" applyFill="1" applyBorder="1" applyAlignment="1" applyProtection="1">
      <alignment horizontal="center" vertical="center"/>
    </xf>
    <xf numFmtId="0" fontId="42" fillId="2" borderId="7" xfId="0" applyFont="1" applyFill="1" applyBorder="1" applyAlignment="1" applyProtection="1">
      <alignment horizontal="center" vertical="center" wrapText="1"/>
    </xf>
    <xf numFmtId="176" fontId="43" fillId="2" borderId="13" xfId="0" applyNumberFormat="1" applyFont="1" applyFill="1" applyBorder="1" applyAlignment="1" applyProtection="1">
      <alignment horizontal="center" vertical="center"/>
    </xf>
    <xf numFmtId="49" fontId="43" fillId="2" borderId="14" xfId="0" applyNumberFormat="1" applyFont="1" applyFill="1" applyBorder="1" applyAlignment="1" applyProtection="1">
      <alignment horizontal="center" vertical="center"/>
    </xf>
    <xf numFmtId="176" fontId="58" fillId="2" borderId="13" xfId="0" applyNumberFormat="1" applyFont="1" applyFill="1" applyBorder="1" applyAlignment="1" applyProtection="1">
      <alignment horizontal="center" vertical="center"/>
    </xf>
    <xf numFmtId="49" fontId="58" fillId="2" borderId="14" xfId="0" applyNumberFormat="1" applyFont="1" applyFill="1" applyBorder="1" applyAlignment="1" applyProtection="1">
      <alignment horizontal="center" vertical="center"/>
    </xf>
    <xf numFmtId="0" fontId="58" fillId="2" borderId="52" xfId="0" applyFont="1" applyFill="1" applyBorder="1" applyAlignment="1" applyProtection="1">
      <alignment horizontal="center" vertical="center"/>
    </xf>
    <xf numFmtId="178" fontId="43" fillId="2" borderId="7" xfId="0" applyNumberFormat="1" applyFont="1" applyFill="1" applyBorder="1" applyAlignment="1" applyProtection="1">
      <alignment horizontal="center" vertical="center"/>
    </xf>
    <xf numFmtId="0" fontId="43" fillId="2" borderId="14" xfId="0" applyFont="1" applyFill="1" applyBorder="1" applyAlignment="1" applyProtection="1">
      <alignment horizontal="center" vertical="center" wrapText="1"/>
    </xf>
    <xf numFmtId="178" fontId="46" fillId="11" borderId="7" xfId="0" applyNumberFormat="1" applyFont="1" applyFill="1" applyBorder="1" applyAlignment="1" applyProtection="1">
      <alignment horizontal="center" vertical="center"/>
    </xf>
    <xf numFmtId="9" fontId="42" fillId="0" borderId="0" xfId="0" applyNumberFormat="1" applyFont="1" applyFill="1" applyBorder="1" applyAlignment="1" applyProtection="1">
      <alignment horizontal="center" vertical="center" wrapText="1"/>
      <protection locked="0"/>
    </xf>
    <xf numFmtId="0" fontId="56" fillId="2" borderId="0" xfId="0" applyFont="1" applyFill="1" applyBorder="1" applyAlignment="1" applyProtection="1">
      <alignment horizontal="center" vertical="center"/>
    </xf>
    <xf numFmtId="0" fontId="61" fillId="2" borderId="39" xfId="0" applyFont="1" applyFill="1" applyBorder="1" applyAlignment="1" applyProtection="1">
      <alignment horizontal="center" vertical="center"/>
    </xf>
    <xf numFmtId="0" fontId="56" fillId="2" borderId="0" xfId="0" applyFont="1" applyFill="1" applyAlignment="1" applyProtection="1">
      <alignment horizontal="center" vertical="center"/>
    </xf>
    <xf numFmtId="0" fontId="43" fillId="2" borderId="12" xfId="0" applyFont="1" applyFill="1" applyBorder="1" applyAlignment="1" applyProtection="1">
      <alignment horizontal="center" vertical="center"/>
    </xf>
    <xf numFmtId="0" fontId="43" fillId="2" borderId="16" xfId="0" applyFont="1" applyFill="1" applyBorder="1" applyAlignment="1" applyProtection="1">
      <alignment horizontal="center" vertical="center"/>
    </xf>
    <xf numFmtId="0" fontId="42" fillId="2" borderId="7" xfId="0" applyNumberFormat="1" applyFont="1" applyFill="1" applyBorder="1" applyAlignment="1" applyProtection="1">
      <alignment horizontal="center" vertical="center"/>
    </xf>
    <xf numFmtId="0" fontId="42" fillId="2" borderId="7" xfId="0" applyFont="1" applyFill="1" applyBorder="1" applyAlignment="1" applyProtection="1">
      <alignment horizontal="center" vertical="center"/>
    </xf>
    <xf numFmtId="0" fontId="43" fillId="2" borderId="7" xfId="0" applyNumberFormat="1" applyFont="1" applyFill="1" applyBorder="1" applyAlignment="1" applyProtection="1">
      <alignment horizontal="center" vertical="center"/>
    </xf>
    <xf numFmtId="0" fontId="58" fillId="2" borderId="7" xfId="0" applyFont="1" applyFill="1" applyBorder="1" applyAlignment="1" applyProtection="1">
      <alignment horizontal="center" vertical="center"/>
    </xf>
    <xf numFmtId="0" fontId="43" fillId="2" borderId="16" xfId="0" applyFont="1" applyFill="1" applyBorder="1" applyAlignment="1" applyProtection="1">
      <alignment vertical="center" textRotation="255" wrapText="1"/>
    </xf>
    <xf numFmtId="0" fontId="64" fillId="2" borderId="85" xfId="0" applyNumberFormat="1" applyFont="1" applyFill="1" applyBorder="1" applyAlignment="1" applyProtection="1">
      <alignment vertical="center"/>
    </xf>
    <xf numFmtId="0" fontId="64" fillId="2" borderId="86" xfId="0" applyNumberFormat="1" applyFont="1" applyFill="1" applyBorder="1" applyAlignment="1" applyProtection="1">
      <alignment vertical="center"/>
    </xf>
    <xf numFmtId="0" fontId="42" fillId="2" borderId="90" xfId="0" applyNumberFormat="1" applyFont="1" applyFill="1" applyBorder="1" applyAlignment="1" applyProtection="1">
      <alignment horizontal="center" vertical="center" wrapText="1"/>
    </xf>
    <xf numFmtId="0" fontId="64" fillId="2" borderId="7" xfId="0" applyNumberFormat="1" applyFont="1" applyFill="1" applyBorder="1" applyAlignment="1" applyProtection="1">
      <alignment horizontal="center" vertical="center" wrapText="1"/>
    </xf>
    <xf numFmtId="10" fontId="64" fillId="2" borderId="7" xfId="0" applyNumberFormat="1" applyFont="1" applyFill="1" applyBorder="1" applyAlignment="1" applyProtection="1">
      <alignment horizontal="center" vertical="center" wrapText="1"/>
    </xf>
    <xf numFmtId="0" fontId="42" fillId="0" borderId="7" xfId="0" applyNumberFormat="1" applyFont="1" applyFill="1" applyBorder="1" applyAlignment="1" applyProtection="1">
      <alignment horizontal="center" vertical="center" wrapText="1"/>
      <protection locked="0"/>
    </xf>
    <xf numFmtId="0" fontId="64" fillId="2" borderId="98" xfId="0" applyNumberFormat="1" applyFont="1" applyFill="1" applyBorder="1" applyAlignment="1" applyProtection="1">
      <alignment vertical="center"/>
    </xf>
    <xf numFmtId="0" fontId="64" fillId="2" borderId="104" xfId="0" applyNumberFormat="1" applyFont="1" applyFill="1" applyBorder="1" applyAlignment="1" applyProtection="1">
      <alignment vertical="center" wrapText="1"/>
    </xf>
    <xf numFmtId="0" fontId="42" fillId="0" borderId="104" xfId="0" applyNumberFormat="1" applyFont="1" applyFill="1" applyBorder="1" applyAlignment="1" applyProtection="1">
      <alignment horizontal="center" vertical="center" wrapText="1"/>
      <protection locked="0"/>
    </xf>
    <xf numFmtId="0" fontId="42" fillId="0" borderId="64" xfId="0" applyNumberFormat="1" applyFont="1" applyFill="1" applyBorder="1" applyAlignment="1" applyProtection="1">
      <alignment horizontal="center" vertical="center" wrapText="1"/>
      <protection locked="0"/>
    </xf>
    <xf numFmtId="0" fontId="64" fillId="2" borderId="69" xfId="0" applyNumberFormat="1" applyFont="1" applyFill="1" applyBorder="1" applyAlignment="1" applyProtection="1">
      <alignment vertical="center" wrapText="1"/>
    </xf>
    <xf numFmtId="0" fontId="64" fillId="2" borderId="102" xfId="0" applyNumberFormat="1" applyFont="1" applyFill="1" applyBorder="1" applyAlignment="1" applyProtection="1">
      <alignment vertical="center" wrapText="1"/>
    </xf>
    <xf numFmtId="0" fontId="42" fillId="2" borderId="59" xfId="0" applyNumberFormat="1" applyFont="1" applyFill="1" applyBorder="1" applyAlignment="1" applyProtection="1">
      <alignment horizontal="center" vertical="center" wrapText="1"/>
    </xf>
    <xf numFmtId="0" fontId="42" fillId="0" borderId="16" xfId="0" applyNumberFormat="1" applyFont="1" applyFill="1" applyBorder="1" applyAlignment="1" applyProtection="1">
      <alignment horizontal="center" vertical="center" wrapText="1"/>
      <protection locked="0"/>
    </xf>
    <xf numFmtId="0" fontId="42" fillId="2" borderId="91" xfId="0" applyNumberFormat="1" applyFont="1" applyFill="1" applyBorder="1" applyAlignment="1" applyProtection="1">
      <alignment horizontal="center" vertical="center" wrapText="1"/>
    </xf>
    <xf numFmtId="0" fontId="42" fillId="0" borderId="12" xfId="0" applyNumberFormat="1" applyFont="1" applyFill="1" applyBorder="1" applyAlignment="1" applyProtection="1">
      <alignment horizontal="center" vertical="center" wrapText="1"/>
      <protection locked="0"/>
    </xf>
    <xf numFmtId="0" fontId="46" fillId="2" borderId="53" xfId="0" applyNumberFormat="1" applyFont="1" applyFill="1" applyBorder="1" applyAlignment="1" applyProtection="1">
      <alignment vertical="center" wrapText="1"/>
    </xf>
    <xf numFmtId="0" fontId="42" fillId="2" borderId="54" xfId="0" applyNumberFormat="1" applyFont="1" applyFill="1" applyBorder="1" applyAlignment="1" applyProtection="1">
      <alignment horizontal="center" vertical="center" wrapText="1"/>
    </xf>
    <xf numFmtId="0" fontId="46" fillId="2" borderId="79" xfId="0" applyNumberFormat="1" applyFont="1" applyFill="1" applyBorder="1" applyAlignment="1" applyProtection="1">
      <alignment vertical="center" wrapText="1"/>
    </xf>
    <xf numFmtId="0" fontId="58" fillId="2" borderId="105" xfId="0" applyNumberFormat="1" applyFont="1" applyFill="1" applyBorder="1" applyAlignment="1" applyProtection="1">
      <alignment horizontal="center" vertical="center" wrapText="1"/>
    </xf>
    <xf numFmtId="0" fontId="43" fillId="0" borderId="2" xfId="0" applyNumberFormat="1" applyFont="1" applyFill="1" applyBorder="1" applyAlignment="1" applyProtection="1">
      <alignment horizontal="center" vertical="center" wrapText="1"/>
      <protection locked="0"/>
    </xf>
    <xf numFmtId="0" fontId="42" fillId="2" borderId="106" xfId="0" applyNumberFormat="1" applyFont="1" applyFill="1" applyBorder="1" applyAlignment="1" applyProtection="1">
      <alignment horizontal="center" vertical="center" wrapText="1"/>
    </xf>
    <xf numFmtId="0" fontId="43" fillId="2" borderId="107" xfId="0" applyNumberFormat="1" applyFont="1" applyFill="1" applyBorder="1" applyAlignment="1" applyProtection="1">
      <alignment horizontal="center" vertical="center" wrapText="1"/>
    </xf>
    <xf numFmtId="0" fontId="42" fillId="2" borderId="105" xfId="0" applyNumberFormat="1" applyFont="1" applyFill="1" applyBorder="1" applyAlignment="1" applyProtection="1">
      <alignment horizontal="center" vertical="center" wrapText="1"/>
    </xf>
    <xf numFmtId="0" fontId="43" fillId="2" borderId="2" xfId="0" applyNumberFormat="1" applyFont="1" applyFill="1" applyBorder="1" applyAlignment="1" applyProtection="1">
      <alignment horizontal="center" vertical="center" wrapText="1"/>
    </xf>
    <xf numFmtId="0" fontId="42" fillId="2" borderId="52" xfId="0" applyNumberFormat="1" applyFont="1" applyFill="1" applyBorder="1" applyAlignment="1" applyProtection="1">
      <alignment horizontal="center" vertical="center" wrapText="1"/>
    </xf>
    <xf numFmtId="0" fontId="43" fillId="2" borderId="16" xfId="0" applyNumberFormat="1" applyFont="1" applyFill="1" applyBorder="1" applyAlignment="1" applyProtection="1">
      <alignment horizontal="center" vertical="center" wrapText="1"/>
    </xf>
    <xf numFmtId="0" fontId="58" fillId="2" borderId="52" xfId="0" applyNumberFormat="1" applyFont="1" applyFill="1" applyBorder="1" applyAlignment="1" applyProtection="1">
      <alignment horizontal="center" vertical="center" wrapText="1"/>
    </xf>
    <xf numFmtId="0" fontId="66" fillId="2" borderId="79" xfId="0" applyNumberFormat="1" applyFont="1" applyFill="1" applyBorder="1" applyAlignment="1" applyProtection="1">
      <alignment vertical="center" wrapText="1"/>
    </xf>
    <xf numFmtId="0" fontId="42" fillId="0" borderId="107" xfId="0" applyNumberFormat="1" applyFont="1" applyFill="1" applyBorder="1" applyAlignment="1" applyProtection="1">
      <alignment horizontal="center" vertical="center" wrapText="1"/>
      <protection locked="0"/>
    </xf>
    <xf numFmtId="0" fontId="58" fillId="0" borderId="107" xfId="0" applyNumberFormat="1" applyFont="1" applyFill="1" applyBorder="1" applyAlignment="1" applyProtection="1">
      <alignment horizontal="center" vertical="center" wrapText="1"/>
      <protection locked="0"/>
    </xf>
    <xf numFmtId="0" fontId="42" fillId="0" borderId="2" xfId="0" applyNumberFormat="1" applyFont="1" applyFill="1" applyBorder="1" applyAlignment="1" applyProtection="1">
      <alignment horizontal="center" vertical="center" wrapText="1"/>
      <protection locked="0"/>
    </xf>
    <xf numFmtId="0" fontId="58" fillId="0" borderId="2" xfId="0" applyNumberFormat="1" applyFont="1" applyFill="1" applyBorder="1" applyAlignment="1" applyProtection="1">
      <alignment horizontal="center" vertical="center" wrapText="1"/>
      <protection locked="0"/>
    </xf>
    <xf numFmtId="0" fontId="58" fillId="0" borderId="16" xfId="0" applyNumberFormat="1" applyFont="1" applyFill="1" applyBorder="1" applyAlignment="1" applyProtection="1">
      <alignment horizontal="center" vertical="center" wrapText="1"/>
      <protection locked="0"/>
    </xf>
    <xf numFmtId="0" fontId="66" fillId="2" borderId="84" xfId="0" applyNumberFormat="1" applyFont="1" applyFill="1" applyBorder="1" applyAlignment="1" applyProtection="1">
      <alignment vertical="center" wrapText="1"/>
    </xf>
    <xf numFmtId="0" fontId="42" fillId="2" borderId="64" xfId="0" applyNumberFormat="1" applyFont="1" applyFill="1" applyBorder="1" applyAlignment="1" applyProtection="1">
      <alignment horizontal="center" vertical="center" wrapText="1"/>
    </xf>
    <xf numFmtId="0" fontId="42" fillId="0" borderId="10" xfId="0" applyNumberFormat="1" applyFont="1" applyFill="1" applyBorder="1" applyAlignment="1" applyProtection="1">
      <alignment horizontal="center" vertical="center" wrapText="1"/>
      <protection locked="0"/>
    </xf>
    <xf numFmtId="0" fontId="58" fillId="0" borderId="10" xfId="0" applyNumberFormat="1" applyFont="1" applyFill="1" applyBorder="1" applyAlignment="1" applyProtection="1">
      <alignment horizontal="center" vertical="center" wrapText="1"/>
      <protection locked="0"/>
    </xf>
    <xf numFmtId="0" fontId="42" fillId="2" borderId="4" xfId="0" applyNumberFormat="1" applyFont="1" applyFill="1" applyBorder="1" applyAlignment="1" applyProtection="1">
      <alignment horizontal="center" vertical="center" wrapText="1"/>
    </xf>
    <xf numFmtId="0" fontId="43" fillId="2" borderId="4" xfId="0" applyNumberFormat="1" applyFont="1" applyFill="1" applyBorder="1" applyAlignment="1" applyProtection="1">
      <alignment horizontal="center" vertical="center" wrapText="1"/>
    </xf>
    <xf numFmtId="0" fontId="42" fillId="2" borderId="107" xfId="0" applyNumberFormat="1" applyFont="1" applyFill="1" applyBorder="1" applyAlignment="1" applyProtection="1">
      <alignment horizontal="center" vertical="center" wrapText="1"/>
    </xf>
    <xf numFmtId="0" fontId="64" fillId="2" borderId="79" xfId="0" applyNumberFormat="1" applyFont="1" applyFill="1" applyBorder="1" applyAlignment="1" applyProtection="1">
      <alignment vertical="center" wrapText="1"/>
    </xf>
    <xf numFmtId="0" fontId="42" fillId="2" borderId="2" xfId="0" applyNumberFormat="1" applyFont="1" applyFill="1" applyBorder="1" applyAlignment="1" applyProtection="1">
      <alignment horizontal="center" vertical="center" wrapText="1"/>
    </xf>
    <xf numFmtId="0" fontId="58" fillId="2" borderId="107" xfId="0" applyNumberFormat="1" applyFont="1" applyFill="1" applyBorder="1" applyAlignment="1" applyProtection="1">
      <alignment horizontal="center" vertical="center" wrapText="1"/>
    </xf>
    <xf numFmtId="0" fontId="58" fillId="2" borderId="2" xfId="0" applyNumberFormat="1" applyFont="1" applyFill="1" applyBorder="1" applyAlignment="1" applyProtection="1">
      <alignment horizontal="center" vertical="center" wrapText="1"/>
    </xf>
    <xf numFmtId="0" fontId="43" fillId="0" borderId="107" xfId="0" applyNumberFormat="1" applyFont="1" applyFill="1" applyBorder="1" applyAlignment="1" applyProtection="1">
      <alignment horizontal="center" vertical="center" wrapText="1"/>
      <protection locked="0"/>
    </xf>
    <xf numFmtId="0" fontId="43" fillId="0" borderId="16" xfId="0" applyNumberFormat="1" applyFont="1" applyFill="1" applyBorder="1" applyAlignment="1" applyProtection="1">
      <alignment horizontal="center" vertical="center" wrapText="1"/>
      <protection locked="0"/>
    </xf>
    <xf numFmtId="0" fontId="43" fillId="0" borderId="10" xfId="0" applyNumberFormat="1" applyFont="1" applyFill="1" applyBorder="1" applyAlignment="1" applyProtection="1">
      <alignment horizontal="center" vertical="center" wrapText="1"/>
      <protection locked="0"/>
    </xf>
    <xf numFmtId="0" fontId="66" fillId="2" borderId="79" xfId="0" applyNumberFormat="1" applyFont="1" applyFill="1" applyBorder="1" applyAlignment="1" applyProtection="1">
      <alignment vertical="center" textRotation="255" wrapText="1"/>
    </xf>
    <xf numFmtId="0" fontId="42" fillId="2" borderId="69" xfId="0" applyNumberFormat="1" applyFont="1" applyFill="1" applyBorder="1" applyAlignment="1" applyProtection="1">
      <alignment horizontal="center" vertical="center"/>
    </xf>
    <xf numFmtId="0" fontId="43" fillId="0" borderId="12" xfId="0" applyNumberFormat="1" applyFont="1" applyFill="1" applyBorder="1" applyAlignment="1" applyProtection="1">
      <alignment horizontal="center" vertical="center" wrapText="1"/>
      <protection locked="0"/>
    </xf>
    <xf numFmtId="0" fontId="23" fillId="2" borderId="4" xfId="0" applyNumberFormat="1" applyFont="1" applyFill="1" applyBorder="1" applyAlignment="1" applyProtection="1">
      <alignment horizontal="center" vertical="center" wrapText="1"/>
    </xf>
    <xf numFmtId="0" fontId="46" fillId="2" borderId="79" xfId="0" applyNumberFormat="1" applyFont="1" applyFill="1" applyBorder="1" applyAlignment="1" applyProtection="1">
      <alignment vertical="center" textRotation="255" wrapText="1"/>
    </xf>
    <xf numFmtId="0" fontId="66" fillId="2" borderId="84" xfId="0" applyNumberFormat="1" applyFont="1" applyFill="1" applyBorder="1" applyAlignment="1" applyProtection="1">
      <alignment vertical="center" wrapText="1"/>
      <protection locked="0"/>
    </xf>
    <xf numFmtId="0" fontId="58" fillId="2" borderId="64" xfId="0" applyNumberFormat="1" applyFont="1" applyFill="1" applyBorder="1" applyAlignment="1" applyProtection="1">
      <alignment horizontal="center" vertical="center" wrapText="1"/>
      <protection locked="0"/>
    </xf>
    <xf numFmtId="49" fontId="42" fillId="0" borderId="0" xfId="0" applyNumberFormat="1" applyFont="1" applyFill="1" applyBorder="1" applyAlignment="1" applyProtection="1">
      <alignment horizontal="center" vertical="center"/>
      <protection locked="0"/>
    </xf>
    <xf numFmtId="0" fontId="42" fillId="0" borderId="13" xfId="0" applyNumberFormat="1" applyFont="1" applyFill="1" applyBorder="1" applyAlignment="1" applyProtection="1">
      <alignment horizontal="center" vertical="center" wrapText="1"/>
      <protection locked="0"/>
    </xf>
    <xf numFmtId="0" fontId="42" fillId="0" borderId="93" xfId="0" applyNumberFormat="1" applyFont="1" applyFill="1" applyBorder="1" applyAlignment="1" applyProtection="1">
      <alignment horizontal="center" vertical="center" wrapText="1"/>
      <protection locked="0"/>
    </xf>
    <xf numFmtId="0" fontId="42" fillId="0" borderId="88" xfId="0" applyNumberFormat="1" applyFont="1" applyFill="1" applyBorder="1" applyAlignment="1" applyProtection="1">
      <alignment horizontal="center" vertical="center" wrapText="1"/>
      <protection locked="0"/>
    </xf>
    <xf numFmtId="0" fontId="42" fillId="0" borderId="74" xfId="0" applyNumberFormat="1" applyFont="1" applyFill="1" applyBorder="1" applyAlignment="1" applyProtection="1">
      <alignment horizontal="center" vertical="center" wrapText="1"/>
      <protection locked="0"/>
    </xf>
    <xf numFmtId="0" fontId="42" fillId="0" borderId="16" xfId="0" applyNumberFormat="1" applyFont="1" applyFill="1" applyBorder="1" applyAlignment="1" applyProtection="1">
      <alignment horizontal="left" vertical="center" wrapText="1"/>
      <protection locked="0"/>
    </xf>
    <xf numFmtId="0" fontId="42" fillId="0" borderId="80" xfId="0" applyNumberFormat="1" applyFont="1" applyFill="1" applyBorder="1" applyAlignment="1" applyProtection="1">
      <alignment horizontal="center" vertical="center" wrapText="1"/>
      <protection locked="0"/>
    </xf>
    <xf numFmtId="0" fontId="42" fillId="0" borderId="0" xfId="0" applyNumberFormat="1" applyFont="1" applyFill="1" applyBorder="1" applyAlignment="1" applyProtection="1">
      <alignment horizontal="center" vertical="center" wrapText="1"/>
      <protection locked="0"/>
    </xf>
    <xf numFmtId="0" fontId="23" fillId="0" borderId="0" xfId="0" applyFont="1" applyFill="1" applyBorder="1" applyAlignment="1" applyProtection="1">
      <alignment vertical="center"/>
      <protection locked="0"/>
    </xf>
    <xf numFmtId="0" fontId="42" fillId="0" borderId="61" xfId="0" applyNumberFormat="1" applyFont="1" applyFill="1" applyBorder="1" applyAlignment="1" applyProtection="1">
      <alignment horizontal="center" vertical="center" wrapText="1"/>
      <protection locked="0"/>
    </xf>
    <xf numFmtId="0" fontId="59" fillId="0" borderId="4" xfId="0" applyNumberFormat="1" applyFont="1" applyFill="1" applyBorder="1" applyAlignment="1" applyProtection="1">
      <alignment horizontal="center" vertical="center" wrapText="1"/>
      <protection locked="0"/>
    </xf>
    <xf numFmtId="0" fontId="59" fillId="0" borderId="4" xfId="0" applyNumberFormat="1" applyFont="1" applyFill="1" applyBorder="1" applyAlignment="1" applyProtection="1">
      <alignment horizontal="left" vertical="center" wrapText="1"/>
      <protection locked="0"/>
    </xf>
    <xf numFmtId="0" fontId="59" fillId="0" borderId="5" xfId="0" applyNumberFormat="1" applyFont="1" applyFill="1" applyBorder="1" applyAlignment="1" applyProtection="1">
      <alignment horizontal="center" vertical="center" wrapText="1"/>
      <protection locked="0"/>
    </xf>
    <xf numFmtId="0" fontId="59" fillId="0" borderId="0" xfId="0" applyNumberFormat="1" applyFont="1" applyFill="1" applyBorder="1" applyAlignment="1" applyProtection="1">
      <alignment horizontal="center" vertical="center" wrapText="1"/>
      <protection locked="0"/>
    </xf>
    <xf numFmtId="0" fontId="42" fillId="0" borderId="0" xfId="0" applyFont="1" applyFill="1" applyBorder="1" applyAlignment="1" applyProtection="1">
      <alignment horizontal="center" vertical="center" wrapText="1"/>
      <protection locked="0"/>
    </xf>
    <xf numFmtId="0" fontId="43" fillId="0" borderId="108" xfId="0" applyNumberFormat="1" applyFont="1" applyFill="1" applyBorder="1" applyAlignment="1" applyProtection="1">
      <alignment horizontal="center" vertical="center" wrapText="1"/>
      <protection locked="0"/>
    </xf>
    <xf numFmtId="0" fontId="43" fillId="0" borderId="0" xfId="0" applyNumberFormat="1" applyFont="1" applyFill="1" applyBorder="1" applyAlignment="1" applyProtection="1">
      <alignment horizontal="center" vertical="center" wrapText="1"/>
      <protection locked="0"/>
    </xf>
    <xf numFmtId="0" fontId="59" fillId="2" borderId="107" xfId="0" applyNumberFormat="1" applyFont="1" applyFill="1" applyBorder="1" applyAlignment="1" applyProtection="1">
      <alignment horizontal="center" vertical="center" wrapText="1"/>
    </xf>
    <xf numFmtId="0" fontId="59" fillId="2" borderId="107" xfId="0" applyNumberFormat="1" applyFont="1" applyFill="1" applyBorder="1" applyAlignment="1" applyProtection="1">
      <alignment horizontal="left" vertical="center" wrapText="1"/>
    </xf>
    <xf numFmtId="0" fontId="59" fillId="2" borderId="109" xfId="0" applyNumberFormat="1" applyFont="1" applyFill="1" applyBorder="1" applyAlignment="1" applyProtection="1">
      <alignment horizontal="center" vertical="center" wrapText="1"/>
    </xf>
    <xf numFmtId="0" fontId="43" fillId="2" borderId="108" xfId="0" applyNumberFormat="1" applyFont="1" applyFill="1" applyBorder="1" applyAlignment="1" applyProtection="1">
      <alignment horizontal="center" vertical="center" wrapText="1"/>
    </xf>
    <xf numFmtId="0" fontId="59" fillId="0" borderId="7" xfId="0" applyNumberFormat="1" applyFont="1" applyFill="1" applyBorder="1" applyAlignment="1" applyProtection="1">
      <alignment horizontal="center" vertical="center" wrapText="1"/>
      <protection locked="0"/>
    </xf>
    <xf numFmtId="0" fontId="59" fillId="0" borderId="7" xfId="0" applyNumberFormat="1" applyFont="1" applyFill="1" applyBorder="1" applyAlignment="1" applyProtection="1">
      <alignment horizontal="left" vertical="center" wrapText="1"/>
      <protection locked="0"/>
    </xf>
    <xf numFmtId="0" fontId="59" fillId="0" borderId="8" xfId="0" applyNumberFormat="1" applyFont="1" applyFill="1" applyBorder="1" applyAlignment="1" applyProtection="1">
      <alignment horizontal="center" vertical="center" wrapText="1"/>
      <protection locked="0"/>
    </xf>
    <xf numFmtId="0" fontId="58" fillId="0" borderId="107" xfId="0" applyNumberFormat="1" applyFont="1" applyFill="1" applyBorder="1" applyAlignment="1" applyProtection="1">
      <alignment horizontal="left" vertical="center" wrapText="1"/>
      <protection locked="0"/>
    </xf>
    <xf numFmtId="0" fontId="58" fillId="0" borderId="109" xfId="0" applyNumberFormat="1" applyFont="1" applyFill="1" applyBorder="1" applyAlignment="1" applyProtection="1">
      <alignment horizontal="center" vertical="center" wrapText="1"/>
      <protection locked="0"/>
    </xf>
    <xf numFmtId="0" fontId="58" fillId="0" borderId="0" xfId="0" applyNumberFormat="1" applyFont="1" applyFill="1" applyBorder="1" applyAlignment="1" applyProtection="1">
      <alignment horizontal="center" vertical="center" wrapText="1"/>
      <protection locked="0"/>
    </xf>
    <xf numFmtId="0" fontId="58" fillId="0" borderId="0" xfId="0" applyFont="1" applyFill="1" applyBorder="1" applyAlignment="1" applyProtection="1">
      <alignment horizontal="center" vertical="center" wrapText="1"/>
      <protection locked="0"/>
    </xf>
    <xf numFmtId="0" fontId="58" fillId="0" borderId="108" xfId="0" applyNumberFormat="1" applyFont="1" applyFill="1" applyBorder="1" applyAlignment="1" applyProtection="1">
      <alignment horizontal="center" vertical="center" wrapText="1"/>
      <protection locked="0"/>
    </xf>
    <xf numFmtId="0" fontId="58" fillId="0" borderId="16" xfId="0" applyNumberFormat="1" applyFont="1" applyFill="1" applyBorder="1" applyAlignment="1" applyProtection="1">
      <alignment horizontal="left" vertical="center" wrapText="1"/>
      <protection locked="0"/>
    </xf>
    <xf numFmtId="0" fontId="58" fillId="0" borderId="80" xfId="0" applyNumberFormat="1" applyFont="1" applyFill="1" applyBorder="1" applyAlignment="1" applyProtection="1">
      <alignment horizontal="center" vertical="center" wrapText="1"/>
      <protection locked="0"/>
    </xf>
    <xf numFmtId="0" fontId="58" fillId="0" borderId="0" xfId="0" applyFont="1" applyFill="1" applyBorder="1" applyAlignment="1" applyProtection="1">
      <alignment vertical="center" wrapText="1"/>
      <protection locked="0"/>
    </xf>
    <xf numFmtId="0" fontId="58" fillId="0" borderId="11" xfId="0" applyNumberFormat="1" applyFont="1" applyFill="1" applyBorder="1" applyAlignment="1" applyProtection="1">
      <alignment horizontal="center" vertical="center" wrapText="1"/>
      <protection locked="0"/>
    </xf>
    <xf numFmtId="0" fontId="59" fillId="2" borderId="4" xfId="0" applyNumberFormat="1" applyFont="1" applyFill="1" applyBorder="1" applyAlignment="1" applyProtection="1">
      <alignment horizontal="center" vertical="center" wrapText="1"/>
    </xf>
    <xf numFmtId="0" fontId="59" fillId="2" borderId="4" xfId="0" applyNumberFormat="1" applyFont="1" applyFill="1" applyBorder="1" applyAlignment="1" applyProtection="1">
      <alignment horizontal="left" vertical="center" wrapText="1"/>
    </xf>
    <xf numFmtId="0" fontId="59" fillId="2" borderId="5" xfId="0" applyNumberFormat="1" applyFont="1" applyFill="1" applyBorder="1" applyAlignment="1" applyProtection="1">
      <alignment horizontal="center" vertical="center" wrapText="1"/>
    </xf>
    <xf numFmtId="0" fontId="42" fillId="0" borderId="0" xfId="0" applyFont="1" applyFill="1" applyBorder="1" applyAlignment="1" applyProtection="1">
      <alignment vertical="center" wrapText="1"/>
      <protection locked="0"/>
    </xf>
    <xf numFmtId="0" fontId="42" fillId="2" borderId="107" xfId="0" applyNumberFormat="1" applyFont="1" applyFill="1" applyBorder="1" applyAlignment="1" applyProtection="1">
      <alignment horizontal="left" vertical="center" wrapText="1"/>
    </xf>
    <xf numFmtId="0" fontId="42" fillId="2" borderId="109" xfId="0" applyNumberFormat="1" applyFont="1" applyFill="1" applyBorder="1" applyAlignment="1" applyProtection="1">
      <alignment horizontal="center" vertical="center" wrapText="1"/>
    </xf>
    <xf numFmtId="0" fontId="58" fillId="2" borderId="107" xfId="0" applyNumberFormat="1" applyFont="1" applyFill="1" applyBorder="1" applyAlignment="1" applyProtection="1">
      <alignment horizontal="left" vertical="center" wrapText="1"/>
    </xf>
    <xf numFmtId="0" fontId="58" fillId="2" borderId="109" xfId="0" applyNumberFormat="1" applyFont="1" applyFill="1" applyBorder="1" applyAlignment="1" applyProtection="1">
      <alignment horizontal="center" vertical="center" wrapText="1"/>
    </xf>
    <xf numFmtId="0" fontId="58" fillId="2" borderId="108" xfId="0" applyNumberFormat="1" applyFont="1" applyFill="1" applyBorder="1" applyAlignment="1" applyProtection="1">
      <alignment horizontal="center" vertical="center" wrapText="1"/>
    </xf>
    <xf numFmtId="0" fontId="58" fillId="2" borderId="70" xfId="0" applyNumberFormat="1" applyFont="1" applyFill="1" applyBorder="1" applyAlignment="1" applyProtection="1">
      <alignment horizontal="center" vertical="center" wrapText="1"/>
    </xf>
    <xf numFmtId="0" fontId="59" fillId="0" borderId="107" xfId="0" applyNumberFormat="1" applyFont="1" applyFill="1" applyBorder="1" applyAlignment="1" applyProtection="1">
      <alignment horizontal="center" vertical="center" wrapText="1"/>
      <protection locked="0"/>
    </xf>
    <xf numFmtId="0" fontId="59" fillId="0" borderId="107" xfId="0" applyNumberFormat="1" applyFont="1" applyFill="1" applyBorder="1" applyAlignment="1" applyProtection="1">
      <alignment horizontal="left" vertical="center" wrapText="1"/>
      <protection locked="0"/>
    </xf>
    <xf numFmtId="0" fontId="59" fillId="0" borderId="109" xfId="0" applyNumberFormat="1" applyFont="1" applyFill="1" applyBorder="1" applyAlignment="1" applyProtection="1">
      <alignment horizontal="center" vertical="center" wrapText="1"/>
      <protection locked="0"/>
    </xf>
    <xf numFmtId="0" fontId="59" fillId="0" borderId="16" xfId="0" applyNumberFormat="1" applyFont="1" applyFill="1" applyBorder="1" applyAlignment="1" applyProtection="1">
      <alignment horizontal="center" vertical="center" wrapText="1"/>
      <protection locked="0"/>
    </xf>
    <xf numFmtId="0" fontId="59" fillId="0" borderId="16" xfId="0" applyNumberFormat="1" applyFont="1" applyFill="1" applyBorder="1" applyAlignment="1" applyProtection="1">
      <alignment horizontal="left" vertical="center" wrapText="1"/>
      <protection locked="0"/>
    </xf>
    <xf numFmtId="0" fontId="59" fillId="0" borderId="80" xfId="0" applyNumberFormat="1" applyFont="1" applyFill="1" applyBorder="1" applyAlignment="1" applyProtection="1">
      <alignment horizontal="center" vertical="center" wrapText="1"/>
      <protection locked="0"/>
    </xf>
    <xf numFmtId="0" fontId="43" fillId="0" borderId="11" xfId="0" applyNumberFormat="1" applyFont="1" applyFill="1" applyBorder="1" applyAlignment="1" applyProtection="1">
      <alignment horizontal="center" vertical="center" wrapText="1"/>
      <protection locked="0"/>
    </xf>
    <xf numFmtId="0" fontId="58" fillId="0" borderId="7" xfId="0" applyNumberFormat="1" applyFont="1" applyFill="1" applyBorder="1" applyAlignment="1" applyProtection="1">
      <alignment horizontal="center" vertical="center" wrapText="1"/>
      <protection locked="0"/>
    </xf>
    <xf numFmtId="0" fontId="58" fillId="0" borderId="7" xfId="0" applyNumberFormat="1" applyFont="1" applyFill="1" applyBorder="1" applyAlignment="1" applyProtection="1">
      <alignment horizontal="left" vertical="center" wrapText="1"/>
      <protection locked="0"/>
    </xf>
    <xf numFmtId="0" fontId="58" fillId="0" borderId="8" xfId="0" applyNumberFormat="1" applyFont="1" applyFill="1" applyBorder="1" applyAlignment="1" applyProtection="1">
      <alignment horizontal="center" vertical="center" wrapText="1"/>
      <protection locked="0"/>
    </xf>
    <xf numFmtId="0" fontId="43" fillId="0" borderId="61" xfId="0" applyNumberFormat="1" applyFont="1" applyFill="1" applyBorder="1" applyAlignment="1" applyProtection="1">
      <alignment horizontal="center" vertical="center" wrapText="1"/>
      <protection locked="0"/>
    </xf>
    <xf numFmtId="0" fontId="23" fillId="2" borderId="4" xfId="0" applyNumberFormat="1" applyFont="1" applyFill="1" applyBorder="1" applyAlignment="1" applyProtection="1">
      <alignment horizontal="left" vertical="center" wrapText="1"/>
    </xf>
    <xf numFmtId="0" fontId="23" fillId="2" borderId="5" xfId="0" applyNumberFormat="1" applyFont="1" applyFill="1" applyBorder="1" applyAlignment="1" applyProtection="1">
      <alignment horizontal="center" vertical="center" wrapText="1"/>
    </xf>
    <xf numFmtId="9" fontId="58" fillId="0" borderId="0" xfId="0" applyNumberFormat="1" applyFont="1" applyFill="1" applyBorder="1" applyAlignment="1" applyProtection="1">
      <alignment horizontal="center" vertical="center" wrapText="1"/>
      <protection locked="0"/>
    </xf>
    <xf numFmtId="9" fontId="58" fillId="0" borderId="0" xfId="0" applyNumberFormat="1" applyFont="1" applyFill="1" applyBorder="1" applyAlignment="1" applyProtection="1">
      <alignment horizontal="center" vertical="center"/>
      <protection locked="0"/>
    </xf>
    <xf numFmtId="0" fontId="56" fillId="0" borderId="0" xfId="0" applyFont="1" applyFill="1" applyAlignment="1" applyProtection="1">
      <alignment horizontal="left" vertical="center"/>
      <protection locked="0"/>
    </xf>
    <xf numFmtId="0" fontId="42" fillId="0" borderId="0" xfId="0" applyFont="1" applyFill="1" applyAlignment="1" applyProtection="1">
      <alignment horizontal="left" vertical="center"/>
      <protection locked="0"/>
    </xf>
    <xf numFmtId="0" fontId="57" fillId="0" borderId="0" xfId="0" applyFont="1" applyFill="1" applyAlignment="1" applyProtection="1">
      <alignment horizontal="left" vertical="center"/>
      <protection locked="0"/>
    </xf>
    <xf numFmtId="0" fontId="58" fillId="0" borderId="0" xfId="0" applyFont="1" applyFill="1" applyAlignment="1" applyProtection="1">
      <alignment horizontal="left" vertical="center"/>
      <protection locked="0"/>
    </xf>
    <xf numFmtId="0" fontId="59" fillId="0" borderId="0" xfId="0" applyFont="1" applyFill="1" applyAlignment="1" applyProtection="1">
      <alignment horizontal="left" vertical="center"/>
      <protection locked="0"/>
    </xf>
    <xf numFmtId="0" fontId="60" fillId="0" borderId="0" xfId="0" applyFont="1" applyFill="1" applyAlignment="1" applyProtection="1">
      <alignment horizontal="left" vertical="center"/>
      <protection locked="0"/>
    </xf>
    <xf numFmtId="0" fontId="43" fillId="0" borderId="0" xfId="0" applyFont="1" applyFill="1" applyAlignment="1" applyProtection="1">
      <alignment horizontal="left" vertical="center"/>
    </xf>
    <xf numFmtId="49" fontId="42" fillId="0" borderId="0" xfId="0" applyNumberFormat="1" applyFont="1" applyFill="1" applyAlignment="1" applyProtection="1">
      <alignment horizontal="left" vertical="center"/>
    </xf>
    <xf numFmtId="184" fontId="43" fillId="0" borderId="0" xfId="0" applyNumberFormat="1" applyFont="1" applyFill="1" applyAlignment="1" applyProtection="1">
      <alignment horizontal="left" vertical="center"/>
      <protection locked="0"/>
    </xf>
    <xf numFmtId="187" fontId="43" fillId="0" borderId="0" xfId="0" applyNumberFormat="1" applyFont="1" applyFill="1" applyAlignment="1" applyProtection="1">
      <alignment horizontal="left" vertical="center"/>
      <protection locked="0"/>
    </xf>
    <xf numFmtId="0" fontId="44" fillId="2" borderId="83" xfId="0" applyFont="1" applyFill="1" applyBorder="1" applyAlignment="1" applyProtection="1">
      <alignment horizontal="left" vertical="center"/>
    </xf>
    <xf numFmtId="0" fontId="61" fillId="2" borderId="38" xfId="0" applyFont="1" applyFill="1" applyBorder="1" applyAlignment="1" applyProtection="1">
      <alignment horizontal="left" vertical="center"/>
    </xf>
    <xf numFmtId="0" fontId="61" fillId="2" borderId="0" xfId="0" applyFont="1" applyFill="1" applyAlignment="1" applyProtection="1">
      <alignment horizontal="left" vertical="center"/>
    </xf>
    <xf numFmtId="0" fontId="62" fillId="2" borderId="38" xfId="0" applyFont="1" applyFill="1" applyBorder="1" applyAlignment="1" applyProtection="1">
      <alignment horizontal="left" vertical="center"/>
    </xf>
    <xf numFmtId="183" fontId="45" fillId="2" borderId="7" xfId="0" applyNumberFormat="1" applyFont="1" applyFill="1" applyBorder="1" applyAlignment="1" applyProtection="1">
      <alignment horizontal="left" vertical="center"/>
    </xf>
    <xf numFmtId="0" fontId="45" fillId="2" borderId="0" xfId="0" applyFont="1" applyFill="1" applyBorder="1" applyAlignment="1" applyProtection="1">
      <alignment horizontal="left" vertical="center"/>
    </xf>
    <xf numFmtId="0" fontId="61" fillId="0" borderId="0" xfId="0" applyFont="1" applyFill="1" applyBorder="1" applyAlignment="1" applyProtection="1">
      <alignment horizontal="left" vertical="center"/>
      <protection locked="0"/>
    </xf>
    <xf numFmtId="0" fontId="62" fillId="0" borderId="0" xfId="0" applyFont="1" applyFill="1" applyBorder="1" applyAlignment="1" applyProtection="1">
      <alignment horizontal="left" vertical="center"/>
      <protection locked="0"/>
    </xf>
    <xf numFmtId="178" fontId="45" fillId="2" borderId="12" xfId="0" applyNumberFormat="1" applyFont="1" applyFill="1" applyBorder="1" applyAlignment="1" applyProtection="1">
      <alignment horizontal="left" vertical="center"/>
    </xf>
    <xf numFmtId="0" fontId="46" fillId="2" borderId="85" xfId="0" applyFont="1" applyFill="1" applyBorder="1" applyAlignment="1" applyProtection="1">
      <alignment horizontal="left" vertical="center" wrapText="1"/>
    </xf>
    <xf numFmtId="0" fontId="46" fillId="2" borderId="63" xfId="0" applyFont="1" applyFill="1" applyBorder="1" applyAlignment="1" applyProtection="1">
      <alignment horizontal="left" vertical="center" wrapText="1"/>
    </xf>
    <xf numFmtId="0" fontId="43" fillId="2" borderId="90" xfId="0" applyFont="1" applyFill="1" applyBorder="1" applyAlignment="1" applyProtection="1">
      <alignment horizontal="left" vertical="center" wrapText="1"/>
    </xf>
    <xf numFmtId="0" fontId="43" fillId="2" borderId="55" xfId="0" applyFont="1" applyFill="1" applyBorder="1" applyAlignment="1" applyProtection="1">
      <alignment horizontal="left" vertical="center" wrapText="1"/>
    </xf>
    <xf numFmtId="0" fontId="46" fillId="2" borderId="62" xfId="0" applyFont="1" applyFill="1" applyBorder="1" applyAlignment="1" applyProtection="1">
      <alignment horizontal="left" vertical="center" wrapText="1"/>
    </xf>
    <xf numFmtId="0" fontId="46" fillId="2" borderId="0" xfId="0" applyFont="1" applyFill="1" applyBorder="1" applyAlignment="1" applyProtection="1">
      <alignment horizontal="left" vertical="center" wrapText="1"/>
    </xf>
    <xf numFmtId="0" fontId="63" fillId="0" borderId="6" xfId="0" applyFont="1" applyFill="1" applyBorder="1" applyAlignment="1" applyProtection="1">
      <alignment horizontal="left" vertical="center" wrapText="1"/>
      <protection locked="0"/>
    </xf>
    <xf numFmtId="0" fontId="63" fillId="0" borderId="8" xfId="0" applyFont="1" applyFill="1" applyBorder="1" applyAlignment="1" applyProtection="1">
      <alignment horizontal="left" vertical="center" wrapText="1"/>
      <protection locked="0"/>
    </xf>
    <xf numFmtId="0" fontId="63" fillId="0" borderId="14" xfId="0" applyFont="1" applyFill="1" applyBorder="1" applyAlignment="1" applyProtection="1">
      <alignment horizontal="left" vertical="center" wrapText="1"/>
      <protection locked="0"/>
    </xf>
    <xf numFmtId="0" fontId="63" fillId="0" borderId="13" xfId="0" applyFont="1" applyFill="1" applyBorder="1" applyAlignment="1" applyProtection="1">
      <alignment horizontal="left" vertical="center" wrapText="1"/>
      <protection locked="0"/>
    </xf>
    <xf numFmtId="0" fontId="46" fillId="2" borderId="98" xfId="0" applyFont="1" applyFill="1" applyBorder="1" applyAlignment="1" applyProtection="1">
      <alignment horizontal="left" vertical="center" wrapText="1"/>
    </xf>
    <xf numFmtId="0" fontId="46" fillId="2" borderId="18" xfId="0" applyFont="1" applyFill="1" applyBorder="1" applyAlignment="1" applyProtection="1">
      <alignment horizontal="left" vertical="center" wrapText="1"/>
    </xf>
    <xf numFmtId="0" fontId="63" fillId="0" borderId="57" xfId="0" applyFont="1" applyFill="1" applyBorder="1" applyAlignment="1" applyProtection="1">
      <alignment horizontal="left" vertical="center" wrapText="1"/>
      <protection locked="0"/>
    </xf>
    <xf numFmtId="0" fontId="63" fillId="0" borderId="61" xfId="0" applyFont="1" applyFill="1" applyBorder="1" applyAlignment="1" applyProtection="1">
      <alignment horizontal="left" vertical="center" wrapText="1"/>
      <protection locked="0"/>
    </xf>
    <xf numFmtId="0" fontId="63" fillId="0" borderId="91" xfId="0" applyFont="1" applyFill="1" applyBorder="1" applyAlignment="1" applyProtection="1">
      <alignment horizontal="left" vertical="center" wrapText="1"/>
      <protection locked="0"/>
    </xf>
    <xf numFmtId="0" fontId="63" fillId="0" borderId="83" xfId="0" applyFont="1" applyFill="1" applyBorder="1" applyAlignment="1" applyProtection="1">
      <alignment horizontal="left" vertical="center" wrapText="1"/>
      <protection locked="0"/>
    </xf>
    <xf numFmtId="0" fontId="64" fillId="2" borderId="96" xfId="0" applyFont="1" applyFill="1" applyBorder="1" applyAlignment="1" applyProtection="1">
      <alignment horizontal="left" vertical="center" wrapText="1"/>
    </xf>
    <xf numFmtId="0" fontId="64" fillId="2" borderId="77" xfId="0" applyFont="1" applyFill="1" applyBorder="1" applyAlignment="1" applyProtection="1">
      <alignment horizontal="left" vertical="center" wrapText="1"/>
    </xf>
    <xf numFmtId="177" fontId="42" fillId="2" borderId="65" xfId="0" applyNumberFormat="1" applyFont="1" applyFill="1" applyBorder="1" applyAlignment="1" applyProtection="1">
      <alignment horizontal="left" vertical="center" wrapText="1"/>
    </xf>
    <xf numFmtId="0" fontId="42" fillId="2" borderId="78" xfId="0" applyNumberFormat="1" applyFont="1" applyFill="1" applyBorder="1" applyAlignment="1" applyProtection="1">
      <alignment horizontal="left" vertical="center" wrapText="1"/>
    </xf>
    <xf numFmtId="177" fontId="42" fillId="0" borderId="99" xfId="0" applyNumberFormat="1" applyFont="1" applyFill="1" applyBorder="1" applyAlignment="1" applyProtection="1">
      <alignment horizontal="left" vertical="center" wrapText="1"/>
      <protection locked="0"/>
    </xf>
    <xf numFmtId="0" fontId="42" fillId="2" borderId="82" xfId="0" applyNumberFormat="1" applyFont="1" applyFill="1" applyBorder="1" applyAlignment="1" applyProtection="1">
      <alignment horizontal="left" vertical="center" wrapText="1"/>
    </xf>
    <xf numFmtId="177" fontId="42" fillId="0" borderId="65" xfId="0" applyNumberFormat="1" applyFont="1" applyFill="1" applyBorder="1" applyAlignment="1" applyProtection="1">
      <alignment horizontal="left" vertical="center" wrapText="1"/>
      <protection locked="0"/>
    </xf>
    <xf numFmtId="49" fontId="42" fillId="12" borderId="65" xfId="0" applyNumberFormat="1" applyFont="1" applyFill="1" applyBorder="1" applyAlignment="1" applyProtection="1">
      <alignment horizontal="left" vertical="center" wrapText="1"/>
      <protection locked="0"/>
    </xf>
    <xf numFmtId="0" fontId="64" fillId="2" borderId="53" xfId="0" applyFont="1" applyFill="1" applyBorder="1" applyAlignment="1" applyProtection="1">
      <alignment horizontal="left" vertical="center" wrapText="1"/>
    </xf>
    <xf numFmtId="0" fontId="42" fillId="2" borderId="55" xfId="0" applyFont="1" applyFill="1" applyBorder="1" applyAlignment="1" applyProtection="1">
      <alignment horizontal="left" vertical="center" wrapText="1"/>
    </xf>
    <xf numFmtId="0" fontId="42" fillId="12" borderId="66" xfId="0" applyNumberFormat="1" applyFont="1" applyFill="1" applyBorder="1" applyAlignment="1" applyProtection="1">
      <alignment horizontal="left" vertical="center" wrapText="1"/>
      <protection locked="0"/>
    </xf>
    <xf numFmtId="0" fontId="42" fillId="2" borderId="5" xfId="0" applyNumberFormat="1" applyFont="1" applyFill="1" applyBorder="1" applyAlignment="1" applyProtection="1">
      <alignment horizontal="left" vertical="center" wrapText="1"/>
    </xf>
    <xf numFmtId="0" fontId="65" fillId="2" borderId="79" xfId="0" applyFont="1" applyFill="1" applyBorder="1" applyAlignment="1" applyProtection="1">
      <alignment horizontal="left" vertical="center" wrapText="1"/>
    </xf>
    <xf numFmtId="0" fontId="42" fillId="2" borderId="13" xfId="0" applyFont="1" applyFill="1" applyBorder="1" applyAlignment="1" applyProtection="1">
      <alignment horizontal="left" vertical="center" wrapText="1"/>
    </xf>
    <xf numFmtId="0" fontId="42" fillId="0" borderId="100" xfId="0" applyNumberFormat="1" applyFont="1" applyFill="1" applyBorder="1" applyAlignment="1" applyProtection="1">
      <alignment horizontal="left" vertical="center" wrapText="1"/>
      <protection locked="0"/>
    </xf>
    <xf numFmtId="0" fontId="42" fillId="2" borderId="8" xfId="0" applyNumberFormat="1" applyFont="1" applyFill="1" applyBorder="1" applyAlignment="1" applyProtection="1">
      <alignment horizontal="left" vertical="center" wrapText="1"/>
    </xf>
    <xf numFmtId="49" fontId="42" fillId="0" borderId="100" xfId="0" applyNumberFormat="1" applyFont="1" applyFill="1" applyBorder="1" applyAlignment="1" applyProtection="1">
      <alignment horizontal="left" vertical="center" wrapText="1"/>
      <protection locked="0"/>
    </xf>
    <xf numFmtId="49" fontId="42" fillId="0" borderId="59" xfId="0" applyNumberFormat="1" applyFont="1" applyFill="1" applyBorder="1" applyAlignment="1" applyProtection="1">
      <alignment horizontal="left" vertical="center" wrapText="1"/>
      <protection locked="0"/>
    </xf>
    <xf numFmtId="0" fontId="42" fillId="0" borderId="6" xfId="0" applyNumberFormat="1" applyFont="1" applyFill="1" applyBorder="1" applyAlignment="1" applyProtection="1">
      <alignment horizontal="left" vertical="center" wrapText="1"/>
      <protection locked="0"/>
    </xf>
    <xf numFmtId="0" fontId="42" fillId="0" borderId="14" xfId="0" applyNumberFormat="1" applyFont="1" applyFill="1" applyBorder="1" applyAlignment="1" applyProtection="1">
      <alignment horizontal="left" vertical="center" wrapText="1"/>
      <protection locked="0"/>
    </xf>
    <xf numFmtId="0" fontId="64" fillId="2" borderId="79" xfId="0" applyFont="1" applyFill="1" applyBorder="1" applyAlignment="1" applyProtection="1">
      <alignment horizontal="left" vertical="center" wrapText="1"/>
    </xf>
    <xf numFmtId="0" fontId="42" fillId="0" borderId="83" xfId="0" applyFont="1" applyFill="1" applyBorder="1" applyAlignment="1" applyProtection="1">
      <alignment horizontal="left" vertical="center" wrapText="1"/>
      <protection locked="0"/>
    </xf>
    <xf numFmtId="0" fontId="42" fillId="2" borderId="95" xfId="0" applyNumberFormat="1" applyFont="1" applyFill="1" applyBorder="1" applyAlignment="1" applyProtection="1">
      <alignment horizontal="left" vertical="center" wrapText="1"/>
    </xf>
    <xf numFmtId="0" fontId="43" fillId="0" borderId="71" xfId="0" applyNumberFormat="1" applyFont="1" applyFill="1" applyBorder="1" applyAlignment="1" applyProtection="1">
      <alignment horizontal="left" vertical="center" wrapText="1"/>
      <protection locked="0"/>
    </xf>
    <xf numFmtId="0" fontId="43" fillId="2" borderId="8" xfId="0" applyNumberFormat="1" applyFont="1" applyFill="1" applyBorder="1" applyAlignment="1" applyProtection="1">
      <alignment horizontal="left" vertical="center" wrapText="1"/>
    </xf>
    <xf numFmtId="0" fontId="43" fillId="0" borderId="7" xfId="0" applyNumberFormat="1" applyFont="1" applyFill="1" applyBorder="1" applyAlignment="1" applyProtection="1">
      <alignment horizontal="left" vertical="center" wrapText="1"/>
      <protection locked="0"/>
    </xf>
    <xf numFmtId="0" fontId="43" fillId="0" borderId="6" xfId="0" applyNumberFormat="1" applyFont="1" applyFill="1" applyBorder="1" applyAlignment="1" applyProtection="1">
      <alignment horizontal="left" vertical="center" wrapText="1"/>
      <protection locked="0"/>
    </xf>
    <xf numFmtId="0" fontId="46" fillId="2" borderId="84" xfId="0" applyFont="1" applyFill="1" applyBorder="1" applyAlignment="1" applyProtection="1">
      <alignment horizontal="left" vertical="center" wrapText="1"/>
    </xf>
    <xf numFmtId="0" fontId="42" fillId="0" borderId="56" xfId="0" applyFont="1" applyFill="1" applyBorder="1" applyAlignment="1" applyProtection="1">
      <alignment horizontal="left" vertical="center" wrapText="1"/>
      <protection locked="0"/>
    </xf>
    <xf numFmtId="0" fontId="43" fillId="0" borderId="101" xfId="0" applyNumberFormat="1" applyFont="1" applyFill="1" applyBorder="1" applyAlignment="1" applyProtection="1">
      <alignment horizontal="left" vertical="center" wrapText="1"/>
      <protection locked="0"/>
    </xf>
    <xf numFmtId="0" fontId="43" fillId="2" borderId="11" xfId="0" applyNumberFormat="1" applyFont="1" applyFill="1" applyBorder="1" applyAlignment="1" applyProtection="1">
      <alignment horizontal="left" vertical="center" wrapText="1"/>
    </xf>
    <xf numFmtId="0" fontId="42" fillId="2" borderId="110" xfId="0" applyFont="1" applyFill="1" applyBorder="1" applyAlignment="1" applyProtection="1">
      <alignment horizontal="left" vertical="center" wrapText="1"/>
    </xf>
    <xf numFmtId="49" fontId="43" fillId="2" borderId="86" xfId="0" applyNumberFormat="1" applyFont="1" applyFill="1" applyBorder="1" applyAlignment="1" applyProtection="1">
      <alignment horizontal="left" vertical="center" wrapText="1"/>
    </xf>
    <xf numFmtId="0" fontId="43" fillId="2" borderId="60" xfId="0" applyNumberFormat="1" applyFont="1" applyFill="1" applyBorder="1" applyAlignment="1" applyProtection="1">
      <alignment horizontal="left" vertical="center" wrapText="1"/>
    </xf>
    <xf numFmtId="49" fontId="43" fillId="0" borderId="86" xfId="0" applyNumberFormat="1" applyFont="1" applyFill="1" applyBorder="1" applyAlignment="1" applyProtection="1">
      <alignment horizontal="left" vertical="center" wrapText="1"/>
      <protection locked="0"/>
    </xf>
    <xf numFmtId="0" fontId="43" fillId="2" borderId="111" xfId="0" applyFont="1" applyFill="1" applyBorder="1" applyAlignment="1" applyProtection="1">
      <alignment horizontal="left" vertical="center"/>
    </xf>
    <xf numFmtId="0" fontId="43" fillId="12" borderId="59" xfId="0" applyNumberFormat="1" applyFont="1" applyFill="1" applyBorder="1" applyAlignment="1" applyProtection="1">
      <alignment horizontal="left" vertical="center" wrapText="1"/>
      <protection locked="0"/>
    </xf>
    <xf numFmtId="0" fontId="43" fillId="2" borderId="80" xfId="0" applyNumberFormat="1" applyFont="1" applyFill="1" applyBorder="1" applyAlignment="1" applyProtection="1">
      <alignment horizontal="left" vertical="center" wrapText="1"/>
    </xf>
    <xf numFmtId="49" fontId="43" fillId="12" borderId="59" xfId="0" applyNumberFormat="1" applyFont="1" applyFill="1" applyBorder="1" applyAlignment="1" applyProtection="1">
      <alignment horizontal="left" vertical="center" wrapText="1"/>
      <protection locked="0"/>
    </xf>
    <xf numFmtId="0" fontId="43" fillId="2" borderId="70" xfId="0" applyNumberFormat="1" applyFont="1" applyFill="1" applyBorder="1" applyAlignment="1" applyProtection="1">
      <alignment horizontal="left" vertical="center" wrapText="1"/>
    </xf>
    <xf numFmtId="0" fontId="42" fillId="2" borderId="112" xfId="0" applyFont="1" applyFill="1" applyBorder="1" applyAlignment="1" applyProtection="1">
      <alignment horizontal="left" vertical="center" wrapText="1"/>
    </xf>
    <xf numFmtId="49" fontId="43" fillId="2" borderId="91" xfId="0" applyNumberFormat="1" applyFont="1" applyFill="1" applyBorder="1" applyAlignment="1" applyProtection="1">
      <alignment horizontal="left" vertical="center" wrapText="1"/>
    </xf>
    <xf numFmtId="49" fontId="43" fillId="0" borderId="102" xfId="0" applyNumberFormat="1" applyFont="1" applyFill="1" applyBorder="1" applyAlignment="1" applyProtection="1">
      <alignment horizontal="left" vertical="center" wrapText="1"/>
      <protection locked="0"/>
    </xf>
    <xf numFmtId="0" fontId="43" fillId="2" borderId="61" xfId="0" applyNumberFormat="1" applyFont="1" applyFill="1" applyBorder="1" applyAlignment="1" applyProtection="1">
      <alignment horizontal="left" vertical="center" wrapText="1"/>
    </xf>
    <xf numFmtId="0" fontId="42" fillId="2" borderId="113" xfId="0" applyFont="1" applyFill="1" applyBorder="1" applyAlignment="1" applyProtection="1">
      <alignment horizontal="left" vertical="center" wrapText="1"/>
    </xf>
    <xf numFmtId="0" fontId="43" fillId="12" borderId="102" xfId="0" applyNumberFormat="1" applyFont="1" applyFill="1" applyBorder="1" applyAlignment="1" applyProtection="1">
      <alignment horizontal="left" vertical="center" wrapText="1"/>
      <protection locked="0"/>
    </xf>
    <xf numFmtId="49" fontId="43" fillId="12" borderId="102" xfId="0" applyNumberFormat="1" applyFont="1" applyFill="1" applyBorder="1" applyAlignment="1" applyProtection="1">
      <alignment horizontal="left" vertical="center" wrapText="1"/>
      <protection locked="0"/>
    </xf>
    <xf numFmtId="49" fontId="43" fillId="0" borderId="91" xfId="0" applyNumberFormat="1" applyFont="1" applyFill="1" applyBorder="1" applyAlignment="1" applyProtection="1">
      <alignment horizontal="left" vertical="center" wrapText="1"/>
      <protection locked="0"/>
    </xf>
    <xf numFmtId="0" fontId="43" fillId="2" borderId="91" xfId="0" applyNumberFormat="1" applyFont="1" applyFill="1" applyBorder="1" applyAlignment="1" applyProtection="1">
      <alignment horizontal="left" vertical="center" wrapText="1"/>
    </xf>
    <xf numFmtId="0" fontId="42" fillId="2" borderId="111" xfId="0" applyFont="1" applyFill="1" applyBorder="1" applyAlignment="1" applyProtection="1">
      <alignment horizontal="left" vertical="center" wrapText="1"/>
    </xf>
    <xf numFmtId="0" fontId="42" fillId="2" borderId="57" xfId="0" applyFont="1" applyFill="1" applyBorder="1" applyAlignment="1" applyProtection="1">
      <alignment horizontal="left" vertical="center" wrapText="1"/>
    </xf>
    <xf numFmtId="0" fontId="43" fillId="2" borderId="15" xfId="0" applyNumberFormat="1" applyFont="1" applyFill="1" applyBorder="1" applyAlignment="1" applyProtection="1">
      <alignment horizontal="left" vertical="center" wrapText="1"/>
    </xf>
    <xf numFmtId="49" fontId="43" fillId="0" borderId="79" xfId="0" applyNumberFormat="1" applyFont="1" applyFill="1" applyBorder="1" applyAlignment="1" applyProtection="1">
      <alignment horizontal="left" vertical="center" wrapText="1"/>
      <protection locked="0"/>
    </xf>
    <xf numFmtId="0" fontId="42" fillId="2" borderId="100" xfId="0" applyFont="1" applyFill="1" applyBorder="1" applyAlignment="1" applyProtection="1">
      <alignment horizontal="left" vertical="center" wrapText="1"/>
    </xf>
    <xf numFmtId="0" fontId="43" fillId="12" borderId="15" xfId="0" applyNumberFormat="1" applyFont="1" applyFill="1" applyBorder="1" applyAlignment="1" applyProtection="1">
      <alignment horizontal="left" vertical="center" wrapText="1"/>
      <protection locked="0"/>
    </xf>
    <xf numFmtId="49" fontId="43" fillId="12" borderId="100" xfId="0" applyNumberFormat="1" applyFont="1" applyFill="1" applyBorder="1" applyAlignment="1" applyProtection="1">
      <alignment horizontal="left" vertical="center" wrapText="1"/>
      <protection locked="0"/>
    </xf>
    <xf numFmtId="0" fontId="42" fillId="12" borderId="39" xfId="0" applyNumberFormat="1" applyFont="1" applyFill="1" applyBorder="1" applyAlignment="1" applyProtection="1">
      <alignment horizontal="left" vertical="center" wrapText="1"/>
      <protection locked="0"/>
    </xf>
    <xf numFmtId="0" fontId="64" fillId="2" borderId="62" xfId="0" applyFont="1" applyFill="1" applyBorder="1" applyAlignment="1" applyProtection="1">
      <alignment horizontal="left" vertical="center" wrapText="1"/>
    </xf>
    <xf numFmtId="0" fontId="43" fillId="2" borderId="102" xfId="0" applyNumberFormat="1" applyFont="1" applyFill="1" applyBorder="1" applyAlignment="1" applyProtection="1">
      <alignment horizontal="left" vertical="center" wrapText="1"/>
    </xf>
    <xf numFmtId="0" fontId="42" fillId="2" borderId="114" xfId="0" applyFont="1" applyFill="1" applyBorder="1" applyAlignment="1" applyProtection="1">
      <alignment horizontal="left" vertical="center" wrapText="1"/>
    </xf>
    <xf numFmtId="0" fontId="42" fillId="0" borderId="114" xfId="0" applyFont="1" applyFill="1" applyBorder="1" applyAlignment="1" applyProtection="1">
      <alignment horizontal="left" vertical="center" wrapText="1"/>
      <protection locked="0"/>
    </xf>
    <xf numFmtId="0" fontId="43" fillId="0" borderId="14" xfId="0" applyNumberFormat="1" applyFont="1" applyFill="1" applyBorder="1" applyAlignment="1" applyProtection="1">
      <alignment horizontal="left" vertical="center" wrapText="1"/>
      <protection locked="0"/>
    </xf>
    <xf numFmtId="0" fontId="43" fillId="2" borderId="62" xfId="0" applyFont="1" applyFill="1" applyBorder="1" applyAlignment="1" applyProtection="1">
      <alignment horizontal="left" vertical="center"/>
    </xf>
    <xf numFmtId="0" fontId="43" fillId="0" borderId="114" xfId="0" applyFont="1" applyFill="1" applyBorder="1" applyAlignment="1" applyProtection="1">
      <alignment horizontal="left" vertical="center"/>
      <protection locked="0"/>
    </xf>
    <xf numFmtId="0" fontId="66" fillId="2" borderId="98" xfId="0" applyFont="1" applyFill="1" applyBorder="1" applyAlignment="1" applyProtection="1">
      <alignment horizontal="left" vertical="center" textRotation="255" wrapText="1"/>
    </xf>
    <xf numFmtId="0" fontId="58" fillId="0" borderId="115" xfId="0" applyFont="1" applyFill="1" applyBorder="1" applyAlignment="1" applyProtection="1">
      <alignment horizontal="left" vertical="center"/>
      <protection locked="0"/>
    </xf>
    <xf numFmtId="0" fontId="43" fillId="0" borderId="87" xfId="0" applyNumberFormat="1" applyFont="1" applyFill="1" applyBorder="1" applyAlignment="1" applyProtection="1">
      <alignment horizontal="left" vertical="center" wrapText="1"/>
      <protection locked="0"/>
    </xf>
    <xf numFmtId="0" fontId="42" fillId="2" borderId="11" xfId="0" applyNumberFormat="1" applyFont="1" applyFill="1" applyBorder="1" applyAlignment="1" applyProtection="1">
      <alignment horizontal="left" vertical="center" wrapText="1"/>
    </xf>
    <xf numFmtId="0" fontId="42" fillId="2" borderId="58" xfId="0" applyFont="1" applyFill="1" applyBorder="1" applyAlignment="1" applyProtection="1">
      <alignment horizontal="left" vertical="center" wrapText="1"/>
    </xf>
    <xf numFmtId="0" fontId="43" fillId="0" borderId="3" xfId="0" applyNumberFormat="1" applyFont="1" applyFill="1" applyBorder="1" applyAlignment="1" applyProtection="1">
      <alignment horizontal="left" vertical="center" wrapText="1"/>
      <protection locked="0"/>
    </xf>
    <xf numFmtId="0" fontId="43" fillId="2" borderId="5" xfId="0" applyNumberFormat="1" applyFont="1" applyFill="1" applyBorder="1" applyAlignment="1" applyProtection="1">
      <alignment horizontal="left" vertical="center" wrapText="1"/>
    </xf>
    <xf numFmtId="0" fontId="46" fillId="2" borderId="79" xfId="0" applyFont="1" applyFill="1" applyBorder="1" applyAlignment="1" applyProtection="1">
      <alignment horizontal="left" vertical="center" textRotation="255" wrapText="1"/>
    </xf>
    <xf numFmtId="49" fontId="43" fillId="12" borderId="6" xfId="0" applyNumberFormat="1" applyFont="1" applyFill="1" applyBorder="1" applyAlignment="1" applyProtection="1">
      <alignment horizontal="left" vertical="center" wrapText="1"/>
      <protection locked="0"/>
    </xf>
    <xf numFmtId="0" fontId="64" fillId="2" borderId="79" xfId="0" applyFont="1" applyFill="1" applyBorder="1" applyAlignment="1" applyProtection="1">
      <alignment horizontal="left" vertical="center" textRotation="255" wrapText="1"/>
    </xf>
    <xf numFmtId="9" fontId="42" fillId="12" borderId="71" xfId="0" applyNumberFormat="1" applyFont="1" applyFill="1" applyBorder="1" applyAlignment="1" applyProtection="1">
      <alignment horizontal="left" vertical="center" wrapText="1"/>
      <protection locked="0"/>
    </xf>
    <xf numFmtId="0" fontId="43" fillId="0" borderId="13" xfId="0" applyFont="1" applyFill="1" applyBorder="1" applyAlignment="1" applyProtection="1">
      <alignment horizontal="left" vertical="center"/>
      <protection locked="0"/>
    </xf>
    <xf numFmtId="0" fontId="66" fillId="2" borderId="79" xfId="0" applyFont="1" applyFill="1" applyBorder="1" applyAlignment="1" applyProtection="1">
      <alignment horizontal="left" vertical="center" textRotation="255" wrapText="1"/>
    </xf>
    <xf numFmtId="0" fontId="58" fillId="0" borderId="101" xfId="0" applyNumberFormat="1" applyFont="1" applyFill="1" applyBorder="1" applyAlignment="1" applyProtection="1">
      <alignment horizontal="left" vertical="center" wrapText="1"/>
      <protection locked="0"/>
    </xf>
    <xf numFmtId="0" fontId="23" fillId="2" borderId="11" xfId="0" applyNumberFormat="1" applyFont="1" applyFill="1" applyBorder="1" applyAlignment="1" applyProtection="1">
      <alignment horizontal="left" vertical="center" wrapText="1"/>
    </xf>
    <xf numFmtId="49" fontId="46" fillId="2" borderId="66" xfId="0" applyNumberFormat="1" applyFont="1" applyFill="1" applyBorder="1" applyAlignment="1" applyProtection="1">
      <alignment horizontal="left" vertical="center"/>
    </xf>
    <xf numFmtId="49" fontId="46" fillId="12" borderId="5" xfId="0" applyNumberFormat="1" applyFont="1" applyFill="1" applyBorder="1" applyAlignment="1" applyProtection="1">
      <alignment horizontal="left" vertical="center"/>
      <protection locked="0"/>
    </xf>
    <xf numFmtId="0" fontId="46" fillId="2" borderId="67" xfId="0" applyFont="1" applyFill="1" applyBorder="1" applyAlignment="1" applyProtection="1">
      <alignment horizontal="left" vertical="center" wrapText="1"/>
    </xf>
    <xf numFmtId="0" fontId="46" fillId="2" borderId="68" xfId="0" applyFont="1" applyFill="1" applyBorder="1" applyAlignment="1" applyProtection="1">
      <alignment horizontal="left" vertical="center" wrapText="1"/>
    </xf>
    <xf numFmtId="0" fontId="67" fillId="13" borderId="67" xfId="0" applyFont="1" applyFill="1" applyBorder="1" applyAlignment="1" applyProtection="1">
      <alignment horizontal="left" vertical="center" wrapText="1"/>
      <protection locked="0"/>
    </xf>
    <xf numFmtId="0" fontId="67" fillId="2" borderId="67" xfId="0" applyFont="1" applyFill="1" applyBorder="1" applyAlignment="1" applyProtection="1">
      <alignment horizontal="left" vertical="center" wrapText="1"/>
    </xf>
    <xf numFmtId="0" fontId="67" fillId="13" borderId="66" xfId="0" applyFont="1" applyFill="1" applyBorder="1" applyAlignment="1" applyProtection="1">
      <alignment horizontal="left" vertical="center" wrapText="1"/>
      <protection locked="0"/>
    </xf>
    <xf numFmtId="0" fontId="67" fillId="2" borderId="68" xfId="0" applyFont="1" applyFill="1" applyBorder="1" applyAlignment="1" applyProtection="1">
      <alignment horizontal="left" vertical="center" wrapText="1"/>
    </xf>
    <xf numFmtId="49" fontId="46" fillId="2" borderId="101" xfId="0" applyNumberFormat="1" applyFont="1" applyFill="1" applyBorder="1" applyAlignment="1" applyProtection="1">
      <alignment horizontal="left" vertical="center"/>
    </xf>
    <xf numFmtId="49" fontId="46" fillId="2" borderId="97" xfId="0" applyNumberFormat="1" applyFont="1" applyFill="1" applyBorder="1" applyAlignment="1" applyProtection="1">
      <alignment horizontal="left" vertical="center"/>
    </xf>
    <xf numFmtId="178" fontId="46" fillId="2" borderId="89" xfId="0" applyNumberFormat="1" applyFont="1" applyFill="1" applyBorder="1" applyAlignment="1" applyProtection="1">
      <alignment horizontal="left" vertical="center" wrapText="1"/>
    </xf>
    <xf numFmtId="178" fontId="46" fillId="2" borderId="101" xfId="0" applyNumberFormat="1" applyFont="1" applyFill="1" applyBorder="1" applyAlignment="1" applyProtection="1">
      <alignment horizontal="left" vertical="center" wrapText="1"/>
    </xf>
    <xf numFmtId="49" fontId="46" fillId="0" borderId="98" xfId="0" applyNumberFormat="1" applyFont="1" applyFill="1" applyBorder="1" applyAlignment="1" applyProtection="1">
      <alignment horizontal="left" vertical="center"/>
      <protection locked="0"/>
    </xf>
    <xf numFmtId="49" fontId="46" fillId="0" borderId="74" xfId="0" applyNumberFormat="1" applyFont="1" applyFill="1" applyBorder="1" applyAlignment="1" applyProtection="1">
      <alignment horizontal="left" vertical="center"/>
      <protection locked="0"/>
    </xf>
    <xf numFmtId="178" fontId="46" fillId="2" borderId="18" xfId="0" applyNumberFormat="1" applyFont="1" applyFill="1" applyBorder="1" applyAlignment="1" applyProtection="1">
      <alignment horizontal="left" vertical="center" wrapText="1"/>
    </xf>
    <xf numFmtId="9" fontId="43" fillId="0" borderId="0" xfId="0" applyNumberFormat="1" applyFont="1" applyFill="1" applyAlignment="1" applyProtection="1">
      <alignment horizontal="left" vertical="center"/>
      <protection locked="0"/>
    </xf>
    <xf numFmtId="187" fontId="43" fillId="2" borderId="13" xfId="0" applyNumberFormat="1" applyFont="1" applyFill="1" applyBorder="1" applyAlignment="1" applyProtection="1">
      <alignment horizontal="left" vertical="center"/>
    </xf>
    <xf numFmtId="187" fontId="43" fillId="2" borderId="14" xfId="0" applyNumberFormat="1" applyFont="1" applyFill="1" applyBorder="1" applyAlignment="1" applyProtection="1">
      <alignment horizontal="left" vertical="center"/>
    </xf>
    <xf numFmtId="14" fontId="43" fillId="0" borderId="0" xfId="0" applyNumberFormat="1" applyFont="1" applyFill="1" applyAlignment="1" applyProtection="1">
      <alignment horizontal="left" vertical="center"/>
      <protection locked="0"/>
    </xf>
    <xf numFmtId="189" fontId="43" fillId="0" borderId="0" xfId="0" applyNumberFormat="1" applyFont="1" applyFill="1" applyAlignment="1" applyProtection="1">
      <alignment horizontal="left" vertical="center"/>
      <protection locked="0"/>
    </xf>
    <xf numFmtId="189" fontId="43" fillId="2" borderId="4" xfId="0" applyNumberFormat="1" applyFont="1" applyFill="1" applyBorder="1" applyAlignment="1" applyProtection="1">
      <alignment horizontal="left" vertical="center"/>
    </xf>
    <xf numFmtId="0" fontId="43" fillId="3" borderId="4" xfId="0" applyFont="1" applyFill="1" applyBorder="1" applyAlignment="1" applyProtection="1">
      <alignment horizontal="left" vertical="center"/>
      <protection locked="0"/>
    </xf>
    <xf numFmtId="0" fontId="43" fillId="2" borderId="63" xfId="0" applyFont="1" applyFill="1" applyBorder="1" applyAlignment="1" applyProtection="1">
      <alignment horizontal="left" vertical="center" wrapText="1"/>
      <protection locked="0"/>
    </xf>
    <xf numFmtId="0" fontId="43" fillId="2" borderId="4" xfId="0" applyFont="1" applyFill="1" applyBorder="1" applyAlignment="1" applyProtection="1">
      <alignment horizontal="left" vertical="center"/>
    </xf>
    <xf numFmtId="0" fontId="43" fillId="2" borderId="5" xfId="0" applyFont="1" applyFill="1" applyBorder="1" applyAlignment="1" applyProtection="1">
      <alignment horizontal="left" vertical="center"/>
    </xf>
    <xf numFmtId="0" fontId="23" fillId="2" borderId="7" xfId="0" applyFont="1" applyFill="1" applyBorder="1" applyAlignment="1" applyProtection="1">
      <alignment horizontal="left" vertical="center"/>
    </xf>
    <xf numFmtId="0" fontId="24" fillId="2" borderId="6" xfId="0" applyFont="1" applyFill="1" applyBorder="1" applyAlignment="1" applyProtection="1">
      <alignment horizontal="left"/>
    </xf>
    <xf numFmtId="178" fontId="24" fillId="2" borderId="7" xfId="57" applyNumberFormat="1" applyFont="1" applyFill="1" applyBorder="1" applyAlignment="1" applyProtection="1">
      <alignment horizontal="left"/>
    </xf>
    <xf numFmtId="0" fontId="24" fillId="2" borderId="7" xfId="0" applyFont="1" applyFill="1" applyBorder="1" applyAlignment="1" applyProtection="1">
      <alignment horizontal="left"/>
    </xf>
    <xf numFmtId="0" fontId="60" fillId="2" borderId="7" xfId="0" applyFont="1" applyFill="1" applyBorder="1" applyAlignment="1" applyProtection="1">
      <alignment horizontal="left" vertical="center"/>
      <protection locked="0"/>
    </xf>
    <xf numFmtId="185" fontId="24" fillId="0" borderId="7" xfId="57" applyNumberFormat="1" applyFont="1" applyFill="1" applyBorder="1" applyAlignment="1" applyProtection="1">
      <alignment horizontal="left"/>
      <protection locked="0"/>
    </xf>
    <xf numFmtId="183" fontId="24" fillId="2" borderId="8" xfId="57" applyNumberFormat="1" applyFont="1" applyFill="1" applyBorder="1" applyAlignment="1" applyProtection="1">
      <alignment horizontal="left"/>
    </xf>
    <xf numFmtId="0" fontId="24" fillId="2" borderId="6" xfId="57" applyFont="1" applyFill="1" applyBorder="1" applyAlignment="1" applyProtection="1">
      <alignment horizontal="left"/>
    </xf>
    <xf numFmtId="0" fontId="24" fillId="2" borderId="7" xfId="57" applyFont="1" applyFill="1" applyBorder="1" applyAlignment="1" applyProtection="1">
      <alignment horizontal="left"/>
    </xf>
    <xf numFmtId="9" fontId="60" fillId="3" borderId="7" xfId="0" applyNumberFormat="1" applyFont="1" applyFill="1" applyBorder="1" applyAlignment="1" applyProtection="1">
      <alignment horizontal="left" vertical="center"/>
      <protection locked="0"/>
    </xf>
    <xf numFmtId="0" fontId="18" fillId="0" borderId="7" xfId="0" applyFont="1" applyFill="1" applyBorder="1" applyAlignment="1" applyProtection="1">
      <alignment horizontal="left" vertical="center"/>
      <protection locked="0"/>
    </xf>
    <xf numFmtId="184" fontId="61" fillId="2" borderId="38" xfId="0" applyNumberFormat="1" applyFont="1" applyFill="1" applyBorder="1" applyAlignment="1" applyProtection="1">
      <alignment horizontal="left" vertical="center"/>
    </xf>
    <xf numFmtId="187" fontId="61" fillId="2" borderId="38" xfId="0" applyNumberFormat="1" applyFont="1" applyFill="1" applyBorder="1" applyAlignment="1" applyProtection="1">
      <alignment horizontal="left" vertical="center"/>
    </xf>
    <xf numFmtId="0" fontId="61" fillId="2" borderId="0" xfId="0" applyFont="1" applyFill="1" applyBorder="1" applyAlignment="1" applyProtection="1">
      <alignment horizontal="left" vertical="center"/>
    </xf>
    <xf numFmtId="184" fontId="61" fillId="0" borderId="0" xfId="0" applyNumberFormat="1" applyFont="1" applyFill="1" applyBorder="1" applyAlignment="1" applyProtection="1">
      <alignment horizontal="left" vertical="center"/>
      <protection locked="0"/>
    </xf>
    <xf numFmtId="187" fontId="61" fillId="0" borderId="0" xfId="0" applyNumberFormat="1" applyFont="1" applyFill="1" applyBorder="1" applyAlignment="1" applyProtection="1">
      <alignment horizontal="left" vertical="center"/>
      <protection locked="0"/>
    </xf>
    <xf numFmtId="184" fontId="42" fillId="2" borderId="14" xfId="0" applyNumberFormat="1" applyFont="1" applyFill="1" applyBorder="1" applyAlignment="1" applyProtection="1">
      <alignment horizontal="left" vertical="center" wrapText="1"/>
    </xf>
    <xf numFmtId="187" fontId="42" fillId="0" borderId="0" xfId="0" applyNumberFormat="1" applyFont="1" applyFill="1" applyBorder="1" applyAlignment="1" applyProtection="1">
      <alignment horizontal="left" vertical="center" wrapText="1"/>
      <protection locked="0"/>
    </xf>
    <xf numFmtId="0" fontId="43" fillId="0" borderId="0" xfId="0" applyFont="1" applyFill="1" applyBorder="1" applyAlignment="1" applyProtection="1">
      <alignment horizontal="left" vertical="center"/>
      <protection locked="0"/>
    </xf>
    <xf numFmtId="0" fontId="43" fillId="2" borderId="83" xfId="0" applyFont="1" applyFill="1" applyBorder="1" applyAlignment="1" applyProtection="1">
      <alignment horizontal="left" vertical="center" wrapText="1"/>
    </xf>
    <xf numFmtId="0" fontId="43" fillId="2" borderId="69" xfId="0" applyFont="1" applyFill="1" applyBorder="1" applyAlignment="1" applyProtection="1">
      <alignment horizontal="left" vertical="center" wrapText="1"/>
    </xf>
    <xf numFmtId="0" fontId="43" fillId="2" borderId="58" xfId="0" applyFont="1" applyFill="1" applyBorder="1" applyAlignment="1" applyProtection="1">
      <alignment horizontal="left" vertical="center" wrapText="1"/>
    </xf>
    <xf numFmtId="0" fontId="42" fillId="2" borderId="14" xfId="0" applyNumberFormat="1" applyFont="1" applyFill="1" applyBorder="1" applyAlignment="1" applyProtection="1">
      <alignment horizontal="left" vertical="center" wrapText="1"/>
    </xf>
    <xf numFmtId="0" fontId="42" fillId="0" borderId="0" xfId="0" applyFont="1" applyFill="1" applyBorder="1" applyAlignment="1" applyProtection="1">
      <alignment horizontal="left" vertical="center"/>
      <protection locked="0"/>
    </xf>
    <xf numFmtId="0" fontId="42" fillId="2" borderId="13" xfId="0" applyFont="1" applyFill="1" applyBorder="1" applyAlignment="1" applyProtection="1">
      <alignment horizontal="left" vertical="center"/>
    </xf>
    <xf numFmtId="0" fontId="42" fillId="0" borderId="102" xfId="0" applyFont="1" applyFill="1" applyBorder="1" applyAlignment="1" applyProtection="1">
      <alignment horizontal="left" vertical="center"/>
      <protection locked="0"/>
    </xf>
    <xf numFmtId="0" fontId="69" fillId="2" borderId="14" xfId="0" applyNumberFormat="1" applyFont="1" applyFill="1" applyBorder="1" applyAlignment="1" applyProtection="1">
      <alignment horizontal="left" vertical="center" wrapText="1"/>
    </xf>
    <xf numFmtId="187" fontId="57" fillId="0" borderId="0" xfId="0" applyNumberFormat="1" applyFont="1" applyFill="1" applyBorder="1" applyAlignment="1" applyProtection="1">
      <alignment horizontal="left" vertical="center" wrapText="1"/>
      <protection locked="0"/>
    </xf>
    <xf numFmtId="0" fontId="57" fillId="0" borderId="0" xfId="0" applyFont="1" applyFill="1" applyBorder="1" applyAlignment="1" applyProtection="1">
      <alignment horizontal="left" vertical="center"/>
      <protection locked="0"/>
    </xf>
    <xf numFmtId="0" fontId="57" fillId="0" borderId="102" xfId="0" applyFont="1" applyFill="1" applyBorder="1" applyAlignment="1" applyProtection="1">
      <alignment horizontal="left" vertical="center"/>
      <protection locked="0"/>
    </xf>
    <xf numFmtId="0" fontId="69" fillId="0" borderId="14" xfId="0" applyNumberFormat="1" applyFont="1" applyFill="1" applyBorder="1" applyAlignment="1" applyProtection="1">
      <alignment horizontal="left" vertical="center" wrapText="1"/>
      <protection locked="0"/>
    </xf>
    <xf numFmtId="187" fontId="58" fillId="0" borderId="0" xfId="0" applyNumberFormat="1" applyFont="1" applyFill="1" applyBorder="1" applyAlignment="1" applyProtection="1">
      <alignment horizontal="left" vertical="center" wrapText="1"/>
      <protection locked="0"/>
    </xf>
    <xf numFmtId="0" fontId="43" fillId="0" borderId="102" xfId="0" applyFont="1" applyFill="1" applyBorder="1" applyAlignment="1" applyProtection="1">
      <alignment horizontal="left" vertical="center"/>
      <protection locked="0"/>
    </xf>
    <xf numFmtId="187" fontId="59" fillId="0" borderId="0" xfId="0" applyNumberFormat="1" applyFont="1" applyFill="1" applyBorder="1" applyAlignment="1" applyProtection="1">
      <alignment horizontal="left" vertical="center" wrapText="1"/>
      <protection locked="0"/>
    </xf>
    <xf numFmtId="49" fontId="43" fillId="0" borderId="53" xfId="0" applyNumberFormat="1" applyFont="1" applyFill="1" applyBorder="1" applyAlignment="1" applyProtection="1">
      <alignment horizontal="left" vertical="center" wrapText="1"/>
      <protection locked="0"/>
    </xf>
    <xf numFmtId="0" fontId="43" fillId="2" borderId="12" xfId="0" applyFont="1" applyFill="1" applyBorder="1" applyAlignment="1" applyProtection="1">
      <alignment horizontal="left" vertical="center" wrapText="1"/>
    </xf>
    <xf numFmtId="0" fontId="43" fillId="2" borderId="52" xfId="0" applyFont="1" applyFill="1" applyBorder="1" applyAlignment="1" applyProtection="1">
      <alignment horizontal="left" vertical="center" wrapText="1"/>
    </xf>
    <xf numFmtId="49" fontId="43" fillId="12" borderId="79" xfId="0" applyNumberFormat="1" applyFont="1" applyFill="1" applyBorder="1" applyAlignment="1" applyProtection="1">
      <alignment horizontal="left" vertical="center" wrapText="1"/>
      <protection locked="0"/>
    </xf>
    <xf numFmtId="49" fontId="43" fillId="0" borderId="57" xfId="0" applyNumberFormat="1" applyFont="1" applyFill="1" applyBorder="1" applyAlignment="1" applyProtection="1">
      <alignment horizontal="left" vertical="center" wrapText="1"/>
      <protection locked="0"/>
    </xf>
    <xf numFmtId="0" fontId="69" fillId="2" borderId="14" xfId="0" applyNumberFormat="1" applyFont="1" applyFill="1" applyBorder="1" applyAlignment="1" applyProtection="1">
      <alignment horizontal="left" vertical="center" wrapText="1"/>
      <protection locked="0"/>
    </xf>
    <xf numFmtId="0" fontId="43" fillId="12" borderId="100" xfId="0" applyNumberFormat="1" applyFont="1" applyFill="1" applyBorder="1" applyAlignment="1" applyProtection="1">
      <alignment horizontal="left" vertical="center" wrapText="1"/>
      <protection locked="0"/>
    </xf>
    <xf numFmtId="0" fontId="69" fillId="0" borderId="59" xfId="0" applyNumberFormat="1" applyFont="1" applyFill="1" applyBorder="1" applyAlignment="1" applyProtection="1">
      <alignment horizontal="left" vertical="center" wrapText="1"/>
      <protection locked="0"/>
    </xf>
    <xf numFmtId="0" fontId="54" fillId="2" borderId="14" xfId="0" applyNumberFormat="1" applyFont="1" applyFill="1" applyBorder="1" applyAlignment="1" applyProtection="1">
      <alignment horizontal="left" vertical="center" wrapText="1"/>
    </xf>
    <xf numFmtId="0" fontId="43" fillId="12" borderId="71" xfId="0" applyNumberFormat="1" applyFont="1" applyFill="1" applyBorder="1" applyAlignment="1" applyProtection="1">
      <alignment horizontal="left" vertical="center" wrapText="1"/>
      <protection locked="0"/>
    </xf>
    <xf numFmtId="0" fontId="54" fillId="0" borderId="14" xfId="0" applyNumberFormat="1" applyFont="1" applyFill="1" applyBorder="1" applyAlignment="1" applyProtection="1">
      <alignment horizontal="left" vertical="center" wrapText="1"/>
      <protection locked="0"/>
    </xf>
    <xf numFmtId="0" fontId="43" fillId="2" borderId="12" xfId="0" applyFont="1" applyFill="1" applyBorder="1" applyAlignment="1" applyProtection="1">
      <alignment horizontal="left" vertical="center" textRotation="255" wrapText="1"/>
    </xf>
    <xf numFmtId="0" fontId="43" fillId="0" borderId="9" xfId="0" applyNumberFormat="1" applyFont="1" applyFill="1" applyBorder="1" applyAlignment="1" applyProtection="1">
      <alignment horizontal="left" vertical="center" wrapText="1"/>
      <protection locked="0"/>
    </xf>
    <xf numFmtId="0" fontId="58" fillId="0" borderId="0" xfId="0" applyFont="1" applyFill="1" applyBorder="1" applyAlignment="1" applyProtection="1">
      <alignment horizontal="left" vertical="center"/>
      <protection locked="0"/>
    </xf>
    <xf numFmtId="0" fontId="58" fillId="0" borderId="102" xfId="0" applyFont="1" applyFill="1" applyBorder="1" applyAlignment="1" applyProtection="1">
      <alignment horizontal="left" vertical="center"/>
      <protection locked="0"/>
    </xf>
    <xf numFmtId="0" fontId="43" fillId="2" borderId="52" xfId="0" applyFont="1" applyFill="1" applyBorder="1" applyAlignment="1" applyProtection="1">
      <alignment horizontal="left" vertical="center" textRotation="255" wrapText="1"/>
    </xf>
    <xf numFmtId="0" fontId="43" fillId="0" borderId="4" xfId="0" applyNumberFormat="1" applyFont="1" applyFill="1" applyBorder="1" applyAlignment="1" applyProtection="1">
      <alignment horizontal="left" vertical="center" wrapText="1"/>
      <protection locked="0"/>
    </xf>
    <xf numFmtId="0" fontId="70" fillId="2" borderId="14" xfId="0" applyNumberFormat="1" applyFont="1" applyFill="1" applyBorder="1" applyAlignment="1" applyProtection="1">
      <alignment horizontal="left" vertical="center" wrapText="1"/>
    </xf>
    <xf numFmtId="184" fontId="43" fillId="2" borderId="14" xfId="0" applyNumberFormat="1" applyFont="1" applyFill="1" applyBorder="1" applyAlignment="1" applyProtection="1">
      <alignment horizontal="left" vertical="center"/>
    </xf>
    <xf numFmtId="187" fontId="43" fillId="0" borderId="0" xfId="0" applyNumberFormat="1" applyFont="1" applyFill="1" applyBorder="1" applyAlignment="1" applyProtection="1">
      <alignment horizontal="left" vertical="center" wrapText="1"/>
      <protection locked="0"/>
    </xf>
    <xf numFmtId="184" fontId="43" fillId="2" borderId="7" xfId="0" applyNumberFormat="1" applyFont="1" applyFill="1" applyBorder="1" applyAlignment="1" applyProtection="1">
      <alignment horizontal="left" vertical="center" wrapText="1"/>
    </xf>
    <xf numFmtId="0" fontId="43" fillId="2" borderId="13" xfId="0" applyFont="1" applyFill="1" applyBorder="1" applyAlignment="1" applyProtection="1">
      <alignment horizontal="left" vertical="center" wrapText="1"/>
    </xf>
    <xf numFmtId="184" fontId="59" fillId="0" borderId="0" xfId="0" applyNumberFormat="1" applyFont="1" applyFill="1" applyAlignment="1" applyProtection="1">
      <alignment horizontal="left" vertical="center"/>
      <protection locked="0"/>
    </xf>
    <xf numFmtId="187" fontId="59" fillId="0" borderId="0" xfId="0" applyNumberFormat="1" applyFont="1" applyFill="1" applyAlignment="1" applyProtection="1">
      <alignment horizontal="left" vertical="center"/>
      <protection locked="0"/>
    </xf>
    <xf numFmtId="0" fontId="71" fillId="2" borderId="0" xfId="0" applyFont="1" applyFill="1" applyAlignment="1" applyProtection="1">
      <alignment horizontal="left" vertical="center"/>
    </xf>
    <xf numFmtId="184" fontId="43" fillId="2" borderId="0" xfId="0" applyNumberFormat="1" applyFont="1" applyFill="1" applyAlignment="1" applyProtection="1">
      <alignment horizontal="left" vertical="center"/>
    </xf>
    <xf numFmtId="187" fontId="43" fillId="2" borderId="0" xfId="0" applyNumberFormat="1" applyFont="1" applyFill="1" applyAlignment="1" applyProtection="1">
      <alignment horizontal="left" vertical="center"/>
      <protection locked="0"/>
    </xf>
    <xf numFmtId="0" fontId="43" fillId="2" borderId="83" xfId="0" applyFont="1" applyFill="1" applyBorder="1" applyAlignment="1" applyProtection="1">
      <alignment horizontal="left" vertical="center"/>
    </xf>
    <xf numFmtId="0" fontId="43" fillId="2" borderId="91" xfId="0" applyFont="1" applyFill="1" applyBorder="1" applyAlignment="1" applyProtection="1">
      <alignment horizontal="left" vertical="center"/>
    </xf>
    <xf numFmtId="0" fontId="43" fillId="2" borderId="7" xfId="0" applyFont="1" applyFill="1" applyBorder="1" applyAlignment="1" applyProtection="1">
      <alignment horizontal="left" vertical="center"/>
    </xf>
    <xf numFmtId="0" fontId="43" fillId="2" borderId="52" xfId="0" applyFont="1" applyFill="1" applyBorder="1" applyAlignment="1" applyProtection="1">
      <alignment horizontal="left" vertical="center"/>
    </xf>
    <xf numFmtId="0" fontId="43" fillId="2" borderId="102" xfId="0" applyFont="1" applyFill="1" applyBorder="1" applyAlignment="1" applyProtection="1">
      <alignment horizontal="left" vertical="center" wrapText="1"/>
    </xf>
    <xf numFmtId="0" fontId="43" fillId="2" borderId="69" xfId="0" applyFont="1" applyFill="1" applyBorder="1" applyAlignment="1" applyProtection="1">
      <alignment horizontal="left" vertical="center"/>
    </xf>
    <xf numFmtId="0" fontId="43" fillId="2" borderId="102" xfId="0" applyFont="1" applyFill="1" applyBorder="1" applyAlignment="1" applyProtection="1">
      <alignment horizontal="left" vertical="center"/>
    </xf>
    <xf numFmtId="0" fontId="43" fillId="2" borderId="59" xfId="0" applyFont="1" applyFill="1" applyBorder="1" applyAlignment="1" applyProtection="1">
      <alignment horizontal="left" vertical="center" wrapText="1"/>
    </xf>
    <xf numFmtId="0" fontId="43" fillId="2" borderId="58" xfId="0" applyFont="1" applyFill="1" applyBorder="1" applyAlignment="1" applyProtection="1">
      <alignment horizontal="left" vertical="center"/>
    </xf>
    <xf numFmtId="0" fontId="43" fillId="2" borderId="59" xfId="0" applyFont="1" applyFill="1" applyBorder="1" applyAlignment="1" applyProtection="1">
      <alignment horizontal="left" vertical="center"/>
    </xf>
    <xf numFmtId="0" fontId="42" fillId="2" borderId="15" xfId="0" applyFont="1" applyFill="1" applyBorder="1" applyAlignment="1" applyProtection="1">
      <alignment horizontal="left" vertical="center"/>
    </xf>
    <xf numFmtId="176" fontId="42" fillId="2" borderId="13" xfId="0" applyNumberFormat="1" applyFont="1" applyFill="1" applyBorder="1" applyAlignment="1" applyProtection="1">
      <alignment horizontal="left" vertical="center"/>
    </xf>
    <xf numFmtId="49" fontId="42" fillId="2" borderId="14" xfId="0" applyNumberFormat="1" applyFont="1" applyFill="1" applyBorder="1" applyAlignment="1" applyProtection="1">
      <alignment horizontal="left" vertical="center"/>
    </xf>
    <xf numFmtId="0" fontId="42" fillId="2" borderId="52" xfId="0" applyFont="1" applyFill="1" applyBorder="1" applyAlignment="1" applyProtection="1">
      <alignment horizontal="left" vertical="center"/>
    </xf>
    <xf numFmtId="0" fontId="42" fillId="2" borderId="14" xfId="0" applyFont="1" applyFill="1" applyBorder="1" applyAlignment="1" applyProtection="1">
      <alignment horizontal="left" vertical="center"/>
    </xf>
    <xf numFmtId="0" fontId="42" fillId="2" borderId="7" xfId="0" applyFont="1" applyFill="1" applyBorder="1" applyAlignment="1" applyProtection="1">
      <alignment horizontal="left" vertical="center" wrapText="1"/>
    </xf>
    <xf numFmtId="176" fontId="43" fillId="2" borderId="13" xfId="0" applyNumberFormat="1" applyFont="1" applyFill="1" applyBorder="1" applyAlignment="1" applyProtection="1">
      <alignment horizontal="left" vertical="center"/>
    </xf>
    <xf numFmtId="49" fontId="43" fillId="2" borderId="14" xfId="0" applyNumberFormat="1" applyFont="1" applyFill="1" applyBorder="1" applyAlignment="1" applyProtection="1">
      <alignment horizontal="left" vertical="center"/>
    </xf>
    <xf numFmtId="176" fontId="58" fillId="2" borderId="13" xfId="0" applyNumberFormat="1" applyFont="1" applyFill="1" applyBorder="1" applyAlignment="1" applyProtection="1">
      <alignment horizontal="left" vertical="center"/>
    </xf>
    <xf numFmtId="49" fontId="58" fillId="2" borderId="14" xfId="0" applyNumberFormat="1" applyFont="1" applyFill="1" applyBorder="1" applyAlignment="1" applyProtection="1">
      <alignment horizontal="left" vertical="center"/>
    </xf>
    <xf numFmtId="0" fontId="58" fillId="2" borderId="52" xfId="0" applyFont="1" applyFill="1" applyBorder="1" applyAlignment="1" applyProtection="1">
      <alignment horizontal="left" vertical="center"/>
    </xf>
    <xf numFmtId="0" fontId="43" fillId="2" borderId="0" xfId="0" applyFont="1" applyFill="1" applyAlignment="1" applyProtection="1">
      <alignment horizontal="left" vertical="center"/>
    </xf>
    <xf numFmtId="178" fontId="43" fillId="2" borderId="7" xfId="0" applyNumberFormat="1" applyFont="1" applyFill="1" applyBorder="1" applyAlignment="1" applyProtection="1">
      <alignment horizontal="left" vertical="center"/>
    </xf>
    <xf numFmtId="0" fontId="43" fillId="2" borderId="14" xfId="0" applyFont="1" applyFill="1" applyBorder="1" applyAlignment="1" applyProtection="1">
      <alignment horizontal="left" vertical="center" wrapText="1"/>
    </xf>
    <xf numFmtId="178" fontId="46" fillId="11" borderId="7" xfId="0" applyNumberFormat="1" applyFont="1" applyFill="1" applyBorder="1" applyAlignment="1" applyProtection="1">
      <alignment horizontal="left" vertical="center"/>
    </xf>
    <xf numFmtId="0" fontId="56" fillId="2" borderId="0" xfId="0" applyFont="1" applyFill="1" applyBorder="1" applyAlignment="1" applyProtection="1">
      <alignment horizontal="left" vertical="center"/>
    </xf>
    <xf numFmtId="0" fontId="56" fillId="0" borderId="0" xfId="0" applyFont="1" applyFill="1" applyBorder="1" applyAlignment="1" applyProtection="1">
      <alignment horizontal="left" vertical="center"/>
      <protection locked="0"/>
    </xf>
    <xf numFmtId="0" fontId="61" fillId="2" borderId="39" xfId="0" applyFont="1" applyFill="1" applyBorder="1" applyAlignment="1" applyProtection="1">
      <alignment horizontal="left" vertical="center"/>
    </xf>
    <xf numFmtId="0" fontId="56" fillId="2" borderId="0" xfId="0" applyFont="1" applyFill="1" applyAlignment="1" applyProtection="1">
      <alignment horizontal="left" vertical="center"/>
    </xf>
    <xf numFmtId="0" fontId="43" fillId="2" borderId="12" xfId="0" applyFont="1" applyFill="1" applyBorder="1" applyAlignment="1" applyProtection="1">
      <alignment horizontal="left" vertical="center"/>
    </xf>
    <xf numFmtId="0" fontId="43" fillId="2" borderId="16" xfId="0" applyFont="1" applyFill="1" applyBorder="1" applyAlignment="1" applyProtection="1">
      <alignment horizontal="left" vertical="center"/>
    </xf>
    <xf numFmtId="0" fontId="42" fillId="2" borderId="7" xfId="0" applyNumberFormat="1" applyFont="1" applyFill="1" applyBorder="1" applyAlignment="1" applyProtection="1">
      <alignment horizontal="left" vertical="center"/>
    </xf>
    <xf numFmtId="0" fontId="42" fillId="2" borderId="7" xfId="0" applyFont="1" applyFill="1" applyBorder="1" applyAlignment="1" applyProtection="1">
      <alignment horizontal="left" vertical="center"/>
    </xf>
    <xf numFmtId="0" fontId="43" fillId="2" borderId="7" xfId="0" applyNumberFormat="1" applyFont="1" applyFill="1" applyBorder="1" applyAlignment="1" applyProtection="1">
      <alignment horizontal="left" vertical="center"/>
    </xf>
    <xf numFmtId="0" fontId="58" fillId="2" borderId="7" xfId="0" applyFont="1" applyFill="1" applyBorder="1" applyAlignment="1" applyProtection="1">
      <alignment horizontal="left" vertical="center"/>
    </xf>
    <xf numFmtId="0" fontId="43" fillId="2" borderId="16" xfId="0" applyFont="1" applyFill="1" applyBorder="1" applyAlignment="1" applyProtection="1">
      <alignment horizontal="left" vertical="center" textRotation="255" wrapText="1"/>
    </xf>
    <xf numFmtId="0" fontId="48" fillId="2" borderId="9" xfId="57" applyFont="1" applyFill="1" applyBorder="1" applyAlignment="1" applyProtection="1">
      <alignment horizontal="left"/>
    </xf>
    <xf numFmtId="0" fontId="24" fillId="2" borderId="10" xfId="0" applyFont="1" applyFill="1" applyBorder="1" applyAlignment="1" applyProtection="1">
      <alignment horizontal="left"/>
    </xf>
    <xf numFmtId="183" fontId="48" fillId="2" borderId="11" xfId="0" applyNumberFormat="1" applyFont="1" applyFill="1" applyBorder="1" applyAlignment="1" applyProtection="1">
      <alignment horizontal="left"/>
    </xf>
    <xf numFmtId="0" fontId="24" fillId="2" borderId="0" xfId="0" applyFont="1" applyFill="1" applyAlignment="1" applyProtection="1">
      <alignment horizontal="left"/>
    </xf>
    <xf numFmtId="0" fontId="43" fillId="2" borderId="0" xfId="0" applyFont="1" applyFill="1" applyAlignment="1" applyProtection="1">
      <alignment horizontal="left" vertical="center"/>
      <protection locked="0"/>
    </xf>
    <xf numFmtId="14" fontId="43" fillId="2" borderId="0" xfId="0" applyNumberFormat="1" applyFont="1" applyFill="1" applyAlignment="1" applyProtection="1">
      <alignment horizontal="left" vertical="center"/>
      <protection locked="0"/>
    </xf>
    <xf numFmtId="189" fontId="43" fillId="2" borderId="0" xfId="0" applyNumberFormat="1" applyFont="1" applyFill="1" applyAlignment="1" applyProtection="1">
      <alignment horizontal="left" vertical="center"/>
      <protection locked="0"/>
    </xf>
    <xf numFmtId="14" fontId="43" fillId="2" borderId="0" xfId="0" applyNumberFormat="1" applyFont="1" applyFill="1" applyAlignment="1" applyProtection="1">
      <alignment horizontal="left" vertical="center"/>
    </xf>
    <xf numFmtId="0" fontId="68" fillId="2" borderId="0" xfId="0" applyFont="1" applyFill="1" applyBorder="1" applyAlignment="1" applyProtection="1">
      <alignment horizontal="left"/>
    </xf>
    <xf numFmtId="0" fontId="43" fillId="2" borderId="0" xfId="0" applyFont="1" applyFill="1" applyBorder="1" applyAlignment="1" applyProtection="1">
      <alignment horizontal="left"/>
    </xf>
    <xf numFmtId="0" fontId="64" fillId="2" borderId="85" xfId="0" applyNumberFormat="1" applyFont="1" applyFill="1" applyBorder="1" applyAlignment="1" applyProtection="1">
      <alignment horizontal="left" vertical="center"/>
    </xf>
    <xf numFmtId="0" fontId="64" fillId="2" borderId="86" xfId="0" applyNumberFormat="1" applyFont="1" applyFill="1" applyBorder="1" applyAlignment="1" applyProtection="1">
      <alignment horizontal="left" vertical="center"/>
    </xf>
    <xf numFmtId="0" fontId="42" fillId="2" borderId="90" xfId="0" applyNumberFormat="1" applyFont="1" applyFill="1" applyBorder="1" applyAlignment="1" applyProtection="1">
      <alignment horizontal="left" vertical="center" wrapText="1"/>
    </xf>
    <xf numFmtId="0" fontId="64" fillId="3" borderId="6" xfId="0" applyNumberFormat="1" applyFont="1" applyFill="1" applyBorder="1" applyAlignment="1" applyProtection="1">
      <alignment horizontal="left" vertical="center" wrapText="1"/>
      <protection locked="0"/>
    </xf>
    <xf numFmtId="10" fontId="64" fillId="2" borderId="7" xfId="0" applyNumberFormat="1" applyFont="1" applyFill="1" applyBorder="1" applyAlignment="1" applyProtection="1">
      <alignment horizontal="left" vertical="center" wrapText="1"/>
    </xf>
    <xf numFmtId="0" fontId="42" fillId="0" borderId="7" xfId="0" applyNumberFormat="1" applyFont="1" applyFill="1" applyBorder="1" applyAlignment="1" applyProtection="1">
      <alignment horizontal="left" vertical="center" wrapText="1"/>
      <protection locked="0"/>
    </xf>
    <xf numFmtId="0" fontId="64" fillId="2" borderId="98" xfId="0" applyNumberFormat="1" applyFont="1" applyFill="1" applyBorder="1" applyAlignment="1" applyProtection="1">
      <alignment horizontal="left" vertical="center"/>
    </xf>
    <xf numFmtId="0" fontId="64" fillId="2" borderId="104" xfId="0" applyNumberFormat="1" applyFont="1" applyFill="1" applyBorder="1" applyAlignment="1" applyProtection="1">
      <alignment horizontal="left" vertical="center" wrapText="1"/>
    </xf>
    <xf numFmtId="0" fontId="42" fillId="0" borderId="104" xfId="0" applyNumberFormat="1" applyFont="1" applyFill="1" applyBorder="1" applyAlignment="1" applyProtection="1">
      <alignment horizontal="left" vertical="center" wrapText="1"/>
      <protection locked="0"/>
    </xf>
    <xf numFmtId="0" fontId="42" fillId="0" borderId="64" xfId="0" applyNumberFormat="1" applyFont="1" applyFill="1" applyBorder="1" applyAlignment="1" applyProtection="1">
      <alignment horizontal="left" vertical="center" wrapText="1"/>
      <protection locked="0"/>
    </xf>
    <xf numFmtId="0" fontId="64" fillId="2" borderId="69" xfId="0" applyNumberFormat="1" applyFont="1" applyFill="1" applyBorder="1" applyAlignment="1" applyProtection="1">
      <alignment horizontal="left" vertical="center" wrapText="1"/>
    </xf>
    <xf numFmtId="0" fontId="64" fillId="2" borderId="102" xfId="0" applyNumberFormat="1" applyFont="1" applyFill="1" applyBorder="1" applyAlignment="1" applyProtection="1">
      <alignment horizontal="left" vertical="center" wrapText="1"/>
    </xf>
    <xf numFmtId="0" fontId="42" fillId="2" borderId="59" xfId="0" applyNumberFormat="1" applyFont="1" applyFill="1" applyBorder="1" applyAlignment="1" applyProtection="1">
      <alignment horizontal="left" vertical="center" wrapText="1"/>
    </xf>
    <xf numFmtId="0" fontId="42" fillId="2" borderId="91" xfId="0" applyNumberFormat="1" applyFont="1" applyFill="1" applyBorder="1" applyAlignment="1" applyProtection="1">
      <alignment horizontal="left" vertical="center" wrapText="1"/>
    </xf>
    <xf numFmtId="0" fontId="42" fillId="0" borderId="12" xfId="0" applyNumberFormat="1" applyFont="1" applyFill="1" applyBorder="1" applyAlignment="1" applyProtection="1">
      <alignment horizontal="left" vertical="center" wrapText="1"/>
      <protection locked="0"/>
    </xf>
    <xf numFmtId="0" fontId="46" fillId="2" borderId="53" xfId="0" applyNumberFormat="1" applyFont="1" applyFill="1" applyBorder="1" applyAlignment="1" applyProtection="1">
      <alignment horizontal="left" vertical="center" wrapText="1"/>
    </xf>
    <xf numFmtId="0" fontId="42" fillId="2" borderId="54" xfId="0" applyNumberFormat="1" applyFont="1" applyFill="1" applyBorder="1" applyAlignment="1" applyProtection="1">
      <alignment horizontal="left" vertical="center" wrapText="1"/>
    </xf>
    <xf numFmtId="0" fontId="46" fillId="2" borderId="79" xfId="0" applyNumberFormat="1" applyFont="1" applyFill="1" applyBorder="1" applyAlignment="1" applyProtection="1">
      <alignment horizontal="left" vertical="center" wrapText="1"/>
    </xf>
    <xf numFmtId="0" fontId="58" fillId="2" borderId="105" xfId="0" applyNumberFormat="1" applyFont="1" applyFill="1" applyBorder="1" applyAlignment="1" applyProtection="1">
      <alignment horizontal="left" vertical="center" wrapText="1"/>
    </xf>
    <xf numFmtId="0" fontId="43" fillId="0" borderId="2" xfId="0" applyNumberFormat="1" applyFont="1" applyFill="1" applyBorder="1" applyAlignment="1" applyProtection="1">
      <alignment horizontal="left" vertical="center" wrapText="1"/>
      <protection locked="0"/>
    </xf>
    <xf numFmtId="0" fontId="42" fillId="2" borderId="106" xfId="0" applyNumberFormat="1" applyFont="1" applyFill="1" applyBorder="1" applyAlignment="1" applyProtection="1">
      <alignment horizontal="left" vertical="center" wrapText="1"/>
    </xf>
    <xf numFmtId="0" fontId="43" fillId="2" borderId="107" xfId="0" applyNumberFormat="1" applyFont="1" applyFill="1" applyBorder="1" applyAlignment="1" applyProtection="1">
      <alignment horizontal="left" vertical="center" wrapText="1"/>
    </xf>
    <xf numFmtId="0" fontId="42" fillId="2" borderId="105" xfId="0" applyNumberFormat="1" applyFont="1" applyFill="1" applyBorder="1" applyAlignment="1" applyProtection="1">
      <alignment horizontal="left" vertical="center" wrapText="1"/>
    </xf>
    <xf numFmtId="0" fontId="43" fillId="2" borderId="2" xfId="0" applyNumberFormat="1" applyFont="1" applyFill="1" applyBorder="1" applyAlignment="1" applyProtection="1">
      <alignment horizontal="left" vertical="center" wrapText="1"/>
    </xf>
    <xf numFmtId="0" fontId="42" fillId="2" borderId="52" xfId="0" applyNumberFormat="1" applyFont="1" applyFill="1" applyBorder="1" applyAlignment="1" applyProtection="1">
      <alignment horizontal="left" vertical="center" wrapText="1"/>
    </xf>
    <xf numFmtId="0" fontId="43" fillId="2" borderId="16" xfId="0" applyNumberFormat="1" applyFont="1" applyFill="1" applyBorder="1" applyAlignment="1" applyProtection="1">
      <alignment horizontal="left" vertical="center" wrapText="1"/>
    </xf>
    <xf numFmtId="0" fontId="58" fillId="2" borderId="52" xfId="0" applyNumberFormat="1" applyFont="1" applyFill="1" applyBorder="1" applyAlignment="1" applyProtection="1">
      <alignment horizontal="left" vertical="center" wrapText="1"/>
    </xf>
    <xf numFmtId="0" fontId="66" fillId="2" borderId="79" xfId="0" applyNumberFormat="1" applyFont="1" applyFill="1" applyBorder="1" applyAlignment="1" applyProtection="1">
      <alignment horizontal="left" vertical="center" wrapText="1"/>
    </xf>
    <xf numFmtId="0" fontId="42" fillId="0" borderId="107" xfId="0" applyNumberFormat="1" applyFont="1" applyFill="1" applyBorder="1" applyAlignment="1" applyProtection="1">
      <alignment horizontal="left" vertical="center" wrapText="1"/>
      <protection locked="0"/>
    </xf>
    <xf numFmtId="0" fontId="42" fillId="0" borderId="2" xfId="0" applyNumberFormat="1" applyFont="1" applyFill="1" applyBorder="1" applyAlignment="1" applyProtection="1">
      <alignment horizontal="left" vertical="center" wrapText="1"/>
      <protection locked="0"/>
    </xf>
    <xf numFmtId="0" fontId="58" fillId="0" borderId="2" xfId="0" applyNumberFormat="1" applyFont="1" applyFill="1" applyBorder="1" applyAlignment="1" applyProtection="1">
      <alignment horizontal="left" vertical="center" wrapText="1"/>
      <protection locked="0"/>
    </xf>
    <xf numFmtId="0" fontId="66" fillId="2" borderId="84" xfId="0" applyNumberFormat="1" applyFont="1" applyFill="1" applyBorder="1" applyAlignment="1" applyProtection="1">
      <alignment horizontal="left" vertical="center" wrapText="1"/>
    </xf>
    <xf numFmtId="0" fontId="42" fillId="2" borderId="64" xfId="0" applyNumberFormat="1" applyFont="1" applyFill="1" applyBorder="1" applyAlignment="1" applyProtection="1">
      <alignment horizontal="left" vertical="center" wrapText="1"/>
    </xf>
    <xf numFmtId="0" fontId="42" fillId="0" borderId="10" xfId="0" applyNumberFormat="1" applyFont="1" applyFill="1" applyBorder="1" applyAlignment="1" applyProtection="1">
      <alignment horizontal="left" vertical="center" wrapText="1"/>
      <protection locked="0"/>
    </xf>
    <xf numFmtId="0" fontId="58" fillId="0" borderId="10" xfId="0" applyNumberFormat="1" applyFont="1" applyFill="1" applyBorder="1" applyAlignment="1" applyProtection="1">
      <alignment horizontal="left" vertical="center" wrapText="1"/>
      <protection locked="0"/>
    </xf>
    <xf numFmtId="0" fontId="42" fillId="2" borderId="4" xfId="0" applyNumberFormat="1" applyFont="1" applyFill="1" applyBorder="1" applyAlignment="1" applyProtection="1">
      <alignment horizontal="left" vertical="center" wrapText="1"/>
    </xf>
    <xf numFmtId="0" fontId="43" fillId="2" borderId="4" xfId="0" applyNumberFormat="1" applyFont="1" applyFill="1" applyBorder="1" applyAlignment="1" applyProtection="1">
      <alignment horizontal="left" vertical="center" wrapText="1"/>
    </xf>
    <xf numFmtId="0" fontId="64" fillId="2" borderId="79" xfId="0" applyNumberFormat="1" applyFont="1" applyFill="1" applyBorder="1" applyAlignment="1" applyProtection="1">
      <alignment horizontal="left" vertical="center" wrapText="1"/>
    </xf>
    <xf numFmtId="0" fontId="42" fillId="2" borderId="2" xfId="0" applyNumberFormat="1" applyFont="1" applyFill="1" applyBorder="1" applyAlignment="1" applyProtection="1">
      <alignment horizontal="left" vertical="center" wrapText="1"/>
    </xf>
    <xf numFmtId="0" fontId="43" fillId="2" borderId="52" xfId="0" applyNumberFormat="1" applyFont="1" applyFill="1" applyBorder="1" applyAlignment="1" applyProtection="1">
      <alignment horizontal="left" vertical="center" wrapText="1"/>
    </xf>
    <xf numFmtId="0" fontId="58" fillId="2" borderId="2" xfId="0" applyNumberFormat="1" applyFont="1" applyFill="1" applyBorder="1" applyAlignment="1" applyProtection="1">
      <alignment horizontal="left" vertical="center" wrapText="1"/>
    </xf>
    <xf numFmtId="0" fontId="43" fillId="0" borderId="107" xfId="0" applyNumberFormat="1" applyFont="1" applyFill="1" applyBorder="1" applyAlignment="1" applyProtection="1">
      <alignment horizontal="left" vertical="center" wrapText="1"/>
      <protection locked="0"/>
    </xf>
    <xf numFmtId="0" fontId="43" fillId="0" borderId="16" xfId="0" applyNumberFormat="1" applyFont="1" applyFill="1" applyBorder="1" applyAlignment="1" applyProtection="1">
      <alignment horizontal="left" vertical="center" wrapText="1"/>
      <protection locked="0"/>
    </xf>
    <xf numFmtId="0" fontId="43" fillId="0" borderId="10" xfId="0" applyNumberFormat="1" applyFont="1" applyFill="1" applyBorder="1" applyAlignment="1" applyProtection="1">
      <alignment horizontal="left" vertical="center" wrapText="1"/>
      <protection locked="0"/>
    </xf>
    <xf numFmtId="0" fontId="66" fillId="2" borderId="79" xfId="0" applyNumberFormat="1" applyFont="1" applyFill="1" applyBorder="1" applyAlignment="1" applyProtection="1">
      <alignment horizontal="left" vertical="center" textRotation="255" wrapText="1"/>
    </xf>
    <xf numFmtId="0" fontId="42" fillId="2" borderId="69" xfId="0" applyNumberFormat="1" applyFont="1" applyFill="1" applyBorder="1" applyAlignment="1" applyProtection="1">
      <alignment horizontal="left" vertical="center"/>
    </xf>
    <xf numFmtId="0" fontId="43" fillId="0" borderId="12" xfId="0" applyNumberFormat="1" applyFont="1" applyFill="1" applyBorder="1" applyAlignment="1" applyProtection="1">
      <alignment horizontal="left" vertical="center" wrapText="1"/>
      <protection locked="0"/>
    </xf>
    <xf numFmtId="0" fontId="46" fillId="2" borderId="79" xfId="0" applyNumberFormat="1" applyFont="1" applyFill="1" applyBorder="1" applyAlignment="1" applyProtection="1">
      <alignment horizontal="left" vertical="center" textRotation="255" wrapText="1"/>
    </xf>
    <xf numFmtId="0" fontId="24" fillId="0" borderId="0" xfId="0" applyFont="1" applyFill="1" applyAlignment="1" applyProtection="1">
      <alignment horizontal="left"/>
      <protection locked="0"/>
    </xf>
    <xf numFmtId="184" fontId="43" fillId="2" borderId="0" xfId="0" applyNumberFormat="1" applyFont="1" applyFill="1" applyAlignment="1" applyProtection="1">
      <alignment horizontal="left" vertical="center"/>
      <protection locked="0"/>
    </xf>
    <xf numFmtId="0" fontId="43" fillId="2" borderId="0" xfId="0" applyFont="1" applyFill="1" applyBorder="1" applyAlignment="1" applyProtection="1">
      <alignment horizontal="left"/>
      <protection locked="0"/>
    </xf>
    <xf numFmtId="184" fontId="43" fillId="2" borderId="0" xfId="0" applyNumberFormat="1" applyFont="1" applyFill="1" applyBorder="1" applyAlignment="1" applyProtection="1">
      <alignment horizontal="left"/>
      <protection locked="0"/>
    </xf>
    <xf numFmtId="187" fontId="43" fillId="2" borderId="0" xfId="0" applyNumberFormat="1" applyFont="1" applyFill="1" applyBorder="1" applyAlignment="1" applyProtection="1">
      <alignment horizontal="left"/>
      <protection locked="0"/>
    </xf>
    <xf numFmtId="0" fontId="43" fillId="0" borderId="0" xfId="0" applyFont="1" applyBorder="1" applyAlignment="1" applyProtection="1">
      <alignment horizontal="left"/>
      <protection locked="0"/>
    </xf>
    <xf numFmtId="49" fontId="42" fillId="0" borderId="0" xfId="0" applyNumberFormat="1" applyFont="1" applyFill="1" applyBorder="1" applyAlignment="1" applyProtection="1">
      <alignment horizontal="left" vertical="center"/>
    </xf>
    <xf numFmtId="0" fontId="42" fillId="0" borderId="13" xfId="0" applyNumberFormat="1" applyFont="1" applyFill="1" applyBorder="1" applyAlignment="1" applyProtection="1">
      <alignment horizontal="left" vertical="center" wrapText="1"/>
      <protection locked="0"/>
    </xf>
    <xf numFmtId="0" fontId="42" fillId="0" borderId="93" xfId="0" applyNumberFormat="1" applyFont="1" applyFill="1" applyBorder="1" applyAlignment="1" applyProtection="1">
      <alignment horizontal="left" vertical="center" wrapText="1"/>
      <protection locked="0"/>
    </xf>
    <xf numFmtId="9" fontId="42" fillId="0" borderId="0" xfId="0" applyNumberFormat="1" applyFont="1" applyFill="1" applyBorder="1" applyAlignment="1" applyProtection="1">
      <alignment horizontal="left" vertical="center" wrapText="1"/>
      <protection locked="0"/>
    </xf>
    <xf numFmtId="0" fontId="42" fillId="0" borderId="88" xfId="0" applyNumberFormat="1" applyFont="1" applyFill="1" applyBorder="1" applyAlignment="1" applyProtection="1">
      <alignment horizontal="left" vertical="center" wrapText="1"/>
      <protection locked="0"/>
    </xf>
    <xf numFmtId="0" fontId="42" fillId="0" borderId="74" xfId="0" applyNumberFormat="1" applyFont="1" applyFill="1" applyBorder="1" applyAlignment="1" applyProtection="1">
      <alignment horizontal="left" vertical="center" wrapText="1"/>
      <protection locked="0"/>
    </xf>
    <xf numFmtId="0" fontId="42" fillId="0" borderId="80" xfId="0" applyNumberFormat="1" applyFont="1" applyFill="1" applyBorder="1" applyAlignment="1" applyProtection="1">
      <alignment horizontal="left" vertical="center" wrapText="1"/>
      <protection locked="0"/>
    </xf>
    <xf numFmtId="0" fontId="42" fillId="0" borderId="0" xfId="0" applyNumberFormat="1" applyFont="1" applyFill="1" applyBorder="1" applyAlignment="1" applyProtection="1">
      <alignment horizontal="left" vertical="center" wrapText="1"/>
      <protection locked="0"/>
    </xf>
    <xf numFmtId="0" fontId="23" fillId="0" borderId="0" xfId="0" applyFont="1" applyFill="1" applyBorder="1" applyAlignment="1" applyProtection="1">
      <alignment horizontal="left" vertical="center"/>
      <protection locked="0"/>
    </xf>
    <xf numFmtId="0" fontId="42" fillId="0" borderId="61" xfId="0" applyNumberFormat="1" applyFont="1" applyFill="1" applyBorder="1" applyAlignment="1" applyProtection="1">
      <alignment horizontal="left" vertical="center" wrapText="1"/>
      <protection locked="0"/>
    </xf>
    <xf numFmtId="0" fontId="59" fillId="0" borderId="5" xfId="0" applyNumberFormat="1" applyFont="1" applyFill="1" applyBorder="1" applyAlignment="1" applyProtection="1">
      <alignment horizontal="left" vertical="center" wrapText="1"/>
      <protection locked="0"/>
    </xf>
    <xf numFmtId="0" fontId="59" fillId="0" borderId="0" xfId="0" applyNumberFormat="1" applyFont="1" applyFill="1" applyBorder="1" applyAlignment="1" applyProtection="1">
      <alignment horizontal="left" vertical="center" wrapText="1"/>
      <protection locked="0"/>
    </xf>
    <xf numFmtId="0" fontId="42" fillId="0" borderId="0" xfId="0" applyFont="1" applyFill="1" applyBorder="1" applyAlignment="1" applyProtection="1">
      <alignment horizontal="left" vertical="center" wrapText="1"/>
      <protection locked="0"/>
    </xf>
    <xf numFmtId="0" fontId="43" fillId="0" borderId="108" xfId="0" applyNumberFormat="1" applyFont="1" applyFill="1" applyBorder="1" applyAlignment="1" applyProtection="1">
      <alignment horizontal="left" vertical="center" wrapText="1"/>
      <protection locked="0"/>
    </xf>
    <xf numFmtId="0" fontId="43" fillId="0" borderId="0" xfId="0" applyNumberFormat="1" applyFont="1" applyFill="1" applyBorder="1" applyAlignment="1" applyProtection="1">
      <alignment horizontal="left" vertical="center" wrapText="1"/>
      <protection locked="0"/>
    </xf>
    <xf numFmtId="0" fontId="59" fillId="2" borderId="109" xfId="0" applyNumberFormat="1" applyFont="1" applyFill="1" applyBorder="1" applyAlignment="1" applyProtection="1">
      <alignment horizontal="left" vertical="center" wrapText="1"/>
    </xf>
    <xf numFmtId="0" fontId="43" fillId="2" borderId="108" xfId="0" applyNumberFormat="1" applyFont="1" applyFill="1" applyBorder="1" applyAlignment="1" applyProtection="1">
      <alignment horizontal="left" vertical="center" wrapText="1"/>
    </xf>
    <xf numFmtId="0" fontId="59" fillId="0" borderId="8" xfId="0" applyNumberFormat="1" applyFont="1" applyFill="1" applyBorder="1" applyAlignment="1" applyProtection="1">
      <alignment horizontal="left" vertical="center" wrapText="1"/>
      <protection locked="0"/>
    </xf>
    <xf numFmtId="0" fontId="58" fillId="0" borderId="109" xfId="0" applyNumberFormat="1" applyFont="1" applyFill="1" applyBorder="1" applyAlignment="1" applyProtection="1">
      <alignment horizontal="left" vertical="center" wrapText="1"/>
      <protection locked="0"/>
    </xf>
    <xf numFmtId="0" fontId="58" fillId="0" borderId="0" xfId="0" applyNumberFormat="1" applyFont="1" applyFill="1" applyBorder="1" applyAlignment="1" applyProtection="1">
      <alignment horizontal="left" vertical="center" wrapText="1"/>
      <protection locked="0"/>
    </xf>
    <xf numFmtId="0" fontId="58" fillId="0" borderId="0" xfId="0" applyFont="1" applyFill="1" applyBorder="1" applyAlignment="1" applyProtection="1">
      <alignment horizontal="left" vertical="center" wrapText="1"/>
      <protection locked="0"/>
    </xf>
    <xf numFmtId="0" fontId="58" fillId="0" borderId="108" xfId="0" applyNumberFormat="1" applyFont="1" applyFill="1" applyBorder="1" applyAlignment="1" applyProtection="1">
      <alignment horizontal="left" vertical="center" wrapText="1"/>
      <protection locked="0"/>
    </xf>
    <xf numFmtId="0" fontId="58" fillId="0" borderId="80" xfId="0" applyNumberFormat="1" applyFont="1" applyFill="1" applyBorder="1" applyAlignment="1" applyProtection="1">
      <alignment horizontal="left" vertical="center" wrapText="1"/>
      <protection locked="0"/>
    </xf>
    <xf numFmtId="0" fontId="58" fillId="0" borderId="11" xfId="0" applyNumberFormat="1" applyFont="1" applyFill="1" applyBorder="1" applyAlignment="1" applyProtection="1">
      <alignment horizontal="left" vertical="center" wrapText="1"/>
      <protection locked="0"/>
    </xf>
    <xf numFmtId="0" fontId="59" fillId="2" borderId="5" xfId="0" applyNumberFormat="1" applyFont="1" applyFill="1" applyBorder="1" applyAlignment="1" applyProtection="1">
      <alignment horizontal="left" vertical="center" wrapText="1"/>
    </xf>
    <xf numFmtId="0" fontId="42" fillId="2" borderId="109" xfId="0" applyNumberFormat="1" applyFont="1" applyFill="1" applyBorder="1" applyAlignment="1" applyProtection="1">
      <alignment horizontal="left" vertical="center" wrapText="1"/>
    </xf>
    <xf numFmtId="0" fontId="43" fillId="2" borderId="109" xfId="0" applyNumberFormat="1" applyFont="1" applyFill="1" applyBorder="1" applyAlignment="1" applyProtection="1">
      <alignment horizontal="left" vertical="center" wrapText="1"/>
    </xf>
    <xf numFmtId="0" fontId="58" fillId="2" borderId="109" xfId="0" applyNumberFormat="1" applyFont="1" applyFill="1" applyBorder="1" applyAlignment="1" applyProtection="1">
      <alignment horizontal="left" vertical="center" wrapText="1"/>
    </xf>
    <xf numFmtId="0" fontId="58" fillId="2" borderId="108" xfId="0" applyNumberFormat="1" applyFont="1" applyFill="1" applyBorder="1" applyAlignment="1" applyProtection="1">
      <alignment horizontal="left" vertical="center" wrapText="1"/>
    </xf>
    <xf numFmtId="0" fontId="59" fillId="0" borderId="109" xfId="0" applyNumberFormat="1" applyFont="1" applyFill="1" applyBorder="1" applyAlignment="1" applyProtection="1">
      <alignment horizontal="left" vertical="center" wrapText="1"/>
      <protection locked="0"/>
    </xf>
    <xf numFmtId="0" fontId="59" fillId="0" borderId="80" xfId="0" applyNumberFormat="1" applyFont="1" applyFill="1" applyBorder="1" applyAlignment="1" applyProtection="1">
      <alignment horizontal="left" vertical="center" wrapText="1"/>
      <protection locked="0"/>
    </xf>
    <xf numFmtId="0" fontId="43" fillId="0" borderId="11" xfId="0" applyNumberFormat="1" applyFont="1" applyFill="1" applyBorder="1" applyAlignment="1" applyProtection="1">
      <alignment horizontal="left" vertical="center" wrapText="1"/>
      <protection locked="0"/>
    </xf>
    <xf numFmtId="0" fontId="58" fillId="0" borderId="8" xfId="0" applyNumberFormat="1" applyFont="1" applyFill="1" applyBorder="1" applyAlignment="1" applyProtection="1">
      <alignment horizontal="left" vertical="center" wrapText="1"/>
      <protection locked="0"/>
    </xf>
    <xf numFmtId="0" fontId="43" fillId="0" borderId="61" xfId="0" applyNumberFormat="1" applyFont="1" applyFill="1" applyBorder="1" applyAlignment="1" applyProtection="1">
      <alignment horizontal="left" vertical="center" wrapText="1"/>
      <protection locked="0"/>
    </xf>
    <xf numFmtId="0" fontId="23" fillId="2" borderId="5" xfId="0" applyNumberFormat="1" applyFont="1" applyFill="1" applyBorder="1" applyAlignment="1" applyProtection="1">
      <alignment horizontal="left" vertical="center" wrapText="1"/>
    </xf>
    <xf numFmtId="9" fontId="58" fillId="0" borderId="0" xfId="0" applyNumberFormat="1" applyFont="1" applyFill="1" applyBorder="1" applyAlignment="1" applyProtection="1">
      <alignment horizontal="left" vertical="center" wrapText="1"/>
      <protection locked="0"/>
    </xf>
    <xf numFmtId="9" fontId="58" fillId="0" borderId="0" xfId="0" applyNumberFormat="1" applyFont="1" applyFill="1" applyBorder="1" applyAlignment="1" applyProtection="1">
      <alignment horizontal="left" vertical="center"/>
      <protection locked="0"/>
    </xf>
    <xf numFmtId="0" fontId="58" fillId="2" borderId="64" xfId="0" applyNumberFormat="1" applyFont="1" applyFill="1" applyBorder="1" applyAlignment="1" applyProtection="1">
      <alignment horizontal="left" vertical="center" wrapText="1"/>
    </xf>
    <xf numFmtId="0" fontId="56" fillId="0" borderId="1" xfId="0" applyFont="1" applyFill="1" applyBorder="1" applyAlignment="1" applyProtection="1">
      <alignment horizontal="center" vertical="center"/>
      <protection locked="0"/>
    </xf>
    <xf numFmtId="0" fontId="44" fillId="2" borderId="116" xfId="0" applyFont="1" applyFill="1" applyBorder="1" applyAlignment="1" applyProtection="1">
      <alignment vertical="center"/>
    </xf>
    <xf numFmtId="0" fontId="61" fillId="12" borderId="2" xfId="0" applyFont="1" applyFill="1" applyBorder="1" applyAlignment="1" applyProtection="1">
      <alignment horizontal="center" vertical="center"/>
      <protection locked="0"/>
    </xf>
    <xf numFmtId="0" fontId="45" fillId="3" borderId="2" xfId="57" applyFont="1" applyFill="1" applyBorder="1" applyAlignment="1" applyProtection="1">
      <alignment vertical="center"/>
      <protection locked="0"/>
    </xf>
    <xf numFmtId="0" fontId="61" fillId="2" borderId="117" xfId="0" applyFont="1" applyFill="1" applyBorder="1" applyAlignment="1" applyProtection="1">
      <alignment vertical="center"/>
    </xf>
    <xf numFmtId="0" fontId="61" fillId="3" borderId="1" xfId="0" applyFont="1" applyFill="1" applyBorder="1" applyAlignment="1" applyProtection="1">
      <alignment horizontal="center" vertical="center"/>
      <protection locked="0"/>
    </xf>
    <xf numFmtId="0" fontId="62" fillId="2" borderId="117" xfId="0" applyFont="1" applyFill="1" applyBorder="1" applyAlignment="1" applyProtection="1">
      <alignment vertical="center"/>
    </xf>
    <xf numFmtId="0" fontId="45" fillId="2" borderId="16" xfId="57" applyFont="1" applyFill="1" applyBorder="1" applyAlignment="1" applyProtection="1">
      <alignment vertical="center"/>
    </xf>
    <xf numFmtId="0" fontId="45" fillId="2" borderId="16" xfId="0" applyFont="1" applyFill="1" applyBorder="1" applyAlignment="1" applyProtection="1">
      <alignment horizontal="right" vertical="center"/>
    </xf>
    <xf numFmtId="0" fontId="45" fillId="2" borderId="0" xfId="57" applyFont="1" applyFill="1" applyBorder="1" applyAlignment="1" applyProtection="1">
      <alignment vertical="center"/>
    </xf>
    <xf numFmtId="0" fontId="48" fillId="3" borderId="58" xfId="57" applyFont="1" applyFill="1" applyBorder="1" applyAlignment="1" applyProtection="1">
      <alignment vertical="center"/>
      <protection locked="0"/>
    </xf>
    <xf numFmtId="0" fontId="54" fillId="2" borderId="16" xfId="0" applyFont="1" applyFill="1" applyBorder="1" applyAlignment="1" applyProtection="1">
      <alignment vertical="center"/>
      <protection locked="0"/>
    </xf>
    <xf numFmtId="0" fontId="72" fillId="2" borderId="59" xfId="57" applyFont="1" applyFill="1" applyBorder="1" applyAlignment="1" applyProtection="1">
      <alignment vertical="center"/>
    </xf>
    <xf numFmtId="0" fontId="45" fillId="3" borderId="16" xfId="57" applyFont="1" applyFill="1" applyBorder="1" applyAlignment="1" applyProtection="1">
      <alignment vertical="center"/>
      <protection locked="0"/>
    </xf>
    <xf numFmtId="0" fontId="45" fillId="2" borderId="12" xfId="0" applyFont="1" applyFill="1" applyBorder="1" applyAlignment="1" applyProtection="1">
      <alignment horizontal="center" vertical="center"/>
    </xf>
    <xf numFmtId="0" fontId="45" fillId="2" borderId="12" xfId="0" applyFont="1" applyFill="1" applyBorder="1" applyAlignment="1" applyProtection="1">
      <alignment horizontal="right" vertical="center"/>
    </xf>
    <xf numFmtId="0" fontId="42" fillId="0" borderId="66" xfId="0" applyNumberFormat="1" applyFont="1" applyFill="1" applyBorder="1" applyAlignment="1" applyProtection="1">
      <alignment horizontal="center" vertical="center" wrapText="1"/>
      <protection locked="0"/>
    </xf>
    <xf numFmtId="49" fontId="42" fillId="12" borderId="3" xfId="0" applyNumberFormat="1" applyFont="1" applyFill="1" applyBorder="1" applyAlignment="1" applyProtection="1">
      <alignment horizontal="center" vertical="center" wrapText="1"/>
      <protection locked="0"/>
    </xf>
    <xf numFmtId="49" fontId="42" fillId="12" borderId="6" xfId="0" applyNumberFormat="1" applyFont="1" applyFill="1" applyBorder="1" applyAlignment="1" applyProtection="1">
      <alignment horizontal="center" vertical="center" wrapText="1"/>
      <protection locked="0"/>
    </xf>
    <xf numFmtId="49" fontId="42" fillId="12" borderId="14" xfId="0" applyNumberFormat="1" applyFont="1" applyFill="1" applyBorder="1" applyAlignment="1" applyProtection="1">
      <alignment horizontal="center" vertical="center" wrapText="1"/>
      <protection locked="0"/>
    </xf>
    <xf numFmtId="0" fontId="42" fillId="0" borderId="71" xfId="0" applyNumberFormat="1" applyFont="1" applyFill="1" applyBorder="1" applyAlignment="1" applyProtection="1">
      <alignment horizontal="center" vertical="center" wrapText="1"/>
      <protection locked="0"/>
    </xf>
    <xf numFmtId="0" fontId="42" fillId="2" borderId="73" xfId="0" applyFont="1" applyFill="1" applyBorder="1" applyAlignment="1" applyProtection="1">
      <alignment horizontal="center" vertical="center" wrapText="1"/>
    </xf>
    <xf numFmtId="0" fontId="43" fillId="2" borderId="73" xfId="0" applyNumberFormat="1" applyFont="1" applyFill="1" applyBorder="1" applyAlignment="1" applyProtection="1">
      <alignment horizontal="center" vertical="center" wrapText="1"/>
    </xf>
    <xf numFmtId="0" fontId="43" fillId="2" borderId="0" xfId="0" applyFont="1" applyFill="1" applyBorder="1" applyAlignment="1" applyProtection="1">
      <alignment horizontal="center" vertical="center"/>
    </xf>
    <xf numFmtId="0" fontId="43" fillId="2" borderId="58" xfId="0" applyNumberFormat="1" applyFont="1" applyFill="1" applyBorder="1" applyAlignment="1" applyProtection="1">
      <alignment horizontal="center" vertical="center" wrapText="1"/>
    </xf>
    <xf numFmtId="0" fontId="43" fillId="2" borderId="69" xfId="0" applyNumberFormat="1" applyFont="1" applyFill="1" applyBorder="1" applyAlignment="1" applyProtection="1">
      <alignment horizontal="center" vertical="center" wrapText="1"/>
    </xf>
    <xf numFmtId="0" fontId="43" fillId="12" borderId="79" xfId="0" applyNumberFormat="1" applyFont="1" applyFill="1" applyBorder="1" applyAlignment="1" applyProtection="1">
      <alignment horizontal="center" vertical="center" wrapText="1"/>
      <protection locked="0"/>
    </xf>
    <xf numFmtId="0" fontId="42" fillId="2" borderId="83" xfId="0" applyFont="1" applyFill="1" applyBorder="1" applyAlignment="1" applyProtection="1">
      <alignment horizontal="center" vertical="center" wrapText="1"/>
    </xf>
    <xf numFmtId="49" fontId="43" fillId="0" borderId="91" xfId="0" applyNumberFormat="1" applyFont="1" applyFill="1" applyBorder="1" applyAlignment="1" applyProtection="1">
      <alignment horizontal="center" vertical="center" wrapText="1"/>
      <protection locked="0"/>
    </xf>
    <xf numFmtId="0" fontId="43" fillId="2" borderId="83" xfId="0" applyNumberFormat="1" applyFont="1" applyFill="1" applyBorder="1" applyAlignment="1" applyProtection="1">
      <alignment horizontal="center" vertical="center" wrapText="1"/>
    </xf>
    <xf numFmtId="49" fontId="43" fillId="0" borderId="57" xfId="0" applyNumberFormat="1" applyFont="1" applyFill="1" applyBorder="1" applyAlignment="1" applyProtection="1">
      <alignment horizontal="center" vertical="center" wrapText="1"/>
      <protection locked="0"/>
    </xf>
    <xf numFmtId="0" fontId="43" fillId="2" borderId="13" xfId="0" applyNumberFormat="1" applyFont="1" applyFill="1" applyBorder="1" applyAlignment="1" applyProtection="1">
      <alignment horizontal="center" vertical="center" wrapText="1"/>
    </xf>
    <xf numFmtId="0" fontId="43" fillId="0" borderId="118" xfId="0" applyNumberFormat="1" applyFont="1" applyFill="1" applyBorder="1" applyAlignment="1" applyProtection="1">
      <alignment horizontal="center" vertical="center" wrapText="1"/>
      <protection locked="0"/>
    </xf>
    <xf numFmtId="0" fontId="42" fillId="2" borderId="70" xfId="0" applyNumberFormat="1" applyFont="1" applyFill="1" applyBorder="1" applyAlignment="1" applyProtection="1">
      <alignment horizontal="center" vertical="center" wrapText="1"/>
    </xf>
    <xf numFmtId="0" fontId="42" fillId="2" borderId="69" xfId="0" applyNumberFormat="1" applyFont="1" applyFill="1" applyBorder="1" applyAlignment="1" applyProtection="1">
      <alignment horizontal="center" vertical="center" wrapText="1"/>
    </xf>
    <xf numFmtId="0" fontId="46" fillId="2" borderId="53" xfId="0" applyFont="1" applyFill="1" applyBorder="1" applyAlignment="1" applyProtection="1">
      <alignment vertical="center" textRotation="255" wrapText="1"/>
    </xf>
    <xf numFmtId="0" fontId="43" fillId="12" borderId="3" xfId="0" applyNumberFormat="1" applyFont="1" applyFill="1" applyBorder="1" applyAlignment="1" applyProtection="1">
      <alignment horizontal="center" vertical="center" wrapText="1"/>
      <protection locked="0"/>
    </xf>
    <xf numFmtId="0" fontId="43" fillId="2" borderId="55" xfId="0" applyNumberFormat="1" applyFont="1" applyFill="1" applyBorder="1" applyAlignment="1" applyProtection="1">
      <alignment horizontal="center" vertical="center" wrapText="1"/>
    </xf>
    <xf numFmtId="9" fontId="42" fillId="0" borderId="71" xfId="0" applyNumberFormat="1" applyFont="1" applyFill="1" applyBorder="1" applyAlignment="1" applyProtection="1">
      <alignment horizontal="center" vertical="center" wrapText="1"/>
      <protection locked="0"/>
    </xf>
    <xf numFmtId="9" fontId="42" fillId="0" borderId="14" xfId="0" applyNumberFormat="1" applyFont="1" applyFill="1" applyBorder="1" applyAlignment="1" applyProtection="1">
      <alignment horizontal="center" vertical="center" wrapText="1"/>
      <protection locked="0"/>
    </xf>
    <xf numFmtId="9" fontId="42" fillId="0" borderId="6" xfId="0" applyNumberFormat="1" applyFont="1" applyFill="1" applyBorder="1" applyAlignment="1" applyProtection="1">
      <alignment horizontal="center" vertical="center" wrapText="1"/>
      <protection locked="0"/>
    </xf>
    <xf numFmtId="0" fontId="43" fillId="12" borderId="6" xfId="0" applyNumberFormat="1" applyFont="1" applyFill="1" applyBorder="1" applyAlignment="1" applyProtection="1">
      <alignment horizontal="center" vertical="center" wrapText="1"/>
      <protection locked="0"/>
    </xf>
    <xf numFmtId="0" fontId="42" fillId="12" borderId="71" xfId="0" applyNumberFormat="1" applyFont="1" applyFill="1" applyBorder="1" applyAlignment="1" applyProtection="1">
      <alignment horizontal="center" vertical="center" wrapText="1"/>
      <protection locked="0"/>
    </xf>
    <xf numFmtId="0" fontId="46" fillId="2" borderId="84" xfId="0" applyFont="1" applyFill="1" applyBorder="1" applyAlignment="1" applyProtection="1">
      <alignment vertical="center" textRotation="255" wrapText="1"/>
    </xf>
    <xf numFmtId="0" fontId="42" fillId="0" borderId="101" xfId="0" applyNumberFormat="1" applyFont="1" applyFill="1" applyBorder="1" applyAlignment="1" applyProtection="1">
      <alignment horizontal="center" vertical="center" wrapText="1"/>
      <protection locked="0"/>
    </xf>
    <xf numFmtId="0" fontId="43" fillId="2" borderId="56" xfId="0" applyNumberFormat="1" applyFont="1" applyFill="1" applyBorder="1" applyAlignment="1" applyProtection="1">
      <alignment horizontal="center" vertical="center" wrapText="1"/>
    </xf>
    <xf numFmtId="49" fontId="46" fillId="2" borderId="67" xfId="0" applyNumberFormat="1" applyFont="1" applyFill="1" applyBorder="1" applyAlignment="1" applyProtection="1">
      <alignment vertical="center"/>
    </xf>
    <xf numFmtId="0" fontId="46" fillId="2" borderId="66" xfId="0" applyNumberFormat="1" applyFont="1" applyFill="1" applyBorder="1" applyAlignment="1" applyProtection="1">
      <alignment horizontal="right" vertical="center" wrapText="1"/>
    </xf>
    <xf numFmtId="0" fontId="46" fillId="2" borderId="68" xfId="0" applyNumberFormat="1" applyFont="1" applyFill="1" applyBorder="1" applyAlignment="1" applyProtection="1">
      <alignment vertical="center" wrapText="1"/>
    </xf>
    <xf numFmtId="0" fontId="67" fillId="13" borderId="67" xfId="0" applyNumberFormat="1" applyFont="1" applyFill="1" applyBorder="1" applyAlignment="1" applyProtection="1">
      <alignment vertical="center" wrapText="1"/>
      <protection locked="0"/>
    </xf>
    <xf numFmtId="0" fontId="67" fillId="2" borderId="67" xfId="0" applyNumberFormat="1" applyFont="1" applyFill="1" applyBorder="1" applyAlignment="1" applyProtection="1">
      <alignment vertical="center" wrapText="1"/>
    </xf>
    <xf numFmtId="0" fontId="67" fillId="13" borderId="66" xfId="0" applyNumberFormat="1" applyFont="1" applyFill="1" applyBorder="1" applyAlignment="1" applyProtection="1">
      <alignment vertical="center" wrapText="1"/>
      <protection locked="0"/>
    </xf>
    <xf numFmtId="0" fontId="67" fillId="2" borderId="68" xfId="0" applyNumberFormat="1" applyFont="1" applyFill="1" applyBorder="1" applyAlignment="1" applyProtection="1">
      <alignment vertical="center" wrapText="1"/>
    </xf>
    <xf numFmtId="49" fontId="46" fillId="2" borderId="89" xfId="0" applyNumberFormat="1" applyFont="1" applyFill="1" applyBorder="1" applyAlignment="1" applyProtection="1">
      <alignment vertical="center"/>
    </xf>
    <xf numFmtId="0" fontId="46" fillId="2" borderId="101" xfId="0" applyNumberFormat="1" applyFont="1" applyFill="1" applyBorder="1" applyAlignment="1" applyProtection="1">
      <alignment vertical="center" wrapText="1"/>
    </xf>
    <xf numFmtId="0" fontId="46" fillId="2" borderId="89" xfId="0" applyNumberFormat="1" applyFont="1" applyFill="1" applyBorder="1" applyAlignment="1" applyProtection="1">
      <alignment vertical="center" wrapText="1"/>
    </xf>
    <xf numFmtId="0" fontId="46" fillId="2" borderId="18" xfId="0" applyNumberFormat="1" applyFont="1" applyFill="1" applyBorder="1" applyAlignment="1" applyProtection="1">
      <alignment vertical="center" wrapText="1"/>
    </xf>
    <xf numFmtId="0" fontId="64" fillId="2" borderId="85" xfId="0" applyNumberFormat="1" applyFont="1" applyFill="1" applyBorder="1" applyAlignment="1" applyProtection="1">
      <alignment vertical="center" wrapText="1"/>
    </xf>
    <xf numFmtId="0" fontId="64" fillId="2" borderId="86" xfId="0" applyNumberFormat="1" applyFont="1" applyFill="1" applyBorder="1" applyAlignment="1" applyProtection="1">
      <alignment vertical="center" wrapText="1"/>
    </xf>
    <xf numFmtId="190" fontId="42" fillId="2" borderId="90" xfId="0" applyNumberFormat="1" applyFont="1" applyFill="1" applyBorder="1" applyAlignment="1" applyProtection="1">
      <alignment horizontal="center" vertical="center" wrapText="1"/>
    </xf>
    <xf numFmtId="190" fontId="42" fillId="2" borderId="4" xfId="0" applyNumberFormat="1" applyFont="1" applyFill="1" applyBorder="1" applyAlignment="1" applyProtection="1">
      <alignment horizontal="center" vertical="center" wrapText="1"/>
    </xf>
    <xf numFmtId="0" fontId="64" fillId="2" borderId="62" xfId="0" applyNumberFormat="1" applyFont="1" applyFill="1" applyBorder="1" applyAlignment="1" applyProtection="1">
      <alignment vertical="center" wrapText="1"/>
    </xf>
    <xf numFmtId="0" fontId="42" fillId="2" borderId="91" xfId="0" applyNumberFormat="1" applyFont="1" applyFill="1" applyBorder="1" applyAlignment="1" applyProtection="1">
      <alignment horizontal="center" vertical="center" wrapText="1"/>
      <protection locked="0"/>
    </xf>
    <xf numFmtId="0" fontId="43" fillId="2" borderId="52" xfId="0" applyNumberFormat="1" applyFont="1" applyFill="1" applyBorder="1" applyAlignment="1" applyProtection="1">
      <alignment horizontal="center" vertical="center" wrapText="1"/>
    </xf>
    <xf numFmtId="184" fontId="61" fillId="2" borderId="117" xfId="0" applyNumberFormat="1" applyFont="1" applyFill="1" applyBorder="1" applyAlignment="1" applyProtection="1">
      <alignment horizontal="center" vertical="center"/>
    </xf>
    <xf numFmtId="187" fontId="61" fillId="2" borderId="117" xfId="0" applyNumberFormat="1" applyFont="1" applyFill="1" applyBorder="1" applyAlignment="1" applyProtection="1">
      <alignment vertical="center"/>
    </xf>
    <xf numFmtId="0" fontId="61" fillId="2" borderId="117" xfId="0" applyFont="1" applyFill="1" applyBorder="1" applyAlignment="1" applyProtection="1">
      <alignment horizontal="center" vertical="center"/>
    </xf>
    <xf numFmtId="0" fontId="61" fillId="2" borderId="1" xfId="0" applyFont="1" applyFill="1" applyBorder="1" applyAlignment="1" applyProtection="1">
      <alignment horizontal="center" vertical="center"/>
    </xf>
    <xf numFmtId="0" fontId="54" fillId="0" borderId="57" xfId="0" applyNumberFormat="1" applyFont="1" applyFill="1" applyBorder="1" applyAlignment="1" applyProtection="1">
      <alignment horizontal="center" vertical="center" wrapText="1"/>
      <protection locked="0"/>
    </xf>
    <xf numFmtId="0" fontId="54" fillId="2" borderId="100" xfId="0" applyNumberFormat="1" applyFont="1" applyFill="1" applyBorder="1" applyAlignment="1" applyProtection="1">
      <alignment horizontal="center" vertical="center" wrapText="1"/>
    </xf>
    <xf numFmtId="0" fontId="54" fillId="2" borderId="79" xfId="0" applyNumberFormat="1" applyFont="1" applyFill="1" applyBorder="1" applyAlignment="1" applyProtection="1">
      <alignment horizontal="center" vertical="center" wrapText="1"/>
    </xf>
    <xf numFmtId="184" fontId="43" fillId="2" borderId="0" xfId="0" applyNumberFormat="1" applyFont="1" applyFill="1" applyBorder="1" applyAlignment="1" applyProtection="1">
      <alignment horizontal="center"/>
    </xf>
    <xf numFmtId="187" fontId="43" fillId="2" borderId="0" xfId="0" applyNumberFormat="1" applyFont="1" applyFill="1" applyBorder="1" applyAlignment="1" applyProtection="1"/>
    <xf numFmtId="0" fontId="43" fillId="0" borderId="0" xfId="0" applyFont="1" applyFill="1" applyBorder="1" applyAlignment="1" applyProtection="1">
      <protection locked="0"/>
    </xf>
    <xf numFmtId="0" fontId="42" fillId="0" borderId="83" xfId="0" applyNumberFormat="1" applyFont="1" applyFill="1" applyBorder="1" applyAlignment="1" applyProtection="1">
      <alignment horizontal="center" vertical="center" wrapText="1"/>
      <protection locked="0"/>
    </xf>
    <xf numFmtId="0" fontId="42" fillId="0" borderId="72" xfId="0" applyNumberFormat="1" applyFont="1" applyFill="1" applyBorder="1" applyAlignment="1" applyProtection="1">
      <alignment horizontal="center" vertical="center" wrapText="1"/>
      <protection locked="0"/>
    </xf>
    <xf numFmtId="0" fontId="58" fillId="2" borderId="7" xfId="0" applyFont="1" applyFill="1" applyBorder="1" applyAlignment="1" applyProtection="1">
      <alignment horizontal="center" vertical="center" wrapText="1"/>
    </xf>
    <xf numFmtId="0" fontId="46" fillId="11" borderId="7" xfId="0" applyNumberFormat="1" applyFont="1" applyFill="1" applyBorder="1" applyAlignment="1" applyProtection="1">
      <alignment horizontal="center" vertical="center"/>
    </xf>
    <xf numFmtId="0" fontId="56" fillId="2" borderId="1" xfId="0" applyFont="1" applyFill="1" applyBorder="1" applyAlignment="1" applyProtection="1">
      <alignment horizontal="center" vertical="center"/>
    </xf>
    <xf numFmtId="0" fontId="43" fillId="2" borderId="106" xfId="0" applyNumberFormat="1" applyFont="1" applyFill="1" applyBorder="1" applyAlignment="1" applyProtection="1">
      <alignment horizontal="center" vertical="center" wrapText="1"/>
    </xf>
    <xf numFmtId="0" fontId="43" fillId="2" borderId="109" xfId="0" applyNumberFormat="1" applyFont="1" applyFill="1" applyBorder="1" applyAlignment="1" applyProtection="1">
      <alignment horizontal="center" vertical="center" wrapText="1"/>
    </xf>
    <xf numFmtId="0" fontId="42" fillId="0" borderId="109" xfId="0" applyNumberFormat="1" applyFont="1" applyFill="1" applyBorder="1" applyAlignment="1" applyProtection="1">
      <alignment horizontal="center" vertical="center" wrapText="1"/>
      <protection locked="0"/>
    </xf>
    <xf numFmtId="0" fontId="59" fillId="2" borderId="52" xfId="0" applyNumberFormat="1" applyFont="1" applyFill="1" applyBorder="1" applyAlignment="1" applyProtection="1">
      <alignment horizontal="center" vertical="center" wrapText="1"/>
    </xf>
    <xf numFmtId="0" fontId="59" fillId="2" borderId="52" xfId="0" applyNumberFormat="1" applyFont="1" applyFill="1" applyBorder="1" applyAlignment="1" applyProtection="1">
      <alignment horizontal="left" vertical="center" wrapText="1"/>
    </xf>
    <xf numFmtId="0" fontId="59" fillId="2" borderId="70" xfId="0" applyNumberFormat="1" applyFont="1" applyFill="1" applyBorder="1" applyAlignment="1" applyProtection="1">
      <alignment horizontal="center" vertical="center" wrapText="1"/>
    </xf>
    <xf numFmtId="0" fontId="43" fillId="0" borderId="0" xfId="0" applyFont="1" applyFill="1" applyBorder="1" applyAlignment="1" applyProtection="1">
      <alignment horizontal="center" vertical="center" wrapText="1"/>
      <protection locked="0"/>
    </xf>
    <xf numFmtId="9" fontId="43" fillId="0" borderId="0" xfId="0" applyNumberFormat="1" applyFont="1" applyFill="1" applyBorder="1" applyAlignment="1" applyProtection="1">
      <alignment horizontal="center" vertical="center" wrapText="1"/>
      <protection locked="0"/>
    </xf>
    <xf numFmtId="0" fontId="61" fillId="2" borderId="117" xfId="0" applyFont="1" applyFill="1" applyBorder="1" applyAlignment="1" applyProtection="1">
      <alignment vertical="center"/>
      <protection locked="0"/>
    </xf>
    <xf numFmtId="0" fontId="62" fillId="2" borderId="117" xfId="0" applyFont="1" applyFill="1" applyBorder="1" applyAlignment="1" applyProtection="1">
      <alignment vertical="center"/>
      <protection locked="0"/>
    </xf>
    <xf numFmtId="0" fontId="54" fillId="2" borderId="0" xfId="0" applyFont="1" applyFill="1" applyBorder="1" applyAlignment="1" applyProtection="1">
      <alignment vertical="center"/>
      <protection locked="0"/>
    </xf>
    <xf numFmtId="0" fontId="45" fillId="2" borderId="12" xfId="0" applyFont="1" applyFill="1" applyBorder="1" applyAlignment="1" applyProtection="1">
      <alignment horizontal="center" vertical="center"/>
      <protection locked="0"/>
    </xf>
    <xf numFmtId="0" fontId="64" fillId="2" borderId="110" xfId="0" applyFont="1" applyFill="1" applyBorder="1" applyAlignment="1" applyProtection="1">
      <alignment vertical="center" wrapText="1"/>
    </xf>
    <xf numFmtId="0" fontId="42" fillId="2" borderId="67" xfId="0" applyFont="1" applyFill="1" applyBorder="1" applyAlignment="1" applyProtection="1">
      <alignment horizontal="center" vertical="center" wrapText="1"/>
    </xf>
    <xf numFmtId="49" fontId="42" fillId="12" borderId="90" xfId="0" applyNumberFormat="1" applyFont="1" applyFill="1" applyBorder="1" applyAlignment="1" applyProtection="1">
      <alignment horizontal="center" vertical="center" wrapText="1"/>
      <protection locked="0"/>
    </xf>
    <xf numFmtId="0" fontId="65" fillId="2" borderId="111" xfId="0" applyFont="1" applyFill="1" applyBorder="1" applyAlignment="1" applyProtection="1">
      <alignment vertical="center" wrapText="1"/>
    </xf>
    <xf numFmtId="0" fontId="42" fillId="2" borderId="15" xfId="0" applyFont="1" applyFill="1" applyBorder="1" applyAlignment="1" applyProtection="1">
      <alignment horizontal="center" vertical="center" wrapText="1"/>
    </xf>
    <xf numFmtId="0" fontId="46" fillId="2" borderId="111" xfId="0" applyFont="1" applyFill="1" applyBorder="1" applyAlignment="1" applyProtection="1">
      <alignment vertical="center" wrapText="1"/>
    </xf>
    <xf numFmtId="0" fontId="42" fillId="0" borderId="38" xfId="0" applyFont="1" applyFill="1" applyBorder="1" applyAlignment="1" applyProtection="1">
      <alignment horizontal="center" vertical="center" wrapText="1"/>
      <protection locked="0"/>
    </xf>
    <xf numFmtId="0" fontId="64" fillId="2" borderId="111" xfId="0" applyFont="1" applyFill="1" applyBorder="1" applyAlignment="1" applyProtection="1">
      <alignment vertical="center" wrapText="1"/>
    </xf>
    <xf numFmtId="0" fontId="46" fillId="2" borderId="119" xfId="0" applyFont="1" applyFill="1" applyBorder="1" applyAlignment="1" applyProtection="1">
      <alignment vertical="center" wrapText="1"/>
    </xf>
    <xf numFmtId="0" fontId="43" fillId="2" borderId="63" xfId="0" applyNumberFormat="1" applyFont="1" applyFill="1" applyBorder="1" applyAlignment="1" applyProtection="1">
      <alignment horizontal="center" vertical="center" wrapText="1"/>
    </xf>
    <xf numFmtId="0" fontId="43" fillId="2" borderId="110" xfId="0" applyNumberFormat="1" applyFont="1" applyFill="1" applyBorder="1" applyAlignment="1" applyProtection="1">
      <alignment horizontal="center" vertical="center" wrapText="1"/>
    </xf>
    <xf numFmtId="0" fontId="43" fillId="2" borderId="70" xfId="0" applyFont="1" applyFill="1" applyBorder="1" applyAlignment="1" applyProtection="1">
      <alignment horizontal="center" vertical="center"/>
    </xf>
    <xf numFmtId="0" fontId="43" fillId="12" borderId="39" xfId="0" applyNumberFormat="1" applyFont="1" applyFill="1" applyBorder="1" applyAlignment="1" applyProtection="1">
      <alignment horizontal="center" vertical="center" wrapText="1"/>
      <protection locked="0"/>
    </xf>
    <xf numFmtId="0" fontId="43" fillId="2" borderId="113" xfId="0" applyNumberFormat="1" applyFont="1" applyFill="1" applyBorder="1" applyAlignment="1" applyProtection="1">
      <alignment horizontal="center" vertical="center" wrapText="1"/>
    </xf>
    <xf numFmtId="0" fontId="43" fillId="2" borderId="38" xfId="0" applyNumberFormat="1" applyFont="1" applyFill="1" applyBorder="1" applyAlignment="1" applyProtection="1">
      <alignment horizontal="center" vertical="center" wrapText="1"/>
    </xf>
    <xf numFmtId="0" fontId="43" fillId="2" borderId="111" xfId="0" applyNumberFormat="1" applyFont="1" applyFill="1" applyBorder="1" applyAlignment="1" applyProtection="1">
      <alignment horizontal="center" vertical="center" wrapText="1"/>
    </xf>
    <xf numFmtId="49" fontId="43" fillId="12" borderId="39" xfId="0" applyNumberFormat="1" applyFont="1" applyFill="1" applyBorder="1" applyAlignment="1" applyProtection="1">
      <alignment horizontal="center" vertical="center" wrapText="1"/>
      <protection locked="0"/>
    </xf>
    <xf numFmtId="49" fontId="43" fillId="12" borderId="0" xfId="0" applyNumberFormat="1" applyFont="1" applyFill="1" applyBorder="1" applyAlignment="1" applyProtection="1">
      <alignment horizontal="center" vertical="center" wrapText="1"/>
      <protection locked="0"/>
    </xf>
    <xf numFmtId="49" fontId="43" fillId="12" borderId="102" xfId="0" applyNumberFormat="1" applyFont="1" applyFill="1" applyBorder="1" applyAlignment="1" applyProtection="1">
      <alignment horizontal="center" vertical="center" wrapText="1"/>
      <protection locked="0"/>
    </xf>
    <xf numFmtId="0" fontId="43" fillId="2" borderId="112" xfId="0" applyNumberFormat="1" applyFont="1" applyFill="1" applyBorder="1" applyAlignment="1" applyProtection="1">
      <alignment horizontal="center" vertical="center" wrapText="1"/>
    </xf>
    <xf numFmtId="0" fontId="42" fillId="0" borderId="61" xfId="0" applyFont="1" applyFill="1" applyBorder="1" applyAlignment="1" applyProtection="1">
      <alignment horizontal="center" vertical="center" wrapText="1"/>
      <protection locked="0"/>
    </xf>
    <xf numFmtId="0" fontId="42" fillId="0" borderId="39" xfId="0" applyNumberFormat="1" applyFont="1" applyFill="1" applyBorder="1" applyAlignment="1" applyProtection="1">
      <alignment horizontal="center" vertical="center" wrapText="1"/>
      <protection locked="0"/>
    </xf>
    <xf numFmtId="0" fontId="43" fillId="2" borderId="114" xfId="0" applyNumberFormat="1" applyFont="1" applyFill="1" applyBorder="1" applyAlignment="1" applyProtection="1">
      <alignment horizontal="center" vertical="center" wrapText="1"/>
    </xf>
    <xf numFmtId="0" fontId="42" fillId="0" borderId="59" xfId="0" applyNumberFormat="1" applyFont="1" applyFill="1" applyBorder="1" applyAlignment="1" applyProtection="1">
      <alignment horizontal="center" vertical="center" wrapText="1"/>
      <protection locked="0"/>
    </xf>
    <xf numFmtId="0" fontId="64" fillId="2" borderId="98" xfId="0" applyFont="1" applyFill="1" applyBorder="1" applyAlignment="1" applyProtection="1">
      <alignment vertical="center" wrapText="1"/>
    </xf>
    <xf numFmtId="0" fontId="42" fillId="0" borderId="11" xfId="0" applyFont="1" applyFill="1" applyBorder="1" applyAlignment="1" applyProtection="1">
      <alignment horizontal="center" vertical="center" wrapText="1"/>
      <protection locked="0"/>
    </xf>
    <xf numFmtId="0" fontId="43" fillId="0" borderId="89" xfId="0" applyNumberFormat="1" applyFont="1" applyFill="1" applyBorder="1" applyAlignment="1" applyProtection="1">
      <alignment horizontal="center" vertical="center" wrapText="1"/>
      <protection locked="0"/>
    </xf>
    <xf numFmtId="0" fontId="42" fillId="2" borderId="119" xfId="0" applyNumberFormat="1" applyFont="1" applyFill="1" applyBorder="1" applyAlignment="1" applyProtection="1">
      <alignment horizontal="center" vertical="center" wrapText="1"/>
    </xf>
    <xf numFmtId="0" fontId="42" fillId="0" borderId="84" xfId="0" applyNumberFormat="1" applyFont="1" applyFill="1" applyBorder="1" applyAlignment="1" applyProtection="1">
      <alignment horizontal="center" vertical="center" wrapText="1"/>
      <protection locked="0"/>
    </xf>
    <xf numFmtId="0" fontId="42" fillId="2" borderId="72" xfId="0" applyNumberFormat="1" applyFont="1" applyFill="1" applyBorder="1" applyAlignment="1" applyProtection="1">
      <alignment horizontal="center" vertical="center" wrapText="1"/>
    </xf>
    <xf numFmtId="0" fontId="46" fillId="2" borderId="85" xfId="0" applyFont="1" applyFill="1" applyBorder="1" applyAlignment="1" applyProtection="1">
      <alignment vertical="center" textRotation="255" wrapText="1"/>
    </xf>
    <xf numFmtId="0" fontId="42" fillId="2" borderId="5" xfId="0" applyFont="1" applyFill="1" applyBorder="1" applyAlignment="1" applyProtection="1">
      <alignment horizontal="center" vertical="center" wrapText="1"/>
    </xf>
    <xf numFmtId="0" fontId="43" fillId="0" borderId="100" xfId="0" applyNumberFormat="1" applyFont="1" applyFill="1" applyBorder="1" applyAlignment="1" applyProtection="1">
      <alignment horizontal="center" vertical="center" wrapText="1"/>
      <protection locked="0"/>
    </xf>
    <xf numFmtId="0" fontId="66" fillId="2" borderId="62" xfId="0" applyFont="1" applyFill="1" applyBorder="1" applyAlignment="1" applyProtection="1">
      <alignment vertical="center" textRotation="255" wrapText="1"/>
    </xf>
    <xf numFmtId="49" fontId="42" fillId="0" borderId="71" xfId="0" applyNumberFormat="1" applyFont="1" applyFill="1" applyBorder="1" applyAlignment="1" applyProtection="1">
      <alignment horizontal="center" vertical="center" wrapText="1"/>
      <protection locked="0"/>
    </xf>
    <xf numFmtId="0" fontId="46" fillId="2" borderId="62" xfId="0" applyFont="1" applyFill="1" applyBorder="1" applyAlignment="1" applyProtection="1">
      <alignment vertical="center" textRotation="255" wrapText="1"/>
    </xf>
    <xf numFmtId="0" fontId="64" fillId="2" borderId="62" xfId="0" applyFont="1" applyFill="1" applyBorder="1" applyAlignment="1" applyProtection="1">
      <alignment vertical="center" textRotation="255" wrapText="1"/>
    </xf>
    <xf numFmtId="0" fontId="46" fillId="2" borderId="98" xfId="0" applyFont="1" applyFill="1" applyBorder="1" applyAlignment="1" applyProtection="1">
      <alignment vertical="center" textRotation="255" wrapText="1"/>
    </xf>
    <xf numFmtId="49" fontId="46" fillId="3" borderId="67" xfId="0" applyNumberFormat="1" applyFont="1" applyFill="1" applyBorder="1" applyAlignment="1" applyProtection="1">
      <alignment vertical="center"/>
      <protection locked="0"/>
    </xf>
    <xf numFmtId="0" fontId="68" fillId="2" borderId="0" xfId="0" applyFont="1" applyFill="1" applyBorder="1" applyAlignment="1" applyProtection="1">
      <protection locked="0"/>
    </xf>
    <xf numFmtId="0" fontId="43" fillId="2" borderId="0" xfId="0" applyFont="1" applyFill="1" applyBorder="1" applyAlignment="1" applyProtection="1">
      <alignment horizontal="center"/>
      <protection locked="0"/>
    </xf>
    <xf numFmtId="184" fontId="61" fillId="2" borderId="117" xfId="0" applyNumberFormat="1" applyFont="1" applyFill="1" applyBorder="1" applyAlignment="1" applyProtection="1">
      <alignment horizontal="center" vertical="center"/>
      <protection locked="0"/>
    </xf>
    <xf numFmtId="184" fontId="43" fillId="13" borderId="14" xfId="0" applyNumberFormat="1" applyFont="1" applyFill="1" applyBorder="1" applyAlignment="1" applyProtection="1">
      <alignment horizontal="center" vertical="center"/>
      <protection locked="0"/>
    </xf>
    <xf numFmtId="184" fontId="43" fillId="13" borderId="7" xfId="0" applyNumberFormat="1" applyFont="1" applyFill="1" applyBorder="1" applyAlignment="1" applyProtection="1">
      <alignment horizontal="center" vertical="center" wrapText="1"/>
      <protection locked="0"/>
    </xf>
    <xf numFmtId="0" fontId="59" fillId="2" borderId="0" xfId="0" applyFont="1" applyFill="1" applyAlignment="1" applyProtection="1">
      <alignment horizontal="center" vertical="center"/>
    </xf>
    <xf numFmtId="9" fontId="42" fillId="2" borderId="0" xfId="0" applyNumberFormat="1" applyFont="1" applyFill="1" applyBorder="1" applyAlignment="1" applyProtection="1">
      <alignment horizontal="center" vertical="center" wrapText="1"/>
    </xf>
    <xf numFmtId="49" fontId="43" fillId="0" borderId="4" xfId="0" applyNumberFormat="1" applyFont="1" applyFill="1" applyBorder="1" applyAlignment="1" applyProtection="1">
      <alignment horizontal="center" vertical="center" wrapText="1"/>
      <protection locked="0"/>
    </xf>
    <xf numFmtId="49" fontId="59" fillId="0" borderId="4" xfId="0" applyNumberFormat="1" applyFont="1" applyFill="1" applyBorder="1" applyAlignment="1" applyProtection="1">
      <alignment horizontal="center" vertical="center" wrapText="1"/>
      <protection locked="0"/>
    </xf>
    <xf numFmtId="49" fontId="59" fillId="0" borderId="4" xfId="0" applyNumberFormat="1" applyFont="1" applyFill="1" applyBorder="1" applyAlignment="1" applyProtection="1">
      <alignment horizontal="left" vertical="center" wrapText="1"/>
      <protection locked="0"/>
    </xf>
    <xf numFmtId="49" fontId="59" fillId="0" borderId="5" xfId="0" applyNumberFormat="1" applyFont="1" applyFill="1" applyBorder="1" applyAlignment="1" applyProtection="1">
      <alignment horizontal="center" vertical="center" wrapText="1"/>
      <protection locked="0"/>
    </xf>
    <xf numFmtId="0" fontId="43" fillId="0" borderId="52" xfId="0" applyNumberFormat="1" applyFont="1" applyFill="1" applyBorder="1" applyAlignment="1" applyProtection="1">
      <alignment horizontal="center" vertical="center" wrapText="1"/>
      <protection locked="0"/>
    </xf>
    <xf numFmtId="0" fontId="59" fillId="0" borderId="52" xfId="0" applyNumberFormat="1" applyFont="1" applyFill="1" applyBorder="1" applyAlignment="1" applyProtection="1">
      <alignment horizontal="center" vertical="center" wrapText="1"/>
      <protection locked="0"/>
    </xf>
    <xf numFmtId="0" fontId="59" fillId="0" borderId="52" xfId="0" applyNumberFormat="1" applyFont="1" applyFill="1" applyBorder="1" applyAlignment="1" applyProtection="1">
      <alignment horizontal="left" vertical="center" wrapText="1"/>
      <protection locked="0"/>
    </xf>
    <xf numFmtId="0" fontId="59" fillId="0" borderId="70" xfId="0" applyNumberFormat="1" applyFont="1" applyFill="1" applyBorder="1" applyAlignment="1" applyProtection="1">
      <alignment horizontal="center" vertical="center" wrapText="1"/>
      <protection locked="0"/>
    </xf>
    <xf numFmtId="0" fontId="45" fillId="3" borderId="120" xfId="57" applyFont="1" applyFill="1" applyBorder="1" applyAlignment="1" applyProtection="1">
      <alignment vertical="center"/>
      <protection locked="0"/>
    </xf>
    <xf numFmtId="0" fontId="61" fillId="2" borderId="107" xfId="0" applyFont="1" applyFill="1" applyBorder="1" applyAlignment="1" applyProtection="1">
      <alignment vertical="center"/>
      <protection locked="0"/>
    </xf>
    <xf numFmtId="0" fontId="42" fillId="0" borderId="15" xfId="0" applyNumberFormat="1" applyFont="1" applyFill="1" applyBorder="1" applyAlignment="1" applyProtection="1">
      <alignment horizontal="center" vertical="center" wrapText="1"/>
      <protection locked="0"/>
    </xf>
    <xf numFmtId="49" fontId="43" fillId="12" borderId="79" xfId="0" applyNumberFormat="1" applyFont="1" applyFill="1" applyBorder="1" applyAlignment="1" applyProtection="1">
      <alignment horizontal="center" vertical="center" wrapText="1"/>
      <protection locked="0"/>
    </xf>
    <xf numFmtId="0" fontId="42" fillId="2" borderId="69" xfId="0" applyFont="1" applyFill="1" applyBorder="1" applyAlignment="1" applyProtection="1">
      <alignment horizontal="center" vertical="center" wrapText="1"/>
    </xf>
    <xf numFmtId="0" fontId="42" fillId="0" borderId="13" xfId="0" applyFont="1" applyFill="1" applyBorder="1" applyAlignment="1" applyProtection="1">
      <alignment horizontal="center" vertical="center" wrapText="1"/>
      <protection locked="0"/>
    </xf>
    <xf numFmtId="0" fontId="42" fillId="2" borderId="80" xfId="0" applyNumberFormat="1" applyFont="1" applyFill="1" applyBorder="1" applyAlignment="1" applyProtection="1">
      <alignment horizontal="center" vertical="center" wrapText="1"/>
    </xf>
    <xf numFmtId="0" fontId="42" fillId="2" borderId="58" xfId="0" applyNumberFormat="1" applyFont="1" applyFill="1" applyBorder="1" applyAlignment="1" applyProtection="1">
      <alignment horizontal="center" vertical="center" wrapText="1"/>
    </xf>
    <xf numFmtId="0" fontId="42" fillId="2" borderId="13" xfId="0" applyNumberFormat="1" applyFont="1" applyFill="1" applyBorder="1" applyAlignment="1" applyProtection="1">
      <alignment horizontal="center" vertical="center" wrapText="1"/>
    </xf>
    <xf numFmtId="190" fontId="42" fillId="0" borderId="4" xfId="0" applyNumberFormat="1" applyFont="1" applyFill="1" applyBorder="1" applyAlignment="1" applyProtection="1">
      <alignment horizontal="center" vertical="center" wrapText="1"/>
    </xf>
    <xf numFmtId="0" fontId="43" fillId="2" borderId="16" xfId="0" applyFont="1" applyFill="1" applyBorder="1" applyAlignment="1" applyProtection="1">
      <alignment horizontal="center" vertical="center" textRotation="255" wrapText="1"/>
    </xf>
    <xf numFmtId="0" fontId="46" fillId="2" borderId="84" xfId="0" applyNumberFormat="1" applyFont="1" applyFill="1" applyBorder="1" applyAlignment="1" applyProtection="1">
      <alignment vertical="center" wrapText="1"/>
    </xf>
    <xf numFmtId="0" fontId="56" fillId="0" borderId="1" xfId="0" applyFont="1" applyFill="1" applyBorder="1" applyAlignment="1" applyProtection="1">
      <alignment horizontal="left" vertical="center"/>
      <protection locked="0"/>
    </xf>
    <xf numFmtId="49" fontId="42" fillId="0" borderId="0" xfId="0" applyNumberFormat="1" applyFont="1" applyFill="1" applyAlignment="1" applyProtection="1">
      <alignment horizontal="left" vertical="center"/>
      <protection locked="0"/>
    </xf>
    <xf numFmtId="0" fontId="44" fillId="2" borderId="116" xfId="0" applyFont="1" applyFill="1" applyBorder="1" applyAlignment="1" applyProtection="1">
      <alignment horizontal="left" vertical="center"/>
    </xf>
    <xf numFmtId="0" fontId="61" fillId="2" borderId="117" xfId="0" applyFont="1" applyFill="1" applyBorder="1" applyAlignment="1" applyProtection="1">
      <alignment horizontal="left" vertical="center"/>
    </xf>
    <xf numFmtId="0" fontId="45" fillId="3" borderId="120" xfId="57" applyFont="1" applyFill="1" applyBorder="1" applyAlignment="1" applyProtection="1">
      <alignment horizontal="left" vertical="center"/>
      <protection locked="0"/>
    </xf>
    <xf numFmtId="0" fontId="61" fillId="3" borderId="1" xfId="0" applyFont="1" applyFill="1" applyBorder="1" applyAlignment="1" applyProtection="1">
      <alignment horizontal="left" vertical="center"/>
      <protection locked="0"/>
    </xf>
    <xf numFmtId="0" fontId="62" fillId="2" borderId="117" xfId="0" applyFont="1" applyFill="1" applyBorder="1" applyAlignment="1" applyProtection="1">
      <alignment horizontal="left" vertical="center"/>
    </xf>
    <xf numFmtId="0" fontId="45" fillId="2" borderId="16" xfId="57" applyFont="1" applyFill="1" applyBorder="1" applyAlignment="1" applyProtection="1">
      <alignment horizontal="left" vertical="center"/>
    </xf>
    <xf numFmtId="0" fontId="45" fillId="2" borderId="16" xfId="0" applyFont="1" applyFill="1" applyBorder="1" applyAlignment="1" applyProtection="1">
      <alignment horizontal="left" vertical="center"/>
    </xf>
    <xf numFmtId="0" fontId="45" fillId="2" borderId="0" xfId="57" applyFont="1" applyFill="1" applyBorder="1" applyAlignment="1" applyProtection="1">
      <alignment horizontal="left" vertical="center"/>
    </xf>
    <xf numFmtId="0" fontId="48" fillId="3" borderId="58" xfId="57" applyFont="1" applyFill="1" applyBorder="1" applyAlignment="1" applyProtection="1">
      <alignment horizontal="left" vertical="center"/>
      <protection locked="0"/>
    </xf>
    <xf numFmtId="0" fontId="54" fillId="2" borderId="121" xfId="0" applyFont="1" applyFill="1" applyBorder="1" applyAlignment="1" applyProtection="1">
      <alignment horizontal="left" vertical="center"/>
      <protection locked="0"/>
    </xf>
    <xf numFmtId="0" fontId="72" fillId="2" borderId="59" xfId="57" applyFont="1" applyFill="1" applyBorder="1" applyAlignment="1" applyProtection="1">
      <alignment horizontal="left" vertical="center"/>
    </xf>
    <xf numFmtId="0" fontId="45" fillId="3" borderId="16" xfId="57" applyFont="1" applyFill="1" applyBorder="1" applyAlignment="1" applyProtection="1">
      <alignment horizontal="left" vertical="center"/>
      <protection locked="0"/>
    </xf>
    <xf numFmtId="0" fontId="45" fillId="2" borderId="12" xfId="0" applyFont="1" applyFill="1" applyBorder="1" applyAlignment="1" applyProtection="1">
      <alignment horizontal="left" vertical="center"/>
    </xf>
    <xf numFmtId="0" fontId="42" fillId="0" borderId="66" xfId="0" applyNumberFormat="1" applyFont="1" applyFill="1" applyBorder="1" applyAlignment="1" applyProtection="1">
      <alignment horizontal="left" vertical="center" wrapText="1"/>
      <protection locked="0"/>
    </xf>
    <xf numFmtId="49" fontId="42" fillId="12" borderId="3" xfId="0" applyNumberFormat="1" applyFont="1" applyFill="1" applyBorder="1" applyAlignment="1" applyProtection="1">
      <alignment horizontal="left" vertical="center" wrapText="1"/>
      <protection locked="0"/>
    </xf>
    <xf numFmtId="49" fontId="42" fillId="12" borderId="90" xfId="0" applyNumberFormat="1" applyFont="1" applyFill="1" applyBorder="1" applyAlignment="1" applyProtection="1">
      <alignment horizontal="left" vertical="center" wrapText="1"/>
      <protection locked="0"/>
    </xf>
    <xf numFmtId="49" fontId="42" fillId="12" borderId="6" xfId="0" applyNumberFormat="1" applyFont="1" applyFill="1" applyBorder="1" applyAlignment="1" applyProtection="1">
      <alignment horizontal="left" vertical="center" wrapText="1"/>
      <protection locked="0"/>
    </xf>
    <xf numFmtId="49" fontId="42" fillId="12" borderId="14" xfId="0" applyNumberFormat="1" applyFont="1" applyFill="1" applyBorder="1" applyAlignment="1" applyProtection="1">
      <alignment horizontal="left" vertical="center" wrapText="1"/>
      <protection locked="0"/>
    </xf>
    <xf numFmtId="0" fontId="42" fillId="0" borderId="59" xfId="0" applyNumberFormat="1" applyFont="1" applyFill="1" applyBorder="1" applyAlignment="1" applyProtection="1">
      <alignment horizontal="left" vertical="center" wrapText="1"/>
      <protection locked="0"/>
    </xf>
    <xf numFmtId="0" fontId="42" fillId="0" borderId="84" xfId="0" applyNumberFormat="1" applyFont="1" applyFill="1" applyBorder="1" applyAlignment="1" applyProtection="1">
      <alignment horizontal="left" vertical="center" wrapText="1"/>
      <protection locked="0"/>
    </xf>
    <xf numFmtId="0" fontId="42" fillId="2" borderId="60" xfId="0" applyFont="1" applyFill="1" applyBorder="1" applyAlignment="1" applyProtection="1">
      <alignment horizontal="left" vertical="center" wrapText="1"/>
    </xf>
    <xf numFmtId="0" fontId="43" fillId="2" borderId="75" xfId="0" applyFont="1" applyFill="1" applyBorder="1" applyAlignment="1" applyProtection="1">
      <alignment horizontal="left" vertical="center"/>
    </xf>
    <xf numFmtId="0" fontId="42" fillId="2" borderId="61" xfId="0" applyFont="1" applyFill="1" applyBorder="1" applyAlignment="1" applyProtection="1">
      <alignment horizontal="left" vertical="center" wrapText="1"/>
    </xf>
    <xf numFmtId="0" fontId="42" fillId="2" borderId="80" xfId="0" applyFont="1" applyFill="1" applyBorder="1" applyAlignment="1" applyProtection="1">
      <alignment horizontal="left" vertical="center" wrapText="1"/>
    </xf>
    <xf numFmtId="0" fontId="42" fillId="2" borderId="70" xfId="0" applyFont="1" applyFill="1" applyBorder="1" applyAlignment="1" applyProtection="1">
      <alignment horizontal="left" vertical="center" wrapText="1"/>
    </xf>
    <xf numFmtId="0" fontId="43" fillId="0" borderId="15" xfId="0" applyNumberFormat="1" applyFont="1" applyFill="1" applyBorder="1" applyAlignment="1" applyProtection="1">
      <alignment horizontal="left" vertical="center" wrapText="1"/>
      <protection locked="0"/>
    </xf>
    <xf numFmtId="0" fontId="42" fillId="12" borderId="59" xfId="0" applyNumberFormat="1" applyFont="1" applyFill="1" applyBorder="1" applyAlignment="1" applyProtection="1">
      <alignment horizontal="left" vertical="center" wrapText="1"/>
      <protection locked="0"/>
    </xf>
    <xf numFmtId="0" fontId="42" fillId="2" borderId="80" xfId="0" applyNumberFormat="1" applyFont="1" applyFill="1" applyBorder="1" applyAlignment="1" applyProtection="1">
      <alignment horizontal="left" vertical="center" wrapText="1"/>
    </xf>
    <xf numFmtId="0" fontId="42" fillId="12" borderId="100" xfId="0" applyNumberFormat="1" applyFont="1" applyFill="1" applyBorder="1" applyAlignment="1" applyProtection="1">
      <alignment horizontal="left" vertical="center" wrapText="1"/>
      <protection locked="0"/>
    </xf>
    <xf numFmtId="0" fontId="42" fillId="0" borderId="8" xfId="0" applyFont="1" applyFill="1" applyBorder="1" applyAlignment="1" applyProtection="1">
      <alignment horizontal="left" vertical="center" wrapText="1"/>
      <protection locked="0"/>
    </xf>
    <xf numFmtId="0" fontId="42" fillId="0" borderId="11" xfId="0" applyFont="1" applyFill="1" applyBorder="1" applyAlignment="1" applyProtection="1">
      <alignment horizontal="left" vertical="center" wrapText="1"/>
      <protection locked="0"/>
    </xf>
    <xf numFmtId="0" fontId="43" fillId="0" borderId="89" xfId="0" applyNumberFormat="1" applyFont="1" applyFill="1" applyBorder="1" applyAlignment="1" applyProtection="1">
      <alignment horizontal="left" vertical="center" wrapText="1"/>
      <protection locked="0"/>
    </xf>
    <xf numFmtId="0" fontId="43" fillId="12" borderId="3" xfId="0" applyNumberFormat="1" applyFont="1" applyFill="1" applyBorder="1" applyAlignment="1" applyProtection="1">
      <alignment horizontal="left" vertical="center" wrapText="1"/>
      <protection locked="0"/>
    </xf>
    <xf numFmtId="0" fontId="43" fillId="2" borderId="13" xfId="0" applyNumberFormat="1" applyFont="1" applyFill="1" applyBorder="1" applyAlignment="1" applyProtection="1">
      <alignment horizontal="left" vertical="center" wrapText="1"/>
    </xf>
    <xf numFmtId="0" fontId="42" fillId="0" borderId="71" xfId="0" applyNumberFormat="1" applyFont="1" applyFill="1" applyBorder="1" applyAlignment="1" applyProtection="1">
      <alignment horizontal="left" vertical="center" wrapText="1"/>
      <protection locked="0"/>
    </xf>
    <xf numFmtId="0" fontId="42" fillId="2" borderId="13" xfId="0" applyNumberFormat="1" applyFont="1" applyFill="1" applyBorder="1" applyAlignment="1" applyProtection="1">
      <alignment horizontal="left" vertical="center" wrapText="1"/>
    </xf>
    <xf numFmtId="0" fontId="43" fillId="12" borderId="6" xfId="0" applyNumberFormat="1" applyFont="1" applyFill="1" applyBorder="1" applyAlignment="1" applyProtection="1">
      <alignment horizontal="left" vertical="center" wrapText="1"/>
      <protection locked="0"/>
    </xf>
    <xf numFmtId="9" fontId="42" fillId="0" borderId="71" xfId="0" applyNumberFormat="1" applyFont="1" applyFill="1" applyBorder="1" applyAlignment="1" applyProtection="1">
      <alignment horizontal="left" vertical="center" wrapText="1"/>
      <protection locked="0"/>
    </xf>
    <xf numFmtId="0" fontId="42" fillId="0" borderId="13" xfId="0" applyFont="1" applyFill="1" applyBorder="1" applyAlignment="1" applyProtection="1">
      <alignment horizontal="left" vertical="center" wrapText="1"/>
      <protection locked="0"/>
    </xf>
    <xf numFmtId="0" fontId="46" fillId="2" borderId="84" xfId="0" applyFont="1" applyFill="1" applyBorder="1" applyAlignment="1" applyProtection="1">
      <alignment horizontal="left" vertical="center" textRotation="255" wrapText="1"/>
    </xf>
    <xf numFmtId="0" fontId="43" fillId="2" borderId="56" xfId="0" applyNumberFormat="1" applyFont="1" applyFill="1" applyBorder="1" applyAlignment="1" applyProtection="1">
      <alignment horizontal="left" vertical="center" wrapText="1"/>
    </xf>
    <xf numFmtId="49" fontId="46" fillId="2" borderId="67" xfId="0" applyNumberFormat="1" applyFont="1" applyFill="1" applyBorder="1" applyAlignment="1" applyProtection="1">
      <alignment horizontal="left" vertical="center"/>
    </xf>
    <xf numFmtId="0" fontId="46" fillId="2" borderId="66" xfId="0" applyNumberFormat="1" applyFont="1" applyFill="1" applyBorder="1" applyAlignment="1" applyProtection="1">
      <alignment horizontal="left" vertical="center" wrapText="1"/>
    </xf>
    <xf numFmtId="0" fontId="46" fillId="2" borderId="68" xfId="0" applyNumberFormat="1" applyFont="1" applyFill="1" applyBorder="1" applyAlignment="1" applyProtection="1">
      <alignment horizontal="left" vertical="center" wrapText="1"/>
    </xf>
    <xf numFmtId="0" fontId="67" fillId="13" borderId="67" xfId="0" applyNumberFormat="1" applyFont="1" applyFill="1" applyBorder="1" applyAlignment="1" applyProtection="1">
      <alignment horizontal="left" vertical="center" wrapText="1"/>
      <protection locked="0"/>
    </xf>
    <xf numFmtId="0" fontId="67" fillId="2" borderId="67" xfId="0" applyNumberFormat="1" applyFont="1" applyFill="1" applyBorder="1" applyAlignment="1" applyProtection="1">
      <alignment horizontal="left" vertical="center" wrapText="1"/>
    </xf>
    <xf numFmtId="0" fontId="67" fillId="13" borderId="66" xfId="0" applyNumberFormat="1" applyFont="1" applyFill="1" applyBorder="1" applyAlignment="1" applyProtection="1">
      <alignment horizontal="left" vertical="center" wrapText="1"/>
      <protection locked="0"/>
    </xf>
    <xf numFmtId="0" fontId="67" fillId="2" borderId="68" xfId="0" applyNumberFormat="1" applyFont="1" applyFill="1" applyBorder="1" applyAlignment="1" applyProtection="1">
      <alignment horizontal="left" vertical="center" wrapText="1"/>
    </xf>
    <xf numFmtId="49" fontId="46" fillId="2" borderId="89" xfId="0" applyNumberFormat="1" applyFont="1" applyFill="1" applyBorder="1" applyAlignment="1" applyProtection="1">
      <alignment horizontal="left" vertical="center"/>
    </xf>
    <xf numFmtId="0" fontId="46" fillId="2" borderId="101" xfId="0" applyNumberFormat="1" applyFont="1" applyFill="1" applyBorder="1" applyAlignment="1" applyProtection="1">
      <alignment horizontal="left" vertical="center" wrapText="1"/>
    </xf>
    <xf numFmtId="0" fontId="46" fillId="2" borderId="89" xfId="0" applyNumberFormat="1" applyFont="1" applyFill="1" applyBorder="1" applyAlignment="1" applyProtection="1">
      <alignment horizontal="left" vertical="center" wrapText="1"/>
    </xf>
    <xf numFmtId="0" fontId="46" fillId="2" borderId="18" xfId="0" applyNumberFormat="1" applyFont="1" applyFill="1" applyBorder="1" applyAlignment="1" applyProtection="1">
      <alignment horizontal="left" vertical="center" wrapText="1"/>
    </xf>
    <xf numFmtId="0" fontId="64" fillId="2" borderId="85" xfId="0" applyNumberFormat="1" applyFont="1" applyFill="1" applyBorder="1" applyAlignment="1" applyProtection="1">
      <alignment horizontal="left" vertical="center" wrapText="1"/>
    </xf>
    <xf numFmtId="0" fontId="64" fillId="2" borderId="86" xfId="0" applyNumberFormat="1" applyFont="1" applyFill="1" applyBorder="1" applyAlignment="1" applyProtection="1">
      <alignment horizontal="left" vertical="center" wrapText="1"/>
    </xf>
    <xf numFmtId="190" fontId="42" fillId="2" borderId="90" xfId="0" applyNumberFormat="1" applyFont="1" applyFill="1" applyBorder="1" applyAlignment="1" applyProtection="1">
      <alignment horizontal="left" vertical="center" wrapText="1"/>
    </xf>
    <xf numFmtId="190" fontId="42" fillId="2" borderId="4" xfId="0" applyNumberFormat="1" applyFont="1" applyFill="1" applyBorder="1" applyAlignment="1" applyProtection="1">
      <alignment horizontal="left" vertical="center" wrapText="1"/>
    </xf>
    <xf numFmtId="0" fontId="64" fillId="2" borderId="62" xfId="0" applyNumberFormat="1" applyFont="1" applyFill="1" applyBorder="1" applyAlignment="1" applyProtection="1">
      <alignment horizontal="left" vertical="center" wrapText="1"/>
    </xf>
    <xf numFmtId="0" fontId="42" fillId="0" borderId="91" xfId="0" applyNumberFormat="1" applyFont="1" applyFill="1" applyBorder="1" applyAlignment="1" applyProtection="1">
      <alignment horizontal="left" vertical="center" wrapText="1"/>
      <protection locked="0"/>
    </xf>
    <xf numFmtId="184" fontId="61" fillId="2" borderId="117" xfId="0" applyNumberFormat="1" applyFont="1" applyFill="1" applyBorder="1" applyAlignment="1" applyProtection="1">
      <alignment horizontal="left" vertical="center"/>
    </xf>
    <xf numFmtId="187" fontId="61" fillId="2" borderId="117" xfId="0" applyNumberFormat="1" applyFont="1" applyFill="1" applyBorder="1" applyAlignment="1" applyProtection="1">
      <alignment horizontal="left" vertical="center"/>
    </xf>
    <xf numFmtId="0" fontId="61" fillId="2" borderId="83" xfId="0" applyFont="1" applyFill="1" applyBorder="1" applyAlignment="1" applyProtection="1">
      <alignment horizontal="left" vertical="center"/>
    </xf>
    <xf numFmtId="0" fontId="54" fillId="0" borderId="57" xfId="0" applyNumberFormat="1" applyFont="1" applyFill="1" applyBorder="1" applyAlignment="1" applyProtection="1">
      <alignment horizontal="left" vertical="center" wrapText="1"/>
      <protection locked="0"/>
    </xf>
    <xf numFmtId="0" fontId="54" fillId="2" borderId="100" xfId="0" applyNumberFormat="1" applyFont="1" applyFill="1" applyBorder="1" applyAlignment="1" applyProtection="1">
      <alignment horizontal="left" vertical="center" wrapText="1"/>
    </xf>
    <xf numFmtId="0" fontId="54" fillId="2" borderId="79" xfId="0" applyNumberFormat="1" applyFont="1" applyFill="1" applyBorder="1" applyAlignment="1" applyProtection="1">
      <alignment horizontal="left" vertical="center" wrapText="1"/>
    </xf>
    <xf numFmtId="184" fontId="43" fillId="2" borderId="0" xfId="0" applyNumberFormat="1" applyFont="1" applyFill="1" applyBorder="1" applyAlignment="1" applyProtection="1">
      <alignment horizontal="left"/>
    </xf>
    <xf numFmtId="187" fontId="43" fillId="2" borderId="0" xfId="0" applyNumberFormat="1" applyFont="1" applyFill="1" applyBorder="1" applyAlignment="1" applyProtection="1">
      <alignment horizontal="left"/>
    </xf>
    <xf numFmtId="0" fontId="43" fillId="0" borderId="0" xfId="0" applyFont="1" applyFill="1" applyBorder="1" applyAlignment="1" applyProtection="1">
      <alignment horizontal="left"/>
      <protection locked="0"/>
    </xf>
    <xf numFmtId="49" fontId="42" fillId="0" borderId="0" xfId="0" applyNumberFormat="1" applyFont="1" applyFill="1" applyBorder="1" applyAlignment="1" applyProtection="1">
      <alignment horizontal="left" vertical="center"/>
      <protection locked="0"/>
    </xf>
    <xf numFmtId="0" fontId="42" fillId="0" borderId="83" xfId="0" applyNumberFormat="1" applyFont="1" applyFill="1" applyBorder="1" applyAlignment="1" applyProtection="1">
      <alignment horizontal="left" vertical="center" wrapText="1"/>
      <protection locked="0"/>
    </xf>
    <xf numFmtId="0" fontId="42" fillId="0" borderId="72" xfId="0" applyNumberFormat="1" applyFont="1" applyFill="1" applyBorder="1" applyAlignment="1" applyProtection="1">
      <alignment horizontal="left" vertical="center" wrapText="1"/>
      <protection locked="0"/>
    </xf>
    <xf numFmtId="0" fontId="58" fillId="2" borderId="7" xfId="0" applyFont="1" applyFill="1" applyBorder="1" applyAlignment="1" applyProtection="1">
      <alignment horizontal="left" vertical="center" wrapText="1"/>
    </xf>
    <xf numFmtId="0" fontId="46" fillId="11" borderId="7" xfId="0" applyNumberFormat="1" applyFont="1" applyFill="1" applyBorder="1" applyAlignment="1" applyProtection="1">
      <alignment horizontal="left" vertical="center"/>
    </xf>
    <xf numFmtId="0" fontId="61" fillId="2" borderId="122" xfId="0" applyFont="1" applyFill="1" applyBorder="1" applyAlignment="1" applyProtection="1">
      <alignment horizontal="left" vertical="center"/>
    </xf>
    <xf numFmtId="0" fontId="56" fillId="2" borderId="1" xfId="0" applyFont="1" applyFill="1" applyBorder="1" applyAlignment="1" applyProtection="1">
      <alignment horizontal="left" vertical="center"/>
    </xf>
    <xf numFmtId="0" fontId="61" fillId="2" borderId="102" xfId="0" applyFont="1" applyFill="1" applyBorder="1" applyAlignment="1" applyProtection="1">
      <alignment horizontal="left" vertical="center"/>
    </xf>
    <xf numFmtId="0" fontId="61" fillId="2" borderId="91" xfId="0" applyFont="1" applyFill="1" applyBorder="1" applyAlignment="1" applyProtection="1">
      <alignment horizontal="left" vertical="center"/>
    </xf>
    <xf numFmtId="0" fontId="42" fillId="0" borderId="123" xfId="0" applyNumberFormat="1" applyFont="1" applyFill="1" applyBorder="1" applyAlignment="1" applyProtection="1">
      <alignment horizontal="left" vertical="center"/>
      <protection locked="0"/>
    </xf>
    <xf numFmtId="0" fontId="46" fillId="2" borderId="84" xfId="0" applyNumberFormat="1" applyFont="1" applyFill="1" applyBorder="1" applyAlignment="1" applyProtection="1">
      <alignment horizontal="left" vertical="center" wrapText="1"/>
    </xf>
    <xf numFmtId="0" fontId="43" fillId="2" borderId="106" xfId="0" applyNumberFormat="1" applyFont="1" applyFill="1" applyBorder="1" applyAlignment="1" applyProtection="1">
      <alignment horizontal="left" vertical="center" wrapText="1"/>
    </xf>
    <xf numFmtId="0" fontId="42" fillId="0" borderId="109" xfId="0" applyNumberFormat="1" applyFont="1" applyFill="1" applyBorder="1" applyAlignment="1" applyProtection="1">
      <alignment horizontal="left" vertical="center" wrapText="1"/>
      <protection locked="0"/>
    </xf>
    <xf numFmtId="0" fontId="43" fillId="0" borderId="52" xfId="0" applyNumberFormat="1" applyFont="1" applyFill="1" applyBorder="1" applyAlignment="1" applyProtection="1">
      <alignment horizontal="left" vertical="center" wrapText="1"/>
      <protection locked="0"/>
    </xf>
    <xf numFmtId="0" fontId="59" fillId="0" borderId="70" xfId="0" applyNumberFormat="1" applyFont="1" applyFill="1" applyBorder="1" applyAlignment="1" applyProtection="1">
      <alignment horizontal="left" vertical="center" wrapText="1"/>
      <protection locked="0"/>
    </xf>
    <xf numFmtId="0" fontId="43" fillId="0" borderId="109" xfId="0" applyNumberFormat="1" applyFont="1" applyFill="1" applyBorder="1" applyAlignment="1" applyProtection="1">
      <alignment horizontal="left" vertical="center" wrapText="1"/>
      <protection locked="0"/>
    </xf>
    <xf numFmtId="0" fontId="43" fillId="0" borderId="0" xfId="0" applyFont="1" applyFill="1" applyBorder="1" applyAlignment="1" applyProtection="1">
      <alignment horizontal="left" vertical="center" wrapText="1"/>
      <protection locked="0"/>
    </xf>
    <xf numFmtId="9" fontId="43" fillId="0" borderId="0" xfId="0" applyNumberFormat="1" applyFont="1" applyFill="1" applyBorder="1" applyAlignment="1" applyProtection="1">
      <alignment horizontal="left" vertical="center" wrapText="1"/>
      <protection locked="0"/>
    </xf>
    <xf numFmtId="0" fontId="46" fillId="2" borderId="84" xfId="0" applyNumberFormat="1" applyFont="1" applyFill="1" applyBorder="1" applyAlignment="1" applyProtection="1">
      <alignment horizontal="left" vertical="center" wrapText="1"/>
      <protection locked="0"/>
    </xf>
    <xf numFmtId="0" fontId="43" fillId="0" borderId="62" xfId="0" applyFont="1" applyFill="1" applyBorder="1" applyAlignment="1" applyProtection="1">
      <alignment horizontal="left" vertical="center"/>
      <protection locked="0"/>
    </xf>
    <xf numFmtId="0" fontId="56" fillId="2" borderId="1" xfId="0" applyFont="1" applyFill="1" applyBorder="1" applyAlignment="1" applyProtection="1">
      <alignment horizontal="left" vertical="center"/>
      <protection locked="0"/>
    </xf>
    <xf numFmtId="0" fontId="54" fillId="2" borderId="16" xfId="0" applyFont="1" applyFill="1" applyBorder="1" applyAlignment="1" applyProtection="1">
      <alignment horizontal="left" vertical="center"/>
    </xf>
    <xf numFmtId="0" fontId="42" fillId="2" borderId="55" xfId="0" applyNumberFormat="1" applyFont="1" applyFill="1" applyBorder="1" applyAlignment="1" applyProtection="1">
      <alignment horizontal="left" vertical="center" wrapText="1"/>
    </xf>
    <xf numFmtId="0" fontId="42" fillId="2" borderId="73" xfId="0" applyFont="1" applyFill="1" applyBorder="1" applyAlignment="1" applyProtection="1">
      <alignment horizontal="left" vertical="center" wrapText="1"/>
    </xf>
    <xf numFmtId="49" fontId="43" fillId="2" borderId="53" xfId="0" applyNumberFormat="1" applyFont="1" applyFill="1" applyBorder="1" applyAlignment="1" applyProtection="1">
      <alignment horizontal="left" vertical="center" wrapText="1"/>
    </xf>
    <xf numFmtId="0" fontId="43" fillId="2" borderId="73" xfId="0" applyNumberFormat="1" applyFont="1" applyFill="1" applyBorder="1" applyAlignment="1" applyProtection="1">
      <alignment horizontal="left" vertical="center" wrapText="1"/>
    </xf>
    <xf numFmtId="0" fontId="43" fillId="2" borderId="0" xfId="0" applyFont="1" applyFill="1" applyBorder="1" applyAlignment="1" applyProtection="1">
      <alignment horizontal="left" vertical="center"/>
    </xf>
    <xf numFmtId="0" fontId="43" fillId="2" borderId="58" xfId="0" applyNumberFormat="1" applyFont="1" applyFill="1" applyBorder="1" applyAlignment="1" applyProtection="1">
      <alignment horizontal="left" vertical="center" wrapText="1"/>
    </xf>
    <xf numFmtId="0" fontId="42" fillId="2" borderId="83" xfId="0" applyFont="1" applyFill="1" applyBorder="1" applyAlignment="1" applyProtection="1">
      <alignment horizontal="left" vertical="center" wrapText="1"/>
    </xf>
    <xf numFmtId="0" fontId="43" fillId="2" borderId="57" xfId="0" applyNumberFormat="1" applyFont="1" applyFill="1" applyBorder="1" applyAlignment="1" applyProtection="1">
      <alignment horizontal="left" vertical="center" wrapText="1"/>
    </xf>
    <xf numFmtId="0" fontId="43" fillId="2" borderId="69" xfId="0" applyNumberFormat="1" applyFont="1" applyFill="1" applyBorder="1" applyAlignment="1" applyProtection="1">
      <alignment horizontal="left" vertical="center" wrapText="1"/>
    </xf>
    <xf numFmtId="0" fontId="43" fillId="12" borderId="79" xfId="0" applyNumberFormat="1" applyFont="1" applyFill="1" applyBorder="1" applyAlignment="1" applyProtection="1">
      <alignment horizontal="left" vertical="center" wrapText="1"/>
      <protection locked="0"/>
    </xf>
    <xf numFmtId="0" fontId="43" fillId="2" borderId="83" xfId="0" applyNumberFormat="1" applyFont="1" applyFill="1" applyBorder="1" applyAlignment="1" applyProtection="1">
      <alignment horizontal="left" vertical="center" wrapText="1"/>
    </xf>
    <xf numFmtId="0" fontId="42" fillId="2" borderId="69" xfId="0" applyFont="1" applyFill="1" applyBorder="1" applyAlignment="1" applyProtection="1">
      <alignment horizontal="left" vertical="center" wrapText="1"/>
    </xf>
    <xf numFmtId="49" fontId="43" fillId="2" borderId="57" xfId="0" applyNumberFormat="1" applyFont="1" applyFill="1" applyBorder="1" applyAlignment="1" applyProtection="1">
      <alignment horizontal="left" vertical="center" wrapText="1"/>
    </xf>
    <xf numFmtId="0" fontId="42" fillId="2" borderId="58" xfId="0" applyNumberFormat="1" applyFont="1" applyFill="1" applyBorder="1" applyAlignment="1" applyProtection="1">
      <alignment horizontal="left" vertical="center" wrapText="1"/>
    </xf>
    <xf numFmtId="0" fontId="43" fillId="12" borderId="3" xfId="0" applyFont="1" applyFill="1" applyBorder="1" applyAlignment="1" applyProtection="1">
      <alignment horizontal="left" vertical="center" wrapText="1"/>
      <protection locked="0"/>
    </xf>
    <xf numFmtId="0" fontId="43" fillId="12" borderId="6" xfId="0" applyFont="1" applyFill="1" applyBorder="1" applyAlignment="1" applyProtection="1">
      <alignment horizontal="left" vertical="center" wrapText="1"/>
      <protection locked="0"/>
    </xf>
    <xf numFmtId="0" fontId="43" fillId="12" borderId="14" xfId="0" applyFont="1" applyFill="1" applyBorder="1" applyAlignment="1" applyProtection="1">
      <alignment horizontal="left" vertical="center" wrapText="1"/>
      <protection locked="0"/>
    </xf>
    <xf numFmtId="17" fontId="58" fillId="0" borderId="71" xfId="0" applyNumberFormat="1" applyFont="1" applyFill="1" applyBorder="1" applyAlignment="1" applyProtection="1">
      <alignment horizontal="left" vertical="center" wrapText="1"/>
      <protection locked="0"/>
    </xf>
    <xf numFmtId="0" fontId="58" fillId="0" borderId="71" xfId="0" applyNumberFormat="1" applyFont="1" applyFill="1" applyBorder="1" applyAlignment="1" applyProtection="1">
      <alignment horizontal="left" vertical="center" wrapText="1"/>
      <protection locked="0"/>
    </xf>
    <xf numFmtId="0" fontId="61" fillId="2" borderId="124" xfId="0" applyFont="1" applyFill="1" applyBorder="1" applyAlignment="1" applyProtection="1">
      <alignment horizontal="left" vertical="center"/>
    </xf>
    <xf numFmtId="0" fontId="61" fillId="2" borderId="62" xfId="0" applyFont="1" applyFill="1" applyBorder="1" applyAlignment="1" applyProtection="1">
      <alignment horizontal="left" vertical="center"/>
    </xf>
    <xf numFmtId="0" fontId="43" fillId="2" borderId="6" xfId="0" applyFont="1" applyFill="1" applyBorder="1" applyAlignment="1" applyProtection="1">
      <alignment horizontal="left" vertical="center" wrapText="1"/>
    </xf>
    <xf numFmtId="0" fontId="43" fillId="2" borderId="79" xfId="0" applyFont="1" applyFill="1" applyBorder="1" applyAlignment="1" applyProtection="1">
      <alignment horizontal="left" vertical="center" wrapText="1"/>
    </xf>
    <xf numFmtId="0" fontId="43" fillId="2" borderId="57" xfId="0" applyFont="1" applyFill="1" applyBorder="1" applyAlignment="1" applyProtection="1">
      <alignment horizontal="left" vertical="center" textRotation="255" wrapText="1"/>
    </xf>
    <xf numFmtId="0" fontId="43" fillId="2" borderId="79" xfId="0" applyFont="1" applyFill="1" applyBorder="1" applyAlignment="1" applyProtection="1">
      <alignment horizontal="left" vertical="center" textRotation="255" wrapText="1"/>
    </xf>
    <xf numFmtId="0" fontId="43" fillId="2" borderId="100" xfId="0" applyFont="1" applyFill="1" applyBorder="1" applyAlignment="1" applyProtection="1">
      <alignment horizontal="left" vertical="center" textRotation="255" wrapText="1"/>
    </xf>
    <xf numFmtId="0" fontId="43" fillId="2" borderId="62" xfId="0" applyFont="1" applyFill="1" applyBorder="1" applyAlignment="1" applyProtection="1">
      <alignment horizontal="left" vertical="center"/>
      <protection locked="0"/>
    </xf>
    <xf numFmtId="0" fontId="59" fillId="2" borderId="62" xfId="0" applyFont="1" applyFill="1" applyBorder="1" applyAlignment="1" applyProtection="1">
      <alignment horizontal="left" vertical="center"/>
      <protection locked="0"/>
    </xf>
    <xf numFmtId="0" fontId="43" fillId="2" borderId="62" xfId="0" applyFont="1" applyFill="1" applyBorder="1" applyAlignment="1" applyProtection="1">
      <alignment horizontal="left"/>
      <protection locked="0"/>
    </xf>
    <xf numFmtId="49" fontId="42" fillId="0" borderId="62" xfId="0" applyNumberFormat="1" applyFont="1" applyFill="1" applyBorder="1" applyAlignment="1" applyProtection="1">
      <alignment horizontal="left" vertical="center"/>
      <protection locked="0"/>
    </xf>
    <xf numFmtId="9" fontId="42" fillId="0" borderId="62" xfId="0" applyNumberFormat="1" applyFont="1" applyFill="1" applyBorder="1" applyAlignment="1" applyProtection="1">
      <alignment horizontal="left" vertical="center" wrapText="1"/>
      <protection locked="0"/>
    </xf>
    <xf numFmtId="0" fontId="23" fillId="0" borderId="62" xfId="0" applyFont="1" applyFill="1" applyBorder="1" applyAlignment="1" applyProtection="1">
      <alignment horizontal="left" vertical="center"/>
      <protection locked="0"/>
    </xf>
    <xf numFmtId="0" fontId="42" fillId="0" borderId="62" xfId="0" applyFont="1" applyFill="1" applyBorder="1" applyAlignment="1" applyProtection="1">
      <alignment horizontal="left" vertical="center" wrapText="1"/>
      <protection locked="0"/>
    </xf>
    <xf numFmtId="0" fontId="61" fillId="2" borderId="1" xfId="0" applyFont="1" applyFill="1" applyBorder="1" applyAlignment="1" applyProtection="1">
      <alignment horizontal="left" vertical="center"/>
    </xf>
    <xf numFmtId="0" fontId="59" fillId="2" borderId="0" xfId="0" applyFont="1" applyFill="1" applyAlignment="1" applyProtection="1">
      <alignment horizontal="left" vertical="center"/>
      <protection locked="0"/>
    </xf>
    <xf numFmtId="9" fontId="42" fillId="2" borderId="0" xfId="0" applyNumberFormat="1" applyFont="1" applyFill="1" applyBorder="1" applyAlignment="1" applyProtection="1">
      <alignment horizontal="left" vertical="center" wrapText="1"/>
      <protection locked="0"/>
    </xf>
    <xf numFmtId="0" fontId="23" fillId="0" borderId="107" xfId="0" applyNumberFormat="1" applyFont="1" applyFill="1" applyBorder="1" applyAlignment="1" applyProtection="1">
      <alignment horizontal="left" vertical="center" wrapText="1"/>
      <protection locked="0"/>
    </xf>
    <xf numFmtId="0" fontId="58" fillId="0" borderId="62" xfId="0" applyFont="1" applyFill="1" applyBorder="1" applyAlignment="1" applyProtection="1">
      <alignment horizontal="left" vertical="center" wrapText="1"/>
      <protection locked="0"/>
    </xf>
    <xf numFmtId="0" fontId="58" fillId="0" borderId="62" xfId="0" applyFont="1" applyFill="1" applyBorder="1" applyAlignment="1" applyProtection="1">
      <alignment horizontal="left" vertical="center"/>
      <protection locked="0"/>
    </xf>
    <xf numFmtId="0" fontId="24" fillId="0" borderId="0" xfId="0" applyFont="1" applyFill="1" applyAlignment="1" applyProtection="1">
      <alignment horizontal="center" vertical="center"/>
      <protection locked="0"/>
    </xf>
    <xf numFmtId="0" fontId="50" fillId="0" borderId="0" xfId="0" applyFont="1" applyFill="1" applyAlignment="1" applyProtection="1">
      <alignment horizontal="center" vertical="center"/>
      <protection locked="0"/>
    </xf>
    <xf numFmtId="0" fontId="49" fillId="0" borderId="0" xfId="0" applyFont="1" applyFill="1" applyAlignment="1" applyProtection="1">
      <alignment horizontal="center" vertical="center"/>
      <protection locked="0"/>
    </xf>
    <xf numFmtId="0" fontId="49" fillId="0" borderId="0" xfId="0" applyFont="1" applyAlignment="1" applyProtection="1">
      <alignment horizontal="center" vertical="center" wrapText="1"/>
      <protection locked="0"/>
    </xf>
    <xf numFmtId="0" fontId="73" fillId="0" borderId="0" xfId="0" applyFont="1" applyProtection="1">
      <alignment vertical="center"/>
      <protection locked="0"/>
    </xf>
    <xf numFmtId="0" fontId="49" fillId="0" borderId="0" xfId="0" applyFont="1" applyProtection="1">
      <alignment vertical="center"/>
      <protection locked="0"/>
    </xf>
    <xf numFmtId="0" fontId="49" fillId="0" borderId="0" xfId="0" applyFont="1" applyAlignment="1" applyProtection="1">
      <alignment horizontal="center" vertical="center"/>
      <protection locked="0"/>
    </xf>
    <xf numFmtId="0" fontId="49" fillId="0" borderId="0" xfId="0" applyNumberFormat="1" applyFont="1" applyAlignment="1" applyProtection="1">
      <alignment horizontal="center" vertical="center"/>
      <protection locked="0"/>
    </xf>
    <xf numFmtId="0" fontId="49" fillId="10" borderId="0" xfId="0" applyFont="1" applyFill="1" applyProtection="1">
      <alignment vertical="center"/>
      <protection locked="0"/>
    </xf>
    <xf numFmtId="0" fontId="18" fillId="10" borderId="0" xfId="0" applyFont="1" applyFill="1" applyProtection="1">
      <alignment vertical="center"/>
    </xf>
    <xf numFmtId="0" fontId="49" fillId="2" borderId="0" xfId="0" applyFont="1" applyFill="1" applyAlignment="1" applyProtection="1">
      <alignment horizontal="center" vertical="center"/>
    </xf>
    <xf numFmtId="0" fontId="49" fillId="2" borderId="0" xfId="0" applyFont="1" applyFill="1" applyAlignment="1" applyProtection="1">
      <alignment horizontal="center" vertical="center"/>
      <protection locked="0"/>
    </xf>
    <xf numFmtId="0" fontId="74" fillId="2" borderId="7" xfId="0" applyFont="1" applyFill="1" applyBorder="1" applyAlignment="1" applyProtection="1">
      <alignment horizontal="center" vertical="center"/>
    </xf>
    <xf numFmtId="0" fontId="74" fillId="2" borderId="0" xfId="0" applyFont="1" applyFill="1" applyAlignment="1" applyProtection="1">
      <alignment horizontal="left" vertical="center"/>
    </xf>
    <xf numFmtId="0" fontId="49" fillId="2" borderId="7" xfId="0" applyFont="1" applyFill="1" applyBorder="1" applyProtection="1">
      <alignment vertical="center"/>
    </xf>
    <xf numFmtId="0" fontId="49" fillId="2" borderId="10" xfId="0" applyFont="1" applyFill="1" applyBorder="1" applyAlignment="1" applyProtection="1">
      <alignment horizontal="center" vertical="center"/>
    </xf>
    <xf numFmtId="0" fontId="49" fillId="2" borderId="88" xfId="0" applyFont="1" applyFill="1" applyBorder="1" applyAlignment="1" applyProtection="1">
      <alignment horizontal="center" vertical="center"/>
      <protection locked="0"/>
    </xf>
    <xf numFmtId="0" fontId="49" fillId="2" borderId="18" xfId="0" applyFont="1" applyFill="1" applyBorder="1" applyAlignment="1" applyProtection="1">
      <alignment horizontal="center" vertical="center"/>
      <protection locked="0"/>
    </xf>
    <xf numFmtId="0" fontId="48" fillId="2" borderId="83" xfId="0" applyNumberFormat="1" applyFont="1" applyFill="1" applyBorder="1" applyAlignment="1" applyProtection="1">
      <alignment vertical="center" wrapText="1"/>
      <protection locked="0"/>
    </xf>
    <xf numFmtId="0" fontId="49" fillId="2" borderId="85" xfId="0" applyNumberFormat="1" applyFont="1" applyFill="1" applyBorder="1" applyAlignment="1" applyProtection="1">
      <alignment horizontal="center" vertical="center" wrapText="1"/>
    </xf>
    <xf numFmtId="0" fontId="49" fillId="2" borderId="3" xfId="0" applyNumberFormat="1" applyFont="1" applyFill="1" applyBorder="1" applyAlignment="1" applyProtection="1">
      <alignment horizontal="center" vertical="center" wrapText="1"/>
    </xf>
    <xf numFmtId="0" fontId="49" fillId="2" borderId="4" xfId="0" applyNumberFormat="1" applyFont="1" applyFill="1" applyBorder="1" applyAlignment="1" applyProtection="1">
      <alignment horizontal="center" vertical="center" wrapText="1"/>
    </xf>
    <xf numFmtId="0" fontId="73" fillId="2" borderId="69" xfId="0" applyNumberFormat="1" applyFont="1" applyFill="1" applyBorder="1" applyAlignment="1" applyProtection="1">
      <alignment vertical="center" textRotation="255" wrapText="1"/>
      <protection locked="0"/>
    </xf>
    <xf numFmtId="0" fontId="49" fillId="2" borderId="62" xfId="0" applyNumberFormat="1" applyFont="1" applyFill="1" applyBorder="1" applyAlignment="1" applyProtection="1">
      <alignment horizontal="center" vertical="center"/>
    </xf>
    <xf numFmtId="0" fontId="49" fillId="0" borderId="7" xfId="0" applyNumberFormat="1" applyFont="1" applyFill="1" applyBorder="1" applyAlignment="1" applyProtection="1">
      <alignment horizontal="center" vertical="center" wrapText="1"/>
      <protection locked="0"/>
    </xf>
    <xf numFmtId="0" fontId="73" fillId="2" borderId="69" xfId="0" applyNumberFormat="1" applyFont="1" applyFill="1" applyBorder="1" applyAlignment="1" applyProtection="1">
      <alignment vertical="center" wrapText="1"/>
      <protection locked="0"/>
    </xf>
    <xf numFmtId="0" fontId="49" fillId="2" borderId="62" xfId="0" applyNumberFormat="1" applyFont="1" applyFill="1" applyBorder="1" applyAlignment="1" applyProtection="1">
      <alignment horizontal="center" vertical="center" wrapText="1"/>
    </xf>
    <xf numFmtId="0" fontId="24" fillId="0" borderId="12" xfId="0" applyNumberFormat="1" applyFont="1" applyFill="1" applyBorder="1" applyAlignment="1" applyProtection="1">
      <alignment horizontal="center" vertical="center" wrapText="1"/>
      <protection locked="0"/>
    </xf>
    <xf numFmtId="0" fontId="74" fillId="2" borderId="69" xfId="0" applyNumberFormat="1" applyFont="1" applyFill="1" applyBorder="1" applyAlignment="1" applyProtection="1">
      <alignment vertical="center" wrapText="1"/>
      <protection locked="0"/>
    </xf>
    <xf numFmtId="0" fontId="49" fillId="0" borderId="125" xfId="0" applyNumberFormat="1" applyFont="1" applyFill="1" applyBorder="1" applyAlignment="1" applyProtection="1">
      <alignment horizontal="center" vertical="center" wrapText="1"/>
      <protection locked="0"/>
    </xf>
    <xf numFmtId="0" fontId="49" fillId="0" borderId="126" xfId="0" applyNumberFormat="1" applyFont="1" applyFill="1" applyBorder="1" applyAlignment="1" applyProtection="1">
      <alignment horizontal="center" vertical="center" wrapText="1"/>
      <protection locked="0"/>
    </xf>
    <xf numFmtId="0" fontId="49" fillId="0" borderId="127" xfId="0" applyNumberFormat="1" applyFont="1" applyFill="1" applyBorder="1" applyAlignment="1" applyProtection="1">
      <alignment horizontal="center" vertical="center" wrapText="1"/>
      <protection locked="0"/>
    </xf>
    <xf numFmtId="0" fontId="49" fillId="2" borderId="128" xfId="0" applyNumberFormat="1" applyFont="1" applyFill="1" applyBorder="1" applyAlignment="1" applyProtection="1">
      <alignment horizontal="center" vertical="center" wrapText="1"/>
    </xf>
    <xf numFmtId="0" fontId="49" fillId="2" borderId="129" xfId="0" applyNumberFormat="1" applyFont="1" applyFill="1" applyBorder="1" applyAlignment="1" applyProtection="1">
      <alignment horizontal="center" vertical="center" wrapText="1"/>
    </xf>
    <xf numFmtId="0" fontId="24" fillId="2" borderId="130" xfId="0" applyNumberFormat="1" applyFont="1" applyFill="1" applyBorder="1" applyAlignment="1" applyProtection="1">
      <alignment horizontal="center" vertical="center" wrapText="1"/>
    </xf>
    <xf numFmtId="0" fontId="49" fillId="0" borderId="62" xfId="0" applyNumberFormat="1" applyFont="1" applyFill="1" applyBorder="1" applyAlignment="1" applyProtection="1">
      <alignment horizontal="center" vertical="center" wrapText="1"/>
      <protection locked="0"/>
    </xf>
    <xf numFmtId="0" fontId="49" fillId="0" borderId="100" xfId="0" applyNumberFormat="1" applyFont="1" applyFill="1" applyBorder="1" applyAlignment="1" applyProtection="1">
      <alignment horizontal="center" vertical="center" wrapText="1"/>
      <protection locked="0"/>
    </xf>
    <xf numFmtId="0" fontId="49" fillId="0" borderId="16" xfId="0" applyNumberFormat="1" applyFont="1" applyFill="1" applyBorder="1" applyAlignment="1" applyProtection="1">
      <alignment horizontal="center" vertical="center" wrapText="1"/>
      <protection locked="0"/>
    </xf>
    <xf numFmtId="0" fontId="49" fillId="2" borderId="57" xfId="0" applyNumberFormat="1" applyFont="1" applyFill="1" applyBorder="1" applyAlignment="1" applyProtection="1">
      <alignment horizontal="center" vertical="center" wrapText="1"/>
    </xf>
    <xf numFmtId="0" fontId="24" fillId="2" borderId="12" xfId="0" applyNumberFormat="1" applyFont="1" applyFill="1" applyBorder="1" applyAlignment="1" applyProtection="1">
      <alignment horizontal="center" vertical="center" wrapText="1"/>
    </xf>
    <xf numFmtId="0" fontId="49" fillId="0" borderId="129" xfId="0" applyNumberFormat="1" applyFont="1" applyFill="1" applyBorder="1" applyAlignment="1" applyProtection="1">
      <alignment horizontal="center" vertical="center" wrapText="1"/>
      <protection locked="0"/>
    </xf>
    <xf numFmtId="0" fontId="24" fillId="0" borderId="130" xfId="0" applyNumberFormat="1" applyFont="1" applyFill="1" applyBorder="1" applyAlignment="1" applyProtection="1">
      <alignment horizontal="center" vertical="center" wrapText="1"/>
      <protection locked="0"/>
    </xf>
    <xf numFmtId="0" fontId="49" fillId="0" borderId="57" xfId="0" applyNumberFormat="1" applyFont="1" applyFill="1" applyBorder="1" applyAlignment="1" applyProtection="1">
      <alignment horizontal="center" vertical="center" wrapText="1"/>
      <protection locked="0"/>
    </xf>
    <xf numFmtId="0" fontId="74" fillId="2" borderId="131" xfId="0" applyNumberFormat="1" applyFont="1" applyFill="1" applyBorder="1" applyAlignment="1" applyProtection="1">
      <alignment horizontal="center" vertical="center" wrapText="1"/>
      <protection locked="0"/>
    </xf>
    <xf numFmtId="0" fontId="49" fillId="14" borderId="85" xfId="0" applyNumberFormat="1" applyFont="1" applyFill="1" applyBorder="1" applyAlignment="1" applyProtection="1">
      <alignment horizontal="center" vertical="center" wrapText="1"/>
      <protection locked="0"/>
    </xf>
    <xf numFmtId="0" fontId="49" fillId="14" borderId="3" xfId="0" applyNumberFormat="1" applyFont="1" applyFill="1" applyBorder="1" applyAlignment="1" applyProtection="1">
      <alignment horizontal="center" vertical="center" wrapText="1"/>
      <protection locked="0"/>
    </xf>
    <xf numFmtId="0" fontId="49" fillId="14" borderId="4" xfId="0" applyNumberFormat="1" applyFont="1" applyFill="1" applyBorder="1" applyAlignment="1" applyProtection="1">
      <alignment horizontal="center" vertical="center" wrapText="1"/>
      <protection locked="0"/>
    </xf>
    <xf numFmtId="0" fontId="74" fillId="14" borderId="115" xfId="0" applyNumberFormat="1" applyFont="1" applyFill="1" applyBorder="1" applyAlignment="1" applyProtection="1">
      <alignment vertical="center" wrapText="1"/>
      <protection locked="0"/>
    </xf>
    <xf numFmtId="0" fontId="49" fillId="14" borderId="98" xfId="0" applyNumberFormat="1" applyFont="1" applyFill="1" applyBorder="1" applyAlignment="1" applyProtection="1">
      <alignment horizontal="center" vertical="center" wrapText="1"/>
    </xf>
    <xf numFmtId="0" fontId="49" fillId="14" borderId="9" xfId="0" applyNumberFormat="1" applyFont="1" applyFill="1" applyBorder="1" applyAlignment="1" applyProtection="1">
      <alignment horizontal="center" vertical="center" wrapText="1"/>
      <protection locked="0"/>
    </xf>
    <xf numFmtId="0" fontId="24" fillId="14" borderId="10" xfId="0" applyNumberFormat="1" applyFont="1" applyFill="1" applyBorder="1" applyAlignment="1" applyProtection="1">
      <alignment horizontal="center" vertical="center" wrapText="1"/>
      <protection locked="0"/>
    </xf>
    <xf numFmtId="0" fontId="49" fillId="2" borderId="0" xfId="0" applyFont="1" applyFill="1" applyProtection="1">
      <alignment vertical="center"/>
      <protection locked="0"/>
    </xf>
    <xf numFmtId="0" fontId="74" fillId="2" borderId="85" xfId="0" applyFont="1" applyFill="1" applyBorder="1" applyAlignment="1" applyProtection="1">
      <alignment horizontal="left" vertical="center"/>
      <protection locked="0"/>
    </xf>
    <xf numFmtId="0" fontId="49" fillId="2" borderId="63" xfId="0" applyFont="1" applyFill="1" applyBorder="1" applyAlignment="1" applyProtection="1">
      <alignment horizontal="center" vertical="center"/>
      <protection locked="0"/>
    </xf>
    <xf numFmtId="0" fontId="75" fillId="2" borderId="7" xfId="0" applyFont="1" applyFill="1" applyBorder="1" applyAlignment="1" applyProtection="1">
      <alignment horizontal="center" vertical="center"/>
    </xf>
    <xf numFmtId="0" fontId="75" fillId="2" borderId="7" xfId="0" applyFont="1" applyFill="1" applyBorder="1" applyProtection="1">
      <alignment vertical="center"/>
    </xf>
    <xf numFmtId="0" fontId="48" fillId="3" borderId="101" xfId="57" applyFont="1" applyFill="1" applyBorder="1" applyAlignment="1" applyProtection="1">
      <alignment vertical="center"/>
      <protection locked="0"/>
    </xf>
    <xf numFmtId="0" fontId="49" fillId="3" borderId="87" xfId="0" applyFont="1" applyFill="1" applyBorder="1" applyAlignment="1" applyProtection="1">
      <alignment horizontal="center" vertical="center"/>
      <protection locked="0"/>
    </xf>
    <xf numFmtId="0" fontId="49" fillId="2" borderId="7" xfId="0" applyFont="1" applyFill="1" applyBorder="1" applyAlignment="1" applyProtection="1">
      <alignment horizontal="center" vertical="center"/>
    </xf>
    <xf numFmtId="0" fontId="49" fillId="2" borderId="13" xfId="0" applyFont="1" applyFill="1" applyBorder="1" applyAlignment="1" applyProtection="1">
      <alignment horizontal="center" vertical="center"/>
    </xf>
    <xf numFmtId="0" fontId="49" fillId="2" borderId="15" xfId="0" applyFont="1" applyFill="1" applyBorder="1" applyAlignment="1" applyProtection="1">
      <alignment horizontal="center" vertical="center"/>
    </xf>
    <xf numFmtId="0" fontId="49" fillId="2" borderId="7" xfId="0" applyFont="1" applyFill="1" applyBorder="1" applyAlignment="1" applyProtection="1">
      <alignment horizontal="center" vertical="center" wrapText="1"/>
    </xf>
    <xf numFmtId="0" fontId="73" fillId="0" borderId="7" xfId="0" applyFont="1" applyFill="1" applyBorder="1" applyAlignment="1" applyProtection="1">
      <alignment horizontal="center" vertical="center"/>
      <protection locked="0"/>
    </xf>
    <xf numFmtId="0" fontId="73" fillId="2" borderId="7" xfId="0" applyFont="1" applyFill="1" applyBorder="1" applyAlignment="1" applyProtection="1">
      <alignment horizontal="center" vertical="center"/>
    </xf>
    <xf numFmtId="0" fontId="16" fillId="2" borderId="7" xfId="0" applyFont="1" applyFill="1" applyBorder="1" applyAlignment="1" applyProtection="1">
      <alignment horizontal="center" vertical="center"/>
    </xf>
    <xf numFmtId="0" fontId="73" fillId="12" borderId="7" xfId="0" applyFont="1" applyFill="1" applyBorder="1" applyAlignment="1" applyProtection="1">
      <alignment horizontal="center" vertical="center"/>
      <protection locked="0"/>
    </xf>
    <xf numFmtId="0" fontId="49" fillId="0" borderId="7" xfId="0" applyFont="1" applyBorder="1" applyProtection="1">
      <alignment vertical="center"/>
      <protection locked="0"/>
    </xf>
    <xf numFmtId="0" fontId="49" fillId="0" borderId="7" xfId="0" applyFont="1" applyBorder="1" applyAlignment="1" applyProtection="1">
      <alignment horizontal="center" vertical="center"/>
      <protection locked="0"/>
    </xf>
    <xf numFmtId="0" fontId="50" fillId="0" borderId="7" xfId="0" applyNumberFormat="1" applyFont="1" applyFill="1" applyBorder="1" applyAlignment="1" applyProtection="1">
      <alignment horizontal="center" vertical="center" wrapText="1"/>
      <protection locked="0"/>
    </xf>
    <xf numFmtId="0" fontId="50" fillId="0" borderId="7" xfId="0" applyNumberFormat="1" applyFont="1" applyFill="1" applyBorder="1" applyAlignment="1" applyProtection="1">
      <alignment horizontal="left" vertical="center" wrapText="1"/>
      <protection locked="0"/>
    </xf>
    <xf numFmtId="0" fontId="50" fillId="0" borderId="13" xfId="0" applyNumberFormat="1" applyFont="1" applyFill="1" applyBorder="1" applyAlignment="1" applyProtection="1">
      <alignment horizontal="center" vertical="center" wrapText="1"/>
      <protection locked="0"/>
    </xf>
    <xf numFmtId="0" fontId="49" fillId="0" borderId="13" xfId="0" applyNumberFormat="1" applyFont="1" applyFill="1" applyBorder="1" applyAlignment="1" applyProtection="1">
      <alignment horizontal="center" vertical="center" wrapText="1"/>
      <protection locked="0"/>
    </xf>
    <xf numFmtId="0" fontId="24" fillId="0" borderId="83" xfId="0" applyNumberFormat="1" applyFont="1" applyFill="1" applyBorder="1" applyAlignment="1" applyProtection="1">
      <alignment horizontal="center" vertical="center" wrapText="1"/>
      <protection locked="0"/>
    </xf>
    <xf numFmtId="0" fontId="49" fillId="0" borderId="83" xfId="0" applyNumberFormat="1" applyFont="1" applyFill="1" applyBorder="1" applyAlignment="1" applyProtection="1">
      <alignment horizontal="center" vertical="center" wrapText="1"/>
      <protection locked="0"/>
    </xf>
    <xf numFmtId="0" fontId="49" fillId="0" borderId="127" xfId="0" applyNumberFormat="1" applyFont="1" applyFill="1" applyBorder="1" applyAlignment="1" applyProtection="1">
      <alignment horizontal="left" vertical="center" wrapText="1"/>
      <protection locked="0"/>
    </xf>
    <xf numFmtId="0" fontId="49" fillId="0" borderId="132" xfId="0" applyNumberFormat="1" applyFont="1" applyFill="1" applyBorder="1" applyAlignment="1" applyProtection="1">
      <alignment horizontal="center" vertical="center" wrapText="1"/>
      <protection locked="0"/>
    </xf>
    <xf numFmtId="0" fontId="24" fillId="2" borderId="133" xfId="0" applyNumberFormat="1" applyFont="1" applyFill="1" applyBorder="1" applyAlignment="1" applyProtection="1">
      <alignment horizontal="center" vertical="center" wrapText="1"/>
    </xf>
    <xf numFmtId="0" fontId="49" fillId="0" borderId="58" xfId="0" applyNumberFormat="1" applyFont="1" applyFill="1" applyBorder="1" applyAlignment="1" applyProtection="1">
      <alignment horizontal="center" vertical="center" wrapText="1"/>
      <protection locked="0"/>
    </xf>
    <xf numFmtId="0" fontId="49" fillId="0" borderId="69" xfId="0" applyFont="1" applyFill="1" applyBorder="1" applyAlignment="1" applyProtection="1">
      <alignment horizontal="center" vertical="center"/>
      <protection locked="0"/>
    </xf>
    <xf numFmtId="0" fontId="49" fillId="0" borderId="52" xfId="0" applyNumberFormat="1" applyFont="1" applyFill="1" applyBorder="1" applyAlignment="1" applyProtection="1">
      <alignment horizontal="center" vertical="center" wrapText="1"/>
      <protection locked="0"/>
    </xf>
    <xf numFmtId="0" fontId="49" fillId="0" borderId="52" xfId="0" applyFont="1" applyFill="1" applyBorder="1" applyAlignment="1" applyProtection="1">
      <alignment horizontal="center" vertical="center" wrapText="1"/>
      <protection locked="0"/>
    </xf>
    <xf numFmtId="0" fontId="49" fillId="0" borderId="16" xfId="0" applyNumberFormat="1" applyFont="1" applyFill="1" applyBorder="1" applyAlignment="1" applyProtection="1">
      <alignment horizontal="left" vertical="center" wrapText="1"/>
      <protection locked="0"/>
    </xf>
    <xf numFmtId="0" fontId="24" fillId="2" borderId="83" xfId="0" applyNumberFormat="1" applyFont="1" applyFill="1" applyBorder="1" applyAlignment="1" applyProtection="1">
      <alignment horizontal="center" vertical="center" wrapText="1"/>
    </xf>
    <xf numFmtId="0" fontId="49" fillId="0" borderId="134" xfId="0" applyFont="1" applyFill="1" applyBorder="1" applyAlignment="1" applyProtection="1">
      <alignment horizontal="center" vertical="center"/>
      <protection locked="0"/>
    </xf>
    <xf numFmtId="0" fontId="49" fillId="0" borderId="135" xfId="0" applyNumberFormat="1" applyFont="1" applyFill="1" applyBorder="1" applyAlignment="1" applyProtection="1">
      <alignment horizontal="center" vertical="center" wrapText="1"/>
      <protection locked="0"/>
    </xf>
    <xf numFmtId="0" fontId="49" fillId="0" borderId="135" xfId="0" applyFont="1" applyFill="1" applyBorder="1" applyAlignment="1" applyProtection="1">
      <alignment horizontal="center" vertical="center" wrapText="1"/>
      <protection locked="0"/>
    </xf>
    <xf numFmtId="0" fontId="24" fillId="0" borderId="133" xfId="0" applyNumberFormat="1" applyFont="1" applyFill="1" applyBorder="1" applyAlignment="1" applyProtection="1">
      <alignment horizontal="center" vertical="center" wrapText="1"/>
      <protection locked="0"/>
    </xf>
    <xf numFmtId="0" fontId="49" fillId="14" borderId="4" xfId="0" applyNumberFormat="1" applyFont="1" applyFill="1" applyBorder="1" applyAlignment="1" applyProtection="1">
      <alignment horizontal="left" vertical="center" wrapText="1"/>
      <protection locked="0"/>
    </xf>
    <xf numFmtId="0" fontId="49" fillId="14" borderId="55" xfId="0" applyNumberFormat="1" applyFont="1" applyFill="1" applyBorder="1" applyAlignment="1" applyProtection="1">
      <alignment horizontal="center" vertical="center" wrapText="1"/>
      <protection locked="0"/>
    </xf>
    <xf numFmtId="0" fontId="49" fillId="14" borderId="73" xfId="0" applyFont="1" applyFill="1" applyBorder="1" applyAlignment="1" applyProtection="1">
      <alignment horizontal="center" vertical="center"/>
      <protection locked="0"/>
    </xf>
    <xf numFmtId="0" fontId="49" fillId="14" borderId="54" xfId="0" applyNumberFormat="1" applyFont="1" applyFill="1" applyBorder="1" applyAlignment="1" applyProtection="1">
      <alignment horizontal="center" vertical="center" wrapText="1"/>
      <protection locked="0"/>
    </xf>
    <xf numFmtId="0" fontId="49" fillId="14" borderId="54" xfId="0" applyFont="1" applyFill="1" applyBorder="1" applyAlignment="1" applyProtection="1">
      <alignment horizontal="center" vertical="center" wrapText="1"/>
      <protection locked="0"/>
    </xf>
    <xf numFmtId="0" fontId="24" fillId="14" borderId="56" xfId="0" applyNumberFormat="1" applyFont="1" applyFill="1" applyBorder="1" applyAlignment="1" applyProtection="1">
      <alignment horizontal="center" vertical="center" wrapText="1"/>
      <protection locked="0"/>
    </xf>
    <xf numFmtId="0" fontId="49" fillId="2" borderId="81" xfId="0" applyFont="1" applyFill="1" applyBorder="1" applyAlignment="1" applyProtection="1">
      <alignment horizontal="center" vertical="center"/>
      <protection locked="0"/>
    </xf>
    <xf numFmtId="0" fontId="45" fillId="3" borderId="11" xfId="57" applyFont="1" applyFill="1" applyBorder="1" applyAlignment="1" applyProtection="1">
      <alignment vertical="center"/>
      <protection locked="0"/>
    </xf>
    <xf numFmtId="0" fontId="49" fillId="2" borderId="0" xfId="0" applyNumberFormat="1" applyFont="1" applyFill="1" applyAlignment="1" applyProtection="1">
      <alignment horizontal="center" vertical="center"/>
      <protection locked="0"/>
    </xf>
    <xf numFmtId="0" fontId="18" fillId="10" borderId="0" xfId="0" applyFont="1" applyFill="1" applyProtection="1">
      <alignment vertical="center"/>
      <protection locked="0"/>
    </xf>
    <xf numFmtId="0" fontId="49" fillId="2" borderId="104" xfId="0" applyFont="1" applyFill="1" applyBorder="1" applyAlignment="1" applyProtection="1">
      <alignment horizontal="center" vertical="center"/>
      <protection locked="0"/>
    </xf>
    <xf numFmtId="0" fontId="49" fillId="2" borderId="68" xfId="0" applyNumberFormat="1" applyFont="1" applyFill="1" applyBorder="1" applyAlignment="1" applyProtection="1">
      <alignment horizontal="center" vertical="center" wrapText="1"/>
    </xf>
    <xf numFmtId="0" fontId="49" fillId="2" borderId="81" xfId="0" applyNumberFormat="1" applyFont="1" applyFill="1" applyBorder="1" applyAlignment="1" applyProtection="1">
      <alignment horizontal="center" vertical="center" wrapText="1"/>
    </xf>
    <xf numFmtId="0" fontId="18" fillId="10" borderId="0" xfId="0" applyFont="1" applyFill="1" applyAlignment="1" applyProtection="1">
      <alignment horizontal="center" vertical="center"/>
      <protection locked="0"/>
    </xf>
    <xf numFmtId="0" fontId="24" fillId="10" borderId="0" xfId="0" applyFont="1" applyFill="1" applyAlignment="1" applyProtection="1">
      <alignment horizontal="center" vertical="center"/>
      <protection locked="0"/>
    </xf>
    <xf numFmtId="0" fontId="49" fillId="0" borderId="93" xfId="0" applyNumberFormat="1" applyFont="1" applyFill="1" applyBorder="1" applyAlignment="1" applyProtection="1">
      <alignment horizontal="center" vertical="center" wrapText="1"/>
      <protection locked="0"/>
    </xf>
    <xf numFmtId="0" fontId="50" fillId="2" borderId="94" xfId="0" applyNumberFormat="1" applyFont="1" applyFill="1" applyBorder="1" applyAlignment="1" applyProtection="1">
      <alignment horizontal="center" vertical="center" wrapText="1"/>
    </xf>
    <xf numFmtId="0" fontId="50" fillId="10" borderId="0" xfId="0" applyFont="1" applyFill="1" applyAlignment="1" applyProtection="1">
      <alignment horizontal="center" vertical="center"/>
      <protection locked="0"/>
    </xf>
    <xf numFmtId="0" fontId="24" fillId="0" borderId="94" xfId="0" applyNumberFormat="1" applyFont="1" applyFill="1" applyBorder="1" applyAlignment="1" applyProtection="1">
      <alignment horizontal="center" vertical="center" wrapText="1"/>
      <protection locked="0"/>
    </xf>
    <xf numFmtId="0" fontId="24" fillId="2" borderId="75" xfId="0" applyNumberFormat="1" applyFont="1" applyFill="1" applyBorder="1" applyAlignment="1" applyProtection="1">
      <alignment horizontal="center" vertical="center" wrapText="1"/>
    </xf>
    <xf numFmtId="0" fontId="49" fillId="0" borderId="136" xfId="0" applyNumberFormat="1" applyFont="1" applyFill="1" applyBorder="1" applyAlignment="1" applyProtection="1">
      <alignment horizontal="center" vertical="center" wrapText="1"/>
      <protection locked="0"/>
    </xf>
    <xf numFmtId="0" fontId="49" fillId="0" borderId="137" xfId="0" applyNumberFormat="1" applyFont="1" applyFill="1" applyBorder="1" applyAlignment="1" applyProtection="1">
      <alignment horizontal="center" vertical="center" wrapText="1"/>
      <protection locked="0"/>
    </xf>
    <xf numFmtId="0" fontId="49" fillId="10" borderId="0" xfId="0" applyFont="1" applyFill="1" applyAlignment="1" applyProtection="1">
      <alignment horizontal="center" vertical="center"/>
      <protection locked="0"/>
    </xf>
    <xf numFmtId="0" fontId="24" fillId="2" borderId="138" xfId="0" applyNumberFormat="1" applyFont="1" applyFill="1" applyBorder="1" applyAlignment="1" applyProtection="1">
      <alignment horizontal="center" vertical="center" wrapText="1"/>
    </xf>
    <xf numFmtId="0" fontId="24" fillId="2" borderId="139" xfId="0" applyNumberFormat="1" applyFont="1" applyFill="1" applyBorder="1" applyAlignment="1" applyProtection="1">
      <alignment horizontal="center" vertical="center" wrapText="1"/>
    </xf>
    <xf numFmtId="9" fontId="49" fillId="0" borderId="52" xfId="0" applyNumberFormat="1" applyFont="1" applyFill="1" applyBorder="1" applyAlignment="1" applyProtection="1">
      <alignment horizontal="center" vertical="center" wrapText="1"/>
      <protection locked="0"/>
    </xf>
    <xf numFmtId="0" fontId="49" fillId="0" borderId="52" xfId="0" applyFont="1" applyFill="1" applyBorder="1" applyAlignment="1" applyProtection="1">
      <alignment horizontal="center" vertical="center"/>
      <protection locked="0"/>
    </xf>
    <xf numFmtId="0" fontId="49" fillId="0" borderId="75" xfId="0" applyFont="1" applyFill="1" applyBorder="1" applyAlignment="1" applyProtection="1">
      <alignment horizontal="center" vertical="center"/>
      <protection locked="0"/>
    </xf>
    <xf numFmtId="0" fontId="49" fillId="0" borderId="75" xfId="0" applyNumberFormat="1" applyFont="1" applyFill="1" applyBorder="1" applyAlignment="1" applyProtection="1">
      <alignment horizontal="center" vertical="center" wrapText="1"/>
      <protection locked="0"/>
    </xf>
    <xf numFmtId="0" fontId="24" fillId="2" borderId="94" xfId="0" applyNumberFormat="1" applyFont="1" applyFill="1" applyBorder="1" applyAlignment="1" applyProtection="1">
      <alignment horizontal="center" vertical="center" wrapText="1"/>
    </xf>
    <xf numFmtId="9" fontId="49" fillId="0" borderId="135" xfId="0" applyNumberFormat="1" applyFont="1" applyFill="1" applyBorder="1" applyAlignment="1" applyProtection="1">
      <alignment horizontal="center" vertical="center" wrapText="1"/>
      <protection locked="0"/>
    </xf>
    <xf numFmtId="0" fontId="49" fillId="0" borderId="135" xfId="0" applyFont="1" applyFill="1" applyBorder="1" applyAlignment="1" applyProtection="1">
      <alignment horizontal="center" vertical="center"/>
      <protection locked="0"/>
    </xf>
    <xf numFmtId="0" fontId="49" fillId="0" borderId="137" xfId="0" applyFont="1" applyFill="1" applyBorder="1" applyAlignment="1" applyProtection="1">
      <alignment horizontal="center" vertical="center"/>
      <protection locked="0"/>
    </xf>
    <xf numFmtId="0" fontId="49" fillId="2" borderId="137" xfId="0" applyNumberFormat="1" applyFont="1" applyFill="1" applyBorder="1" applyAlignment="1" applyProtection="1">
      <alignment horizontal="center" vertical="center" wrapText="1"/>
    </xf>
    <xf numFmtId="0" fontId="24" fillId="0" borderId="138" xfId="0" applyNumberFormat="1" applyFont="1" applyFill="1" applyBorder="1" applyAlignment="1" applyProtection="1">
      <alignment horizontal="center" vertical="center" wrapText="1"/>
      <protection locked="0"/>
    </xf>
    <xf numFmtId="9" fontId="49" fillId="14" borderId="54" xfId="0" applyNumberFormat="1" applyFont="1" applyFill="1" applyBorder="1" applyAlignment="1" applyProtection="1">
      <alignment horizontal="center" vertical="center" wrapText="1"/>
      <protection locked="0"/>
    </xf>
    <xf numFmtId="0" fontId="49" fillId="14" borderId="54" xfId="0" applyFont="1" applyFill="1" applyBorder="1" applyAlignment="1" applyProtection="1">
      <alignment horizontal="center" vertical="center"/>
      <protection locked="0"/>
    </xf>
    <xf numFmtId="0" fontId="49" fillId="14" borderId="81" xfId="0" applyFont="1" applyFill="1" applyBorder="1" applyAlignment="1" applyProtection="1">
      <alignment horizontal="center" vertical="center"/>
      <protection locked="0"/>
    </xf>
    <xf numFmtId="0" fontId="24" fillId="14" borderId="97" xfId="0" applyNumberFormat="1" applyFont="1" applyFill="1" applyBorder="1" applyAlignment="1" applyProtection="1">
      <alignment horizontal="center" vertical="center" wrapText="1"/>
      <protection locked="0"/>
    </xf>
    <xf numFmtId="0" fontId="18" fillId="2" borderId="14" xfId="0" applyFont="1" applyFill="1" applyBorder="1" applyProtection="1">
      <alignment vertical="center"/>
    </xf>
    <xf numFmtId="0" fontId="18" fillId="2" borderId="15" xfId="0" applyFont="1" applyFill="1" applyBorder="1" applyAlignment="1" applyProtection="1">
      <alignment horizontal="center" vertical="center"/>
    </xf>
    <xf numFmtId="0" fontId="49" fillId="2" borderId="14" xfId="0" applyFont="1" applyFill="1" applyBorder="1" applyAlignment="1" applyProtection="1">
      <alignment horizontal="center" vertical="center"/>
    </xf>
    <xf numFmtId="0" fontId="49" fillId="2" borderId="7" xfId="0" applyNumberFormat="1" applyFont="1" applyFill="1" applyBorder="1" applyAlignment="1" applyProtection="1">
      <alignment horizontal="center" vertical="center"/>
    </xf>
    <xf numFmtId="0" fontId="49" fillId="2" borderId="16" xfId="0" applyFont="1" applyFill="1" applyBorder="1" applyAlignment="1" applyProtection="1">
      <alignment horizontal="center" vertical="center"/>
    </xf>
    <xf numFmtId="0" fontId="49" fillId="0" borderId="7" xfId="0" applyFont="1" applyFill="1" applyBorder="1" applyAlignment="1" applyProtection="1">
      <alignment horizontal="center" vertical="center"/>
      <protection locked="0"/>
    </xf>
    <xf numFmtId="0" fontId="49" fillId="2" borderId="7" xfId="0" applyNumberFormat="1" applyFont="1" applyFill="1" applyBorder="1" applyAlignment="1" applyProtection="1">
      <alignment horizontal="center" vertical="center" wrapText="1"/>
    </xf>
    <xf numFmtId="0" fontId="73" fillId="0" borderId="7" xfId="0" applyNumberFormat="1" applyFont="1" applyFill="1" applyBorder="1" applyAlignment="1" applyProtection="1">
      <alignment horizontal="center" vertical="center"/>
      <protection locked="0"/>
    </xf>
    <xf numFmtId="0" fontId="16" fillId="2" borderId="7" xfId="0" applyFont="1" applyFill="1" applyBorder="1" applyProtection="1">
      <alignment vertical="center"/>
    </xf>
    <xf numFmtId="0" fontId="73" fillId="10" borderId="7" xfId="0" applyFont="1" applyFill="1" applyBorder="1" applyProtection="1">
      <alignment vertical="center"/>
      <protection locked="0"/>
    </xf>
    <xf numFmtId="0" fontId="49" fillId="10" borderId="7" xfId="0" applyFont="1" applyFill="1" applyBorder="1" applyProtection="1">
      <alignment vertical="center"/>
      <protection locked="0"/>
    </xf>
    <xf numFmtId="0" fontId="18" fillId="2" borderId="14" xfId="0" applyFont="1" applyFill="1" applyBorder="1" applyAlignment="1" applyProtection="1">
      <alignment horizontal="center" vertical="center"/>
    </xf>
    <xf numFmtId="0" fontId="49" fillId="10" borderId="7" xfId="0" applyFont="1" applyFill="1" applyBorder="1" applyAlignment="1" applyProtection="1">
      <alignment vertical="center"/>
      <protection locked="0"/>
    </xf>
    <xf numFmtId="0" fontId="49" fillId="10" borderId="0" xfId="0" applyFont="1" applyFill="1" applyAlignment="1" applyProtection="1">
      <alignment horizontal="center" vertical="center" wrapText="1"/>
      <protection locked="0"/>
    </xf>
    <xf numFmtId="0" fontId="73" fillId="10" borderId="0" xfId="0" applyFont="1" applyFill="1" applyProtection="1">
      <alignment vertical="center"/>
      <protection locked="0"/>
    </xf>
    <xf numFmtId="0" fontId="3" fillId="0" borderId="0" xfId="59" applyFont="1" applyAlignment="1">
      <alignment horizontal="left"/>
    </xf>
    <xf numFmtId="0" fontId="3" fillId="0" borderId="0" xfId="59" applyFont="1" applyAlignment="1">
      <alignment horizontal="right"/>
    </xf>
    <xf numFmtId="0" fontId="76" fillId="0" borderId="0" xfId="59" applyFont="1" applyAlignment="1">
      <alignment horizontal="left"/>
    </xf>
    <xf numFmtId="0" fontId="76" fillId="0" borderId="0" xfId="59" applyFont="1" applyFill="1" applyAlignment="1" applyProtection="1">
      <alignment horizontal="left"/>
      <protection locked="0"/>
    </xf>
    <xf numFmtId="0" fontId="76" fillId="0" borderId="0" xfId="59" applyFont="1" applyAlignment="1" applyProtection="1">
      <alignment horizontal="left"/>
      <protection locked="0"/>
    </xf>
    <xf numFmtId="0" fontId="77" fillId="0" borderId="0" xfId="59" applyFont="1" applyAlignment="1" applyProtection="1">
      <alignment horizontal="left"/>
      <protection locked="0"/>
    </xf>
    <xf numFmtId="0" fontId="77" fillId="0" borderId="0" xfId="59" applyFont="1" applyAlignment="1" applyProtection="1">
      <alignment horizontal="left" vertical="center"/>
      <protection locked="0"/>
    </xf>
    <xf numFmtId="49" fontId="78" fillId="2" borderId="39" xfId="59" applyNumberFormat="1" applyFont="1" applyFill="1" applyBorder="1" applyAlignment="1" applyProtection="1"/>
    <xf numFmtId="0" fontId="56" fillId="2" borderId="0" xfId="59" applyFont="1" applyFill="1" applyAlignment="1" applyProtection="1">
      <alignment horizontal="center" vertical="center"/>
    </xf>
    <xf numFmtId="0" fontId="24" fillId="2" borderId="0" xfId="59" applyFont="1" applyFill="1" applyBorder="1" applyAlignment="1" applyProtection="1">
      <alignment vertical="center"/>
    </xf>
    <xf numFmtId="49" fontId="54" fillId="2" borderId="0" xfId="59" applyNumberFormat="1" applyFont="1" applyFill="1" applyBorder="1" applyAlignment="1" applyProtection="1">
      <alignment horizontal="center"/>
    </xf>
    <xf numFmtId="0" fontId="54" fillId="2" borderId="0" xfId="59" applyNumberFormat="1" applyFont="1" applyFill="1" applyBorder="1" applyAlignment="1" applyProtection="1">
      <alignment horizontal="center"/>
    </xf>
    <xf numFmtId="0" fontId="54" fillId="0" borderId="0" xfId="59" applyNumberFormat="1" applyFont="1" applyFill="1" applyBorder="1" applyAlignment="1" applyProtection="1">
      <alignment horizontal="center"/>
      <protection locked="0"/>
    </xf>
    <xf numFmtId="0" fontId="48" fillId="2" borderId="7" xfId="57" applyFont="1" applyFill="1" applyBorder="1" applyAlignment="1" applyProtection="1">
      <alignment vertical="center"/>
    </xf>
    <xf numFmtId="178" fontId="74" fillId="2" borderId="7" xfId="59" applyNumberFormat="1" applyFont="1" applyFill="1" applyBorder="1" applyAlignment="1" applyProtection="1">
      <alignment horizontal="right" vertical="center"/>
    </xf>
    <xf numFmtId="49" fontId="24" fillId="2" borderId="0" xfId="59" applyNumberFormat="1" applyFont="1" applyFill="1" applyBorder="1" applyAlignment="1" applyProtection="1"/>
    <xf numFmtId="49" fontId="48" fillId="2" borderId="0" xfId="59" applyNumberFormat="1" applyFont="1" applyFill="1" applyBorder="1" applyAlignment="1" applyProtection="1"/>
    <xf numFmtId="49" fontId="48" fillId="0" borderId="0" xfId="59" applyNumberFormat="1" applyFont="1" applyFill="1" applyBorder="1" applyAlignment="1" applyProtection="1">
      <protection locked="0"/>
    </xf>
    <xf numFmtId="0" fontId="3" fillId="0" borderId="0" xfId="59" applyFont="1" applyAlignment="1" applyProtection="1">
      <alignment horizontal="left"/>
      <protection locked="0"/>
    </xf>
    <xf numFmtId="0" fontId="48" fillId="2" borderId="12" xfId="57" applyFont="1" applyFill="1" applyBorder="1" applyAlignment="1" applyProtection="1">
      <alignment vertical="center"/>
    </xf>
    <xf numFmtId="0" fontId="74" fillId="2" borderId="12" xfId="59" applyFont="1" applyFill="1" applyBorder="1" applyAlignment="1" applyProtection="1">
      <alignment horizontal="right" vertical="center"/>
    </xf>
    <xf numFmtId="0" fontId="3" fillId="2" borderId="7" xfId="59" applyFont="1" applyFill="1" applyBorder="1" applyAlignment="1" applyProtection="1">
      <alignment vertical="center"/>
    </xf>
    <xf numFmtId="0" fontId="24" fillId="0" borderId="7" xfId="59" applyFont="1" applyFill="1" applyBorder="1" applyAlignment="1" applyProtection="1">
      <alignment horizontal="left" vertical="center"/>
      <protection locked="0"/>
    </xf>
    <xf numFmtId="0" fontId="4" fillId="2" borderId="0" xfId="57" applyFont="1" applyFill="1" applyBorder="1" applyAlignment="1" applyProtection="1">
      <alignment vertical="center"/>
    </xf>
    <xf numFmtId="0" fontId="49" fillId="0" borderId="10" xfId="59" applyFont="1" applyFill="1" applyBorder="1" applyAlignment="1" applyProtection="1">
      <alignment horizontal="left" vertical="center"/>
      <protection locked="0"/>
    </xf>
    <xf numFmtId="0" fontId="3" fillId="2" borderId="69" xfId="59" applyFont="1" applyFill="1" applyBorder="1" applyAlignment="1" applyProtection="1">
      <alignment vertical="center"/>
    </xf>
    <xf numFmtId="0" fontId="16" fillId="2" borderId="96" xfId="59" applyFont="1" applyFill="1" applyBorder="1" applyAlignment="1">
      <alignment horizontal="left" vertical="center"/>
    </xf>
    <xf numFmtId="0" fontId="16" fillId="2" borderId="77" xfId="59" applyFont="1" applyFill="1" applyBorder="1" applyAlignment="1">
      <alignment horizontal="left" vertical="center"/>
    </xf>
    <xf numFmtId="0" fontId="16" fillId="2" borderId="99" xfId="59" applyFont="1" applyFill="1" applyBorder="1" applyAlignment="1">
      <alignment horizontal="left" vertical="center"/>
    </xf>
    <xf numFmtId="0" fontId="48" fillId="0" borderId="82" xfId="59" applyFont="1" applyFill="1" applyBorder="1" applyAlignment="1" applyProtection="1">
      <alignment horizontal="left" vertical="center"/>
      <protection locked="0"/>
    </xf>
    <xf numFmtId="0" fontId="48" fillId="2" borderId="77" xfId="59" applyFont="1" applyFill="1" applyBorder="1" applyAlignment="1">
      <alignment vertical="center"/>
    </xf>
    <xf numFmtId="0" fontId="48" fillId="2" borderId="92" xfId="59" applyFont="1" applyFill="1" applyBorder="1" applyAlignment="1">
      <alignment vertical="center"/>
    </xf>
    <xf numFmtId="0" fontId="48" fillId="0" borderId="0" xfId="59" applyFont="1" applyFill="1" applyBorder="1" applyAlignment="1" applyProtection="1">
      <alignment vertical="center"/>
      <protection locked="0"/>
    </xf>
    <xf numFmtId="0" fontId="48" fillId="2" borderId="103" xfId="59" applyFont="1" applyFill="1" applyBorder="1" applyAlignment="1">
      <alignment horizontal="left" vertical="center"/>
    </xf>
    <xf numFmtId="0" fontId="48" fillId="2" borderId="39" xfId="59" applyFont="1" applyFill="1" applyBorder="1" applyAlignment="1">
      <alignment horizontal="left" vertical="center"/>
    </xf>
    <xf numFmtId="0" fontId="48" fillId="2" borderId="59" xfId="59" applyFont="1" applyFill="1" applyBorder="1" applyAlignment="1">
      <alignment horizontal="left" vertical="center"/>
    </xf>
    <xf numFmtId="178" fontId="48" fillId="2" borderId="58" xfId="59" applyNumberFormat="1" applyFont="1" applyFill="1" applyBorder="1" applyAlignment="1">
      <alignment horizontal="left" vertical="center"/>
    </xf>
    <xf numFmtId="10" fontId="48" fillId="2" borderId="39" xfId="59" applyNumberFormat="1" applyFont="1" applyFill="1" applyBorder="1" applyAlignment="1">
      <alignment horizontal="left" vertical="center"/>
    </xf>
    <xf numFmtId="178" fontId="48" fillId="2" borderId="95" xfId="59" applyNumberFormat="1" applyFont="1" applyFill="1" applyBorder="1" applyAlignment="1">
      <alignment horizontal="left" vertical="center"/>
    </xf>
    <xf numFmtId="178" fontId="48" fillId="0" borderId="0" xfId="59" applyNumberFormat="1" applyFont="1" applyFill="1" applyBorder="1" applyAlignment="1" applyProtection="1">
      <alignment horizontal="left" vertical="center"/>
      <protection locked="0"/>
    </xf>
    <xf numFmtId="0" fontId="48" fillId="2" borderId="6" xfId="59" applyFont="1" applyFill="1" applyBorder="1" applyAlignment="1">
      <alignment horizontal="left" vertical="center"/>
    </xf>
    <xf numFmtId="0" fontId="48" fillId="2" borderId="13" xfId="59" applyFont="1" applyFill="1" applyBorder="1" applyAlignment="1">
      <alignment horizontal="left" vertical="center"/>
    </xf>
    <xf numFmtId="0" fontId="48" fillId="2" borderId="14" xfId="59" applyFont="1" applyFill="1" applyBorder="1" applyAlignment="1">
      <alignment horizontal="left" vertical="center"/>
    </xf>
    <xf numFmtId="178" fontId="48" fillId="2" borderId="7" xfId="59" applyNumberFormat="1" applyFont="1" applyFill="1" applyBorder="1" applyAlignment="1">
      <alignment horizontal="left" vertical="center"/>
    </xf>
    <xf numFmtId="0" fontId="48" fillId="2" borderId="7" xfId="59" applyFont="1" applyFill="1" applyBorder="1" applyAlignment="1">
      <alignment horizontal="left" vertical="center"/>
    </xf>
    <xf numFmtId="0" fontId="48" fillId="2" borderId="8" xfId="59" applyFont="1" applyFill="1" applyBorder="1" applyAlignment="1">
      <alignment horizontal="left" vertical="center"/>
    </xf>
    <xf numFmtId="0" fontId="4" fillId="0" borderId="0" xfId="59" applyFont="1" applyFill="1" applyBorder="1" applyAlignment="1" applyProtection="1">
      <alignment horizontal="left" vertical="center"/>
      <protection locked="0"/>
    </xf>
    <xf numFmtId="9" fontId="48" fillId="0" borderId="7" xfId="59" applyNumberFormat="1" applyFont="1" applyFill="1" applyBorder="1" applyAlignment="1" applyProtection="1">
      <alignment horizontal="left" vertical="center"/>
      <protection locked="0"/>
    </xf>
    <xf numFmtId="0" fontId="48" fillId="2" borderId="8" xfId="59" applyFont="1" applyFill="1" applyBorder="1" applyAlignment="1">
      <alignment vertical="center"/>
    </xf>
    <xf numFmtId="0" fontId="48" fillId="0" borderId="0" xfId="59" applyFont="1" applyFill="1" applyBorder="1" applyAlignment="1" applyProtection="1">
      <alignment horizontal="left" vertical="center"/>
      <protection locked="0"/>
    </xf>
    <xf numFmtId="187" fontId="48" fillId="2" borderId="7" xfId="59" applyNumberFormat="1" applyFont="1" applyFill="1" applyBorder="1" applyAlignment="1">
      <alignment horizontal="left" vertical="center"/>
    </xf>
    <xf numFmtId="49" fontId="24" fillId="2" borderId="6" xfId="59" applyNumberFormat="1" applyFont="1" applyFill="1" applyBorder="1" applyAlignment="1">
      <alignment horizontal="left" vertical="center"/>
    </xf>
    <xf numFmtId="0" fontId="24" fillId="2" borderId="13" xfId="59" applyFont="1" applyFill="1" applyBorder="1" applyAlignment="1">
      <alignment horizontal="left" vertical="center"/>
    </xf>
    <xf numFmtId="0" fontId="24" fillId="2" borderId="14" xfId="59" applyFont="1" applyFill="1" applyBorder="1" applyAlignment="1">
      <alignment horizontal="left" vertical="center"/>
    </xf>
    <xf numFmtId="178" fontId="24" fillId="2" borderId="7" xfId="59" applyNumberFormat="1" applyFont="1" applyFill="1" applyBorder="1" applyAlignment="1">
      <alignment horizontal="left" vertical="center"/>
    </xf>
    <xf numFmtId="187" fontId="24" fillId="2" borderId="7" xfId="59" applyNumberFormat="1" applyFont="1" applyFill="1" applyBorder="1" applyAlignment="1">
      <alignment horizontal="left" vertical="center"/>
    </xf>
    <xf numFmtId="0" fontId="3" fillId="2" borderId="14" xfId="59" applyFont="1" applyFill="1" applyBorder="1" applyAlignment="1">
      <alignment horizontal="right" vertical="center"/>
    </xf>
    <xf numFmtId="189" fontId="24" fillId="0" borderId="7" xfId="59" applyNumberFormat="1" applyFont="1" applyFill="1" applyBorder="1" applyAlignment="1" applyProtection="1">
      <alignment horizontal="left" vertical="center"/>
      <protection locked="0"/>
    </xf>
    <xf numFmtId="187" fontId="24" fillId="2" borderId="14" xfId="59" applyNumberFormat="1" applyFont="1" applyFill="1" applyBorder="1" applyAlignment="1">
      <alignment horizontal="right" vertical="center"/>
    </xf>
    <xf numFmtId="183" fontId="24" fillId="0" borderId="7" xfId="59" applyNumberFormat="1" applyFont="1" applyFill="1" applyBorder="1" applyAlignment="1" applyProtection="1">
      <alignment horizontal="left" vertical="center"/>
      <protection locked="0"/>
    </xf>
    <xf numFmtId="178" fontId="24" fillId="0" borderId="7" xfId="59" applyNumberFormat="1" applyFont="1" applyFill="1" applyBorder="1" applyAlignment="1" applyProtection="1">
      <alignment horizontal="left" vertical="center"/>
      <protection locked="0"/>
    </xf>
    <xf numFmtId="187" fontId="24" fillId="0" borderId="7" xfId="59" applyNumberFormat="1" applyFont="1" applyFill="1" applyBorder="1" applyAlignment="1" applyProtection="1">
      <alignment horizontal="left" vertical="center"/>
      <protection locked="0"/>
    </xf>
    <xf numFmtId="0" fontId="48" fillId="2" borderId="9" xfId="59" applyFont="1" applyFill="1" applyBorder="1" applyAlignment="1">
      <alignment horizontal="left" vertical="center"/>
    </xf>
    <xf numFmtId="0" fontId="48" fillId="2" borderId="56" xfId="59" applyFont="1" applyFill="1" applyBorder="1" applyAlignment="1">
      <alignment horizontal="left" vertical="center"/>
    </xf>
    <xf numFmtId="0" fontId="48" fillId="2" borderId="87" xfId="59" applyFont="1" applyFill="1" applyBorder="1" applyAlignment="1">
      <alignment horizontal="left" vertical="center"/>
    </xf>
    <xf numFmtId="178" fontId="48" fillId="2" borderId="10" xfId="59" applyNumberFormat="1" applyFont="1" applyFill="1" applyBorder="1" applyAlignment="1">
      <alignment horizontal="left" vertical="center"/>
    </xf>
    <xf numFmtId="187" fontId="48" fillId="0" borderId="10" xfId="59" applyNumberFormat="1" applyFont="1" applyFill="1" applyBorder="1" applyAlignment="1" applyProtection="1">
      <alignment horizontal="left" vertical="center"/>
      <protection locked="0"/>
    </xf>
    <xf numFmtId="0" fontId="48" fillId="2" borderId="11" xfId="59" applyFont="1" applyFill="1" applyBorder="1" applyAlignment="1">
      <alignment vertical="center"/>
    </xf>
    <xf numFmtId="9" fontId="48" fillId="0" borderId="0" xfId="59" applyNumberFormat="1" applyFont="1" applyFill="1" applyBorder="1" applyAlignment="1" applyProtection="1">
      <alignment horizontal="left" vertical="center"/>
      <protection locked="0"/>
    </xf>
    <xf numFmtId="178" fontId="48" fillId="2" borderId="39" xfId="59" applyNumberFormat="1" applyFont="1" applyFill="1" applyBorder="1" applyAlignment="1">
      <alignment horizontal="left" vertical="center"/>
    </xf>
    <xf numFmtId="187" fontId="48" fillId="0" borderId="39" xfId="59" applyNumberFormat="1" applyFont="1" applyFill="1" applyBorder="1" applyAlignment="1" applyProtection="1">
      <alignment horizontal="left" vertical="center"/>
      <protection locked="0"/>
    </xf>
    <xf numFmtId="0" fontId="48" fillId="2" borderId="75" xfId="59" applyFont="1" applyFill="1" applyBorder="1" applyAlignment="1">
      <alignment vertical="center"/>
    </xf>
    <xf numFmtId="0" fontId="48" fillId="2" borderId="96" xfId="59" applyFont="1" applyFill="1" applyBorder="1" applyAlignment="1">
      <alignment vertical="center"/>
    </xf>
    <xf numFmtId="0" fontId="48" fillId="2" borderId="95" xfId="59" applyFont="1" applyFill="1" applyBorder="1" applyAlignment="1">
      <alignment horizontal="left" vertical="center"/>
    </xf>
    <xf numFmtId="0" fontId="48" fillId="2" borderId="140" xfId="59" applyFont="1" applyFill="1" applyBorder="1" applyAlignment="1">
      <alignment horizontal="left" vertical="center"/>
    </xf>
    <xf numFmtId="0" fontId="79" fillId="0" borderId="13" xfId="59" applyFont="1" applyFill="1" applyBorder="1" applyAlignment="1" applyProtection="1">
      <alignment horizontal="left" vertical="center"/>
      <protection locked="0"/>
    </xf>
    <xf numFmtId="0" fontId="79" fillId="0" borderId="140" xfId="59" applyFont="1" applyFill="1" applyBorder="1" applyAlignment="1" applyProtection="1">
      <alignment horizontal="left" vertical="center"/>
      <protection locked="0"/>
    </xf>
    <xf numFmtId="0" fontId="79" fillId="0" borderId="14" xfId="59" applyFont="1" applyFill="1" applyBorder="1" applyAlignment="1" applyProtection="1">
      <alignment horizontal="left" vertical="center"/>
      <protection locked="0"/>
    </xf>
    <xf numFmtId="0" fontId="24" fillId="0" borderId="0" xfId="59" applyFont="1" applyFill="1" applyBorder="1" applyAlignment="1" applyProtection="1">
      <alignment horizontal="left" vertical="center"/>
      <protection locked="0"/>
    </xf>
    <xf numFmtId="0" fontId="24" fillId="2" borderId="71" xfId="59" applyFont="1" applyFill="1" applyBorder="1" applyAlignment="1">
      <alignment horizontal="left" vertical="center"/>
    </xf>
    <xf numFmtId="0" fontId="24" fillId="2" borderId="7" xfId="59" applyFont="1" applyFill="1" applyBorder="1" applyAlignment="1">
      <alignment horizontal="left" vertical="center"/>
    </xf>
    <xf numFmtId="178" fontId="24" fillId="2" borderId="13" xfId="59" applyNumberFormat="1" applyFont="1" applyFill="1" applyBorder="1" applyAlignment="1">
      <alignment horizontal="left" vertical="center"/>
    </xf>
    <xf numFmtId="178" fontId="24" fillId="2" borderId="140" xfId="59" applyNumberFormat="1" applyFont="1" applyFill="1" applyBorder="1" applyAlignment="1">
      <alignment horizontal="left" vertical="center"/>
    </xf>
    <xf numFmtId="178" fontId="24" fillId="2" borderId="14" xfId="59" applyNumberFormat="1" applyFont="1" applyFill="1" applyBorder="1" applyAlignment="1">
      <alignment horizontal="left" vertical="center"/>
    </xf>
    <xf numFmtId="0" fontId="24" fillId="2" borderId="8" xfId="59" applyFont="1" applyFill="1" applyBorder="1" applyAlignment="1">
      <alignment horizontal="left" vertical="center"/>
    </xf>
    <xf numFmtId="0" fontId="24" fillId="0" borderId="0" xfId="59" applyFont="1" applyFill="1" applyBorder="1" applyAlignment="1" applyProtection="1">
      <alignment horizontal="right" vertical="center"/>
      <protection locked="0"/>
    </xf>
    <xf numFmtId="0" fontId="24" fillId="2" borderId="71" xfId="59" applyFont="1" applyFill="1" applyBorder="1" applyAlignment="1">
      <alignment horizontal="right" vertical="center"/>
    </xf>
    <xf numFmtId="0" fontId="24" fillId="2" borderId="7" xfId="59" applyFont="1" applyFill="1" applyBorder="1" applyAlignment="1">
      <alignment horizontal="right" vertical="center"/>
    </xf>
    <xf numFmtId="178" fontId="24" fillId="2" borderId="13" xfId="59" applyNumberFormat="1" applyFont="1" applyFill="1" applyBorder="1" applyAlignment="1">
      <alignment horizontal="right" vertical="center"/>
    </xf>
    <xf numFmtId="187" fontId="24" fillId="0" borderId="140" xfId="59" applyNumberFormat="1" applyFont="1" applyFill="1" applyBorder="1" applyAlignment="1" applyProtection="1">
      <alignment horizontal="right" vertical="center"/>
      <protection locked="0"/>
    </xf>
    <xf numFmtId="187" fontId="24" fillId="0" borderId="14" xfId="59" applyNumberFormat="1" applyFont="1" applyFill="1" applyBorder="1" applyAlignment="1" applyProtection="1">
      <alignment horizontal="right" vertical="center"/>
      <protection locked="0"/>
    </xf>
    <xf numFmtId="0" fontId="24" fillId="2" borderId="8" xfId="59" applyFont="1" applyFill="1" applyBorder="1" applyAlignment="1">
      <alignment horizontal="right" vertical="center"/>
    </xf>
    <xf numFmtId="187" fontId="24" fillId="2" borderId="13" xfId="59" applyNumberFormat="1" applyFont="1" applyFill="1" applyBorder="1" applyAlignment="1">
      <alignment horizontal="right" vertical="center"/>
    </xf>
    <xf numFmtId="0" fontId="3" fillId="0" borderId="0" xfId="59" applyFont="1" applyAlignment="1" applyProtection="1">
      <alignment horizontal="right"/>
      <protection locked="0"/>
    </xf>
    <xf numFmtId="187" fontId="24" fillId="2" borderId="140" xfId="59" applyNumberFormat="1" applyFont="1" applyFill="1" applyBorder="1" applyAlignment="1">
      <alignment horizontal="right" vertical="center"/>
    </xf>
    <xf numFmtId="187" fontId="24" fillId="0" borderId="13" xfId="59" applyNumberFormat="1" applyFont="1" applyFill="1" applyBorder="1" applyAlignment="1" applyProtection="1">
      <alignment horizontal="right" vertical="center"/>
      <protection locked="0"/>
    </xf>
    <xf numFmtId="0" fontId="24" fillId="2" borderId="140" xfId="59" applyFont="1" applyFill="1" applyBorder="1" applyAlignment="1">
      <alignment horizontal="left" vertical="center"/>
    </xf>
    <xf numFmtId="10" fontId="24" fillId="0" borderId="13" xfId="59" applyNumberFormat="1" applyFont="1" applyFill="1" applyBorder="1" applyAlignment="1" applyProtection="1">
      <alignment horizontal="left" vertical="center"/>
      <protection locked="0"/>
    </xf>
    <xf numFmtId="10" fontId="24" fillId="0" borderId="140" xfId="59" applyNumberFormat="1" applyFont="1" applyFill="1" applyBorder="1" applyAlignment="1" applyProtection="1">
      <alignment horizontal="left" vertical="center"/>
      <protection locked="0"/>
    </xf>
    <xf numFmtId="10" fontId="24" fillId="0" borderId="14" xfId="59" applyNumberFormat="1" applyFont="1" applyFill="1" applyBorder="1" applyAlignment="1" applyProtection="1">
      <alignment horizontal="left" vertical="center"/>
      <protection locked="0"/>
    </xf>
    <xf numFmtId="187" fontId="24" fillId="0" borderId="13" xfId="59" applyNumberFormat="1" applyFont="1" applyFill="1" applyBorder="1" applyAlignment="1" applyProtection="1">
      <alignment horizontal="left" vertical="center"/>
      <protection locked="0"/>
    </xf>
    <xf numFmtId="187" fontId="24" fillId="0" borderId="140" xfId="59" applyNumberFormat="1" applyFont="1" applyFill="1" applyBorder="1" applyAlignment="1" applyProtection="1">
      <alignment horizontal="left" vertical="center"/>
      <protection locked="0"/>
    </xf>
    <xf numFmtId="187" fontId="24" fillId="0" borderId="14" xfId="59" applyNumberFormat="1" applyFont="1" applyFill="1" applyBorder="1" applyAlignment="1" applyProtection="1">
      <alignment horizontal="left" vertical="center"/>
      <protection locked="0"/>
    </xf>
    <xf numFmtId="189" fontId="24" fillId="0" borderId="0" xfId="59" applyNumberFormat="1" applyFont="1" applyFill="1" applyBorder="1" applyAlignment="1" applyProtection="1">
      <alignment horizontal="left" vertical="center"/>
      <protection locked="0"/>
    </xf>
    <xf numFmtId="0" fontId="24" fillId="2" borderId="10" xfId="59" applyFont="1" applyFill="1" applyBorder="1" applyAlignment="1">
      <alignment horizontal="left" vertical="center"/>
    </xf>
    <xf numFmtId="189" fontId="24" fillId="0" borderId="56" xfId="59" applyNumberFormat="1" applyFont="1" applyFill="1" applyBorder="1" applyAlignment="1" applyProtection="1">
      <alignment horizontal="left" vertical="center"/>
      <protection locked="0"/>
    </xf>
    <xf numFmtId="189" fontId="24" fillId="0" borderId="141" xfId="59" applyNumberFormat="1" applyFont="1" applyFill="1" applyBorder="1" applyAlignment="1" applyProtection="1">
      <alignment horizontal="left" vertical="center"/>
      <protection locked="0"/>
    </xf>
    <xf numFmtId="189" fontId="24" fillId="0" borderId="87" xfId="59" applyNumberFormat="1" applyFont="1" applyFill="1" applyBorder="1" applyAlignment="1" applyProtection="1">
      <alignment horizontal="left" vertical="center"/>
      <protection locked="0"/>
    </xf>
    <xf numFmtId="189" fontId="24" fillId="2" borderId="8" xfId="59" applyNumberFormat="1" applyFont="1" applyFill="1" applyBorder="1" applyAlignment="1">
      <alignment horizontal="left" vertical="center"/>
    </xf>
    <xf numFmtId="0" fontId="24" fillId="0" borderId="0" xfId="59" applyFont="1" applyFill="1" applyBorder="1" applyAlignment="1" applyProtection="1">
      <alignment horizontal="left"/>
      <protection locked="0"/>
    </xf>
    <xf numFmtId="0" fontId="24" fillId="2" borderId="6" xfId="59" applyFont="1" applyFill="1" applyBorder="1" applyAlignment="1">
      <alignment horizontal="left" vertical="center"/>
    </xf>
    <xf numFmtId="178" fontId="24" fillId="2" borderId="7" xfId="59" applyNumberFormat="1" applyFont="1" applyFill="1" applyBorder="1" applyAlignment="1">
      <alignment horizontal="left"/>
    </xf>
    <xf numFmtId="0" fontId="24" fillId="2" borderId="7" xfId="59" applyFont="1" applyFill="1" applyBorder="1" applyAlignment="1">
      <alignment horizontal="left"/>
    </xf>
    <xf numFmtId="0" fontId="24" fillId="2" borderId="8" xfId="59" applyFont="1" applyFill="1" applyBorder="1" applyAlignment="1">
      <alignment horizontal="left"/>
    </xf>
    <xf numFmtId="0" fontId="24" fillId="2" borderId="9" xfId="59" applyFont="1" applyFill="1" applyBorder="1" applyAlignment="1">
      <alignment horizontal="left" vertical="center"/>
    </xf>
    <xf numFmtId="178" fontId="24" fillId="2" borderId="10" xfId="59" applyNumberFormat="1" applyFont="1" applyFill="1" applyBorder="1" applyAlignment="1">
      <alignment horizontal="left" vertical="center"/>
    </xf>
    <xf numFmtId="0" fontId="24" fillId="2" borderId="10" xfId="59" applyFont="1" applyFill="1" applyBorder="1" applyAlignment="1">
      <alignment horizontal="left"/>
    </xf>
    <xf numFmtId="0" fontId="24" fillId="2" borderId="11" xfId="59" applyFont="1" applyFill="1" applyBorder="1" applyAlignment="1">
      <alignment horizontal="left" vertical="center"/>
    </xf>
    <xf numFmtId="0" fontId="3" fillId="0" borderId="0" xfId="59" applyFont="1" applyFill="1" applyAlignment="1" applyProtection="1">
      <alignment horizontal="left"/>
      <protection locked="0"/>
    </xf>
    <xf numFmtId="0" fontId="48" fillId="3" borderId="85" xfId="59" applyFont="1" applyFill="1" applyBorder="1" applyAlignment="1" applyProtection="1">
      <alignment vertical="center"/>
      <protection locked="0"/>
    </xf>
    <xf numFmtId="0" fontId="48" fillId="3" borderId="63" xfId="59" applyFont="1" applyFill="1" applyBorder="1" applyAlignment="1" applyProtection="1">
      <alignment vertical="center"/>
      <protection locked="0"/>
    </xf>
    <xf numFmtId="0" fontId="24" fillId="0" borderId="0" xfId="59" applyFont="1" applyAlignment="1" applyProtection="1">
      <alignment horizontal="left"/>
      <protection locked="0"/>
    </xf>
    <xf numFmtId="0" fontId="48" fillId="15" borderId="103" xfId="59" applyFont="1" applyFill="1" applyBorder="1" applyAlignment="1" applyProtection="1">
      <alignment vertical="center"/>
      <protection locked="0"/>
    </xf>
    <xf numFmtId="0" fontId="48" fillId="15" borderId="59" xfId="59" applyFont="1" applyFill="1" applyBorder="1" applyAlignment="1" applyProtection="1">
      <alignment vertical="center"/>
      <protection locked="0"/>
    </xf>
    <xf numFmtId="0" fontId="48" fillId="0" borderId="7" xfId="59" applyFont="1" applyFill="1" applyBorder="1" applyAlignment="1" applyProtection="1">
      <alignment horizontal="left" vertical="center"/>
      <protection locked="0"/>
    </xf>
    <xf numFmtId="0" fontId="48" fillId="2" borderId="71" xfId="59" applyFont="1" applyFill="1" applyBorder="1" applyAlignment="1" applyProtection="1">
      <alignment horizontal="left" vertical="center"/>
      <protection locked="0"/>
    </xf>
    <xf numFmtId="0" fontId="48" fillId="2" borderId="14" xfId="59" applyFont="1" applyFill="1" applyBorder="1" applyAlignment="1" applyProtection="1">
      <alignment horizontal="left" vertical="center"/>
      <protection locked="0"/>
    </xf>
    <xf numFmtId="183" fontId="18" fillId="0" borderId="7" xfId="57" applyNumberFormat="1" applyFont="1" applyBorder="1" applyAlignment="1" applyProtection="1">
      <alignment horizontal="left" vertical="center"/>
      <protection locked="0" hidden="1"/>
    </xf>
    <xf numFmtId="0" fontId="24" fillId="0" borderId="12" xfId="59" applyFont="1" applyFill="1" applyBorder="1" applyAlignment="1" applyProtection="1">
      <alignment horizontal="left" vertical="center"/>
      <protection locked="0"/>
    </xf>
    <xf numFmtId="0" fontId="16" fillId="2" borderId="71" xfId="59" applyFont="1" applyFill="1" applyBorder="1" applyAlignment="1" applyProtection="1">
      <alignment vertical="center"/>
      <protection locked="0"/>
    </xf>
    <xf numFmtId="0" fontId="16" fillId="2" borderId="15" xfId="59" applyFont="1" applyFill="1" applyBorder="1" applyAlignment="1" applyProtection="1">
      <alignment vertical="center"/>
      <protection locked="0"/>
    </xf>
    <xf numFmtId="0" fontId="48" fillId="2" borderId="15" xfId="59" applyFont="1" applyFill="1" applyBorder="1" applyAlignment="1" applyProtection="1">
      <alignment vertical="center"/>
      <protection locked="0"/>
    </xf>
    <xf numFmtId="0" fontId="48" fillId="2" borderId="6" xfId="59" applyFont="1" applyFill="1" applyBorder="1" applyAlignment="1" applyProtection="1">
      <alignment horizontal="left" vertical="center" wrapText="1"/>
      <protection locked="0"/>
    </xf>
    <xf numFmtId="0" fontId="48" fillId="2" borderId="12" xfId="59" applyFont="1" applyFill="1" applyBorder="1" applyAlignment="1" applyProtection="1">
      <alignment horizontal="left" vertical="center" wrapText="1"/>
      <protection locked="0"/>
    </xf>
    <xf numFmtId="0" fontId="24" fillId="2" borderId="13" xfId="59" applyFont="1" applyFill="1" applyBorder="1" applyAlignment="1" applyProtection="1">
      <alignment vertical="center"/>
      <protection locked="0"/>
    </xf>
    <xf numFmtId="0" fontId="24" fillId="2" borderId="7" xfId="59" applyFont="1" applyFill="1" applyBorder="1" applyAlignment="1" applyProtection="1">
      <alignment horizontal="left" vertical="center"/>
      <protection locked="0"/>
    </xf>
    <xf numFmtId="0" fontId="48" fillId="2" borderId="52" xfId="59" applyFont="1" applyFill="1" applyBorder="1" applyAlignment="1" applyProtection="1">
      <alignment horizontal="left" vertical="center" wrapText="1"/>
      <protection locked="0"/>
    </xf>
    <xf numFmtId="0" fontId="53" fillId="0" borderId="13" xfId="59" applyFont="1" applyFill="1" applyBorder="1" applyAlignment="1" applyProtection="1">
      <alignment vertical="center"/>
      <protection locked="0"/>
    </xf>
    <xf numFmtId="0" fontId="53" fillId="0" borderId="7" xfId="59" applyFont="1" applyFill="1" applyBorder="1" applyAlignment="1" applyProtection="1">
      <alignment horizontal="left" vertical="center"/>
      <protection locked="0"/>
    </xf>
    <xf numFmtId="9" fontId="53" fillId="0" borderId="7" xfId="59" applyNumberFormat="1" applyFont="1" applyFill="1" applyBorder="1" applyAlignment="1" applyProtection="1">
      <alignment horizontal="left" vertical="center"/>
      <protection locked="0"/>
    </xf>
    <xf numFmtId="0" fontId="48" fillId="2" borderId="16" xfId="59" applyFont="1" applyFill="1" applyBorder="1" applyAlignment="1" applyProtection="1">
      <alignment horizontal="left" vertical="center" wrapText="1"/>
      <protection locked="0"/>
    </xf>
    <xf numFmtId="0" fontId="48" fillId="2" borderId="13" xfId="59" applyFont="1" applyFill="1" applyBorder="1" applyAlignment="1" applyProtection="1">
      <alignment vertical="center"/>
      <protection locked="0"/>
    </xf>
    <xf numFmtId="0" fontId="16" fillId="2" borderId="7" xfId="59" applyFont="1" applyFill="1" applyBorder="1" applyAlignment="1" applyProtection="1">
      <alignment horizontal="left" vertical="center"/>
      <protection locked="0"/>
    </xf>
    <xf numFmtId="9" fontId="48" fillId="2" borderId="7" xfId="59" applyNumberFormat="1" applyFont="1" applyFill="1" applyBorder="1" applyAlignment="1" applyProtection="1">
      <alignment horizontal="left" vertical="center"/>
      <protection locked="0"/>
    </xf>
    <xf numFmtId="0" fontId="24" fillId="0" borderId="13" xfId="59" applyFont="1" applyFill="1" applyBorder="1" applyAlignment="1" applyProtection="1">
      <alignment vertical="center"/>
      <protection locked="0"/>
    </xf>
    <xf numFmtId="0" fontId="18" fillId="0" borderId="7" xfId="59" applyFont="1" applyFill="1" applyBorder="1" applyAlignment="1" applyProtection="1">
      <alignment horizontal="left" vertical="center"/>
      <protection locked="0"/>
    </xf>
    <xf numFmtId="9" fontId="24" fillId="0" borderId="7" xfId="59" applyNumberFormat="1" applyFont="1" applyFill="1" applyBorder="1" applyAlignment="1" applyProtection="1">
      <alignment horizontal="left" vertical="center"/>
      <protection locked="0"/>
    </xf>
    <xf numFmtId="183" fontId="53" fillId="0" borderId="7" xfId="59" applyNumberFormat="1" applyFont="1" applyFill="1" applyBorder="1" applyAlignment="1" applyProtection="1">
      <alignment horizontal="left" vertical="center"/>
      <protection locked="0"/>
    </xf>
    <xf numFmtId="183" fontId="24" fillId="3" borderId="7" xfId="59" applyNumberFormat="1" applyFont="1" applyFill="1" applyBorder="1" applyAlignment="1" applyProtection="1">
      <alignment horizontal="left" vertical="center"/>
      <protection locked="0"/>
    </xf>
    <xf numFmtId="0" fontId="18" fillId="0" borderId="7" xfId="59" applyFont="1" applyFill="1" applyBorder="1" applyAlignment="1" applyProtection="1">
      <alignment horizontal="left" vertical="center" wrapText="1"/>
      <protection locked="0"/>
    </xf>
    <xf numFmtId="0" fontId="48" fillId="2" borderId="13" xfId="59" applyFont="1" applyFill="1" applyBorder="1" applyAlignment="1" applyProtection="1">
      <alignment vertical="center" wrapText="1"/>
      <protection locked="0"/>
    </xf>
    <xf numFmtId="0" fontId="48" fillId="2" borderId="15" xfId="59" applyFont="1" applyFill="1" applyBorder="1" applyAlignment="1" applyProtection="1">
      <alignment vertical="center" wrapText="1"/>
      <protection locked="0"/>
    </xf>
    <xf numFmtId="0" fontId="48" fillId="2" borderId="14" xfId="59" applyFont="1" applyFill="1" applyBorder="1" applyAlignment="1" applyProtection="1">
      <alignment vertical="center" wrapText="1"/>
      <protection locked="0"/>
    </xf>
    <xf numFmtId="0" fontId="16" fillId="2" borderId="57" xfId="59" applyFont="1" applyFill="1" applyBorder="1" applyAlignment="1" applyProtection="1">
      <alignment horizontal="left" vertical="center"/>
      <protection locked="0"/>
    </xf>
    <xf numFmtId="0" fontId="16" fillId="2" borderId="83" xfId="59" applyFont="1" applyFill="1" applyBorder="1" applyAlignment="1" applyProtection="1">
      <alignment vertical="center"/>
      <protection locked="0"/>
    </xf>
    <xf numFmtId="0" fontId="16" fillId="2" borderId="38" xfId="59" applyFont="1" applyFill="1" applyBorder="1" applyAlignment="1" applyProtection="1">
      <alignment vertical="center"/>
      <protection locked="0"/>
    </xf>
    <xf numFmtId="0" fontId="16" fillId="2" borderId="91" xfId="59" applyFont="1" applyFill="1" applyBorder="1" applyAlignment="1" applyProtection="1">
      <alignment vertical="center"/>
      <protection locked="0"/>
    </xf>
    <xf numFmtId="0" fontId="18" fillId="2" borderId="7" xfId="59" applyFont="1" applyFill="1" applyBorder="1" applyAlignment="1" applyProtection="1">
      <alignment horizontal="left" vertical="center"/>
      <protection locked="0"/>
    </xf>
    <xf numFmtId="9" fontId="18" fillId="2" borderId="7" xfId="59" applyNumberFormat="1" applyFont="1" applyFill="1" applyBorder="1" applyAlignment="1" applyProtection="1">
      <alignment horizontal="left" vertical="center"/>
      <protection locked="0"/>
    </xf>
    <xf numFmtId="0" fontId="24" fillId="0" borderId="0" xfId="59" applyFont="1" applyAlignment="1" applyProtection="1">
      <alignment horizontal="right"/>
      <protection locked="0"/>
    </xf>
    <xf numFmtId="0" fontId="16" fillId="2" borderId="100" xfId="59" applyFont="1" applyFill="1" applyBorder="1" applyAlignment="1" applyProtection="1">
      <alignment horizontal="left" vertical="center"/>
      <protection locked="0"/>
    </xf>
    <xf numFmtId="0" fontId="16" fillId="2" borderId="58" xfId="59" applyFont="1" applyFill="1" applyBorder="1" applyAlignment="1" applyProtection="1">
      <alignment vertical="center"/>
      <protection locked="0"/>
    </xf>
    <xf numFmtId="0" fontId="16" fillId="2" borderId="39" xfId="59" applyFont="1" applyFill="1" applyBorder="1" applyAlignment="1" applyProtection="1">
      <alignment vertical="center"/>
      <protection locked="0"/>
    </xf>
    <xf numFmtId="0" fontId="16" fillId="2" borderId="59" xfId="59" applyFont="1" applyFill="1" applyBorder="1" applyAlignment="1" applyProtection="1">
      <alignment vertical="center"/>
      <protection locked="0"/>
    </xf>
    <xf numFmtId="0" fontId="16" fillId="0" borderId="7" xfId="59" applyFont="1" applyFill="1" applyBorder="1" applyAlignment="1" applyProtection="1">
      <alignment horizontal="left" vertical="center"/>
      <protection locked="0"/>
    </xf>
    <xf numFmtId="0" fontId="4" fillId="2" borderId="84" xfId="59" applyFont="1" applyFill="1" applyBorder="1" applyAlignment="1" applyProtection="1">
      <alignment horizontal="left" vertical="center" wrapText="1"/>
      <protection locked="0"/>
    </xf>
    <xf numFmtId="0" fontId="11" fillId="2" borderId="64" xfId="59" applyFont="1" applyFill="1" applyBorder="1" applyAlignment="1" applyProtection="1">
      <alignment vertical="center"/>
      <protection locked="0"/>
    </xf>
    <xf numFmtId="0" fontId="3" fillId="2" borderId="64" xfId="59" applyFont="1" applyFill="1" applyBorder="1" applyAlignment="1" applyProtection="1">
      <alignment vertical="center"/>
      <protection locked="0"/>
    </xf>
    <xf numFmtId="0" fontId="80" fillId="0" borderId="64" xfId="59" applyFill="1" applyBorder="1" applyAlignment="1" applyProtection="1">
      <alignment horizontal="left" vertical="center"/>
      <protection locked="0"/>
    </xf>
    <xf numFmtId="9" fontId="24" fillId="0" borderId="10" xfId="59" applyNumberFormat="1" applyFont="1" applyFill="1" applyBorder="1" applyAlignment="1" applyProtection="1">
      <alignment horizontal="left" vertical="center"/>
      <protection locked="0"/>
    </xf>
    <xf numFmtId="0" fontId="24" fillId="0" borderId="0" xfId="59" applyFont="1" applyFill="1" applyAlignment="1" applyProtection="1">
      <alignment horizontal="left" vertical="center"/>
      <protection locked="0"/>
    </xf>
    <xf numFmtId="0" fontId="4" fillId="2" borderId="64" xfId="59" applyFont="1" applyFill="1" applyBorder="1" applyAlignment="1" applyProtection="1">
      <alignment vertical="center"/>
      <protection locked="0"/>
    </xf>
    <xf numFmtId="0" fontId="48" fillId="3" borderId="81" xfId="59" applyFont="1" applyFill="1" applyBorder="1" applyAlignment="1" applyProtection="1">
      <alignment vertical="center"/>
      <protection locked="0"/>
    </xf>
    <xf numFmtId="0" fontId="24" fillId="0" borderId="0" xfId="59" applyFont="1" applyAlignment="1" applyProtection="1">
      <alignment horizontal="left" vertical="center"/>
      <protection locked="0"/>
    </xf>
    <xf numFmtId="0" fontId="48" fillId="0" borderId="8" xfId="59" applyFont="1" applyFill="1" applyBorder="1" applyAlignment="1" applyProtection="1">
      <alignment horizontal="left" vertical="center"/>
      <protection locked="0"/>
    </xf>
    <xf numFmtId="0" fontId="48" fillId="2" borderId="8" xfId="59" applyFont="1" applyFill="1" applyBorder="1" applyAlignment="1" applyProtection="1">
      <alignment horizontal="left" vertical="center"/>
      <protection locked="0"/>
    </xf>
    <xf numFmtId="183" fontId="18" fillId="0" borderId="8" xfId="57" applyNumberFormat="1" applyFont="1" applyBorder="1" applyAlignment="1" applyProtection="1">
      <alignment horizontal="left" vertical="center"/>
      <protection locked="0" hidden="1"/>
    </xf>
    <xf numFmtId="183" fontId="24" fillId="2" borderId="8" xfId="59" applyNumberFormat="1" applyFont="1" applyFill="1" applyBorder="1" applyAlignment="1" applyProtection="1">
      <alignment horizontal="left" vertical="center"/>
      <protection locked="0"/>
    </xf>
    <xf numFmtId="0" fontId="24" fillId="0" borderId="61" xfId="59" applyFont="1" applyFill="1" applyBorder="1" applyAlignment="1" applyProtection="1">
      <alignment horizontal="left" vertical="center"/>
      <protection locked="0"/>
    </xf>
    <xf numFmtId="0" fontId="24" fillId="2" borderId="61" xfId="59" applyFont="1" applyFill="1" applyBorder="1" applyAlignment="1" applyProtection="1">
      <alignment horizontal="left" vertical="center"/>
      <protection locked="0"/>
    </xf>
    <xf numFmtId="0" fontId="53" fillId="0" borderId="8" xfId="59" applyFont="1" applyFill="1" applyBorder="1" applyAlignment="1" applyProtection="1">
      <alignment horizontal="left" vertical="center"/>
      <protection locked="0"/>
    </xf>
    <xf numFmtId="183" fontId="48" fillId="2" borderId="7" xfId="59" applyNumberFormat="1" applyFont="1" applyFill="1" applyBorder="1" applyAlignment="1" applyProtection="1">
      <alignment horizontal="left" vertical="center"/>
      <protection locked="0"/>
    </xf>
    <xf numFmtId="183" fontId="24" fillId="0" borderId="8" xfId="59" applyNumberFormat="1" applyFont="1" applyFill="1" applyBorder="1" applyAlignment="1" applyProtection="1">
      <alignment horizontal="left" vertical="center"/>
      <protection locked="0"/>
    </xf>
    <xf numFmtId="183" fontId="53" fillId="0" borderId="8" xfId="59" applyNumberFormat="1" applyFont="1" applyFill="1" applyBorder="1" applyAlignment="1" applyProtection="1">
      <alignment horizontal="left" vertical="center"/>
      <protection locked="0"/>
    </xf>
    <xf numFmtId="0" fontId="16" fillId="2" borderId="8" xfId="59" applyFont="1" applyFill="1" applyBorder="1" applyAlignment="1" applyProtection="1">
      <alignment horizontal="left" vertical="center"/>
      <protection locked="0"/>
    </xf>
    <xf numFmtId="0" fontId="18" fillId="0" borderId="8" xfId="59" applyFont="1" applyFill="1" applyBorder="1" applyAlignment="1" applyProtection="1">
      <alignment horizontal="left" vertical="center"/>
      <protection locked="0"/>
    </xf>
    <xf numFmtId="9" fontId="18" fillId="0" borderId="7" xfId="59" applyNumberFormat="1" applyFont="1" applyFill="1" applyBorder="1" applyAlignment="1" applyProtection="1">
      <alignment horizontal="left" vertical="center"/>
      <protection locked="0"/>
    </xf>
    <xf numFmtId="0" fontId="48" fillId="0" borderId="0" xfId="59" applyFont="1" applyFill="1" applyAlignment="1" applyProtection="1">
      <alignment horizontal="left" vertical="center"/>
      <protection locked="0"/>
    </xf>
    <xf numFmtId="9" fontId="16" fillId="0" borderId="7" xfId="59" applyNumberFormat="1" applyFont="1" applyFill="1" applyBorder="1" applyAlignment="1" applyProtection="1">
      <alignment horizontal="left" vertical="center"/>
      <protection locked="0"/>
    </xf>
    <xf numFmtId="187" fontId="18" fillId="0" borderId="10" xfId="59" applyNumberFormat="1" applyFont="1" applyFill="1" applyBorder="1" applyAlignment="1" applyProtection="1">
      <alignment horizontal="left" vertical="center"/>
      <protection locked="0"/>
    </xf>
    <xf numFmtId="0" fontId="81" fillId="0" borderId="72" xfId="59" applyFont="1" applyFill="1" applyBorder="1" applyAlignment="1" applyProtection="1">
      <alignment horizontal="left" vertical="center"/>
      <protection locked="0"/>
    </xf>
    <xf numFmtId="0" fontId="48" fillId="2" borderId="7" xfId="59" applyFont="1" applyFill="1" applyBorder="1" applyAlignment="1" applyProtection="1">
      <alignment horizontal="left" vertical="center"/>
      <protection locked="0"/>
    </xf>
    <xf numFmtId="183" fontId="24" fillId="2" borderId="7" xfId="59" applyNumberFormat="1" applyFont="1" applyFill="1" applyBorder="1" applyAlignment="1" applyProtection="1">
      <alignment horizontal="left" vertical="center"/>
      <protection locked="0"/>
    </xf>
    <xf numFmtId="0" fontId="24" fillId="2" borderId="12" xfId="59" applyFont="1" applyFill="1" applyBorder="1" applyAlignment="1" applyProtection="1">
      <alignment horizontal="left" vertical="center"/>
      <protection locked="0"/>
    </xf>
    <xf numFmtId="0" fontId="48" fillId="2" borderId="13" xfId="59" applyFont="1" applyFill="1" applyBorder="1" applyAlignment="1" applyProtection="1">
      <alignment horizontal="left" vertical="center"/>
      <protection locked="0"/>
    </xf>
    <xf numFmtId="0" fontId="24" fillId="0" borderId="8" xfId="59" applyFont="1" applyFill="1" applyBorder="1" applyAlignment="1" applyProtection="1">
      <alignment horizontal="left" vertical="center"/>
      <protection locked="0"/>
    </xf>
    <xf numFmtId="0" fontId="56" fillId="0" borderId="0" xfId="0" applyFont="1" applyFill="1" applyAlignment="1" applyProtection="1">
      <alignment vertical="center"/>
      <protection locked="0"/>
    </xf>
    <xf numFmtId="0" fontId="82" fillId="0" borderId="0" xfId="0" applyFont="1" applyFill="1" applyAlignment="1" applyProtection="1">
      <alignment vertical="center"/>
      <protection locked="0"/>
    </xf>
    <xf numFmtId="0" fontId="54" fillId="10" borderId="0" xfId="0" applyFont="1" applyFill="1" applyAlignment="1" applyProtection="1">
      <alignment vertical="center"/>
      <protection locked="0"/>
    </xf>
    <xf numFmtId="0" fontId="54" fillId="0" borderId="0" xfId="0" applyFont="1" applyFill="1" applyAlignment="1" applyProtection="1">
      <alignment vertical="center"/>
      <protection locked="0"/>
    </xf>
    <xf numFmtId="0" fontId="54" fillId="0" borderId="0" xfId="0" applyFont="1" applyFill="1" applyAlignment="1" applyProtection="1">
      <alignment horizontal="center" vertical="center"/>
      <protection locked="0"/>
    </xf>
    <xf numFmtId="0" fontId="54" fillId="0" borderId="0" xfId="0" applyFont="1" applyFill="1" applyAlignment="1" applyProtection="1">
      <alignment horizontal="left" vertical="center"/>
      <protection locked="0"/>
    </xf>
    <xf numFmtId="0" fontId="54" fillId="10" borderId="0" xfId="0" applyFont="1" applyFill="1" applyAlignment="1" applyProtection="1">
      <alignment horizontal="center" vertical="center"/>
      <protection locked="0"/>
    </xf>
    <xf numFmtId="49" fontId="61" fillId="2" borderId="39" xfId="0" applyNumberFormat="1" applyFont="1" applyFill="1" applyBorder="1" applyAlignment="1" applyProtection="1"/>
    <xf numFmtId="0" fontId="83" fillId="2" borderId="0" xfId="0" applyFont="1" applyFill="1" applyAlignment="1" applyProtection="1">
      <alignment horizontal="center" vertical="center"/>
    </xf>
    <xf numFmtId="49" fontId="61" fillId="2" borderId="0" xfId="0" applyNumberFormat="1" applyFont="1" applyFill="1" applyBorder="1" applyAlignment="1" applyProtection="1"/>
    <xf numFmtId="0" fontId="46" fillId="3" borderId="7" xfId="57" applyFont="1" applyFill="1" applyBorder="1" applyAlignment="1" applyProtection="1">
      <alignment vertical="center"/>
      <protection locked="0"/>
    </xf>
    <xf numFmtId="49" fontId="46" fillId="3" borderId="7" xfId="0" applyNumberFormat="1" applyFont="1" applyFill="1" applyBorder="1" applyAlignment="1" applyProtection="1">
      <protection locked="0"/>
    </xf>
    <xf numFmtId="49" fontId="46" fillId="2" borderId="0" xfId="0" applyNumberFormat="1" applyFont="1" applyFill="1" applyBorder="1" applyAlignment="1" applyProtection="1">
      <protection locked="0"/>
    </xf>
    <xf numFmtId="183" fontId="46" fillId="2" borderId="39" xfId="0" applyNumberFormat="1" applyFont="1" applyFill="1" applyBorder="1" applyAlignment="1" applyProtection="1"/>
    <xf numFmtId="0" fontId="56" fillId="2" borderId="0" xfId="0" applyFont="1" applyFill="1" applyAlignment="1" applyProtection="1">
      <alignment vertical="center"/>
      <protection locked="0"/>
    </xf>
    <xf numFmtId="0" fontId="75" fillId="2" borderId="7" xfId="0" applyFont="1" applyFill="1" applyBorder="1" applyAlignment="1" applyProtection="1">
      <alignment horizontal="right" vertical="center"/>
    </xf>
    <xf numFmtId="0" fontId="54" fillId="2" borderId="0" xfId="0" applyFont="1" applyFill="1" applyBorder="1" applyAlignment="1" applyProtection="1">
      <alignment vertical="center"/>
    </xf>
    <xf numFmtId="49" fontId="45" fillId="2" borderId="0" xfId="0" applyNumberFormat="1" applyFont="1" applyFill="1" applyBorder="1" applyAlignment="1" applyProtection="1">
      <protection locked="0"/>
    </xf>
    <xf numFmtId="183" fontId="45" fillId="10" borderId="0" xfId="0" applyNumberFormat="1" applyFont="1" applyFill="1" applyBorder="1" applyAlignment="1" applyProtection="1"/>
    <xf numFmtId="49" fontId="45" fillId="2" borderId="0" xfId="0" applyNumberFormat="1" applyFont="1" applyFill="1" applyBorder="1" applyAlignment="1" applyProtection="1">
      <alignment horizontal="center"/>
      <protection locked="0"/>
    </xf>
    <xf numFmtId="0" fontId="45" fillId="2" borderId="10" xfId="57" applyFont="1" applyFill="1" applyBorder="1" applyAlignment="1" applyProtection="1">
      <alignment vertical="center"/>
    </xf>
    <xf numFmtId="0" fontId="75" fillId="2" borderId="10" xfId="0" applyFont="1" applyFill="1" applyBorder="1" applyAlignment="1" applyProtection="1">
      <alignment horizontal="right" vertical="center"/>
    </xf>
    <xf numFmtId="49" fontId="61" fillId="2" borderId="0" xfId="0" applyNumberFormat="1" applyFont="1" applyFill="1" applyBorder="1" applyAlignment="1" applyProtection="1">
      <alignment horizontal="center"/>
    </xf>
    <xf numFmtId="49" fontId="49" fillId="2" borderId="3" xfId="0" applyNumberFormat="1" applyFont="1" applyFill="1" applyBorder="1" applyAlignment="1" applyProtection="1">
      <alignment horizontal="center" vertical="center"/>
    </xf>
    <xf numFmtId="0" fontId="49" fillId="2" borderId="4" xfId="0" applyFont="1" applyFill="1" applyBorder="1" applyAlignment="1" applyProtection="1">
      <alignment horizontal="center" vertical="center"/>
    </xf>
    <xf numFmtId="0" fontId="49" fillId="2" borderId="55" xfId="0" applyFont="1" applyFill="1" applyBorder="1" applyAlignment="1" applyProtection="1">
      <alignment horizontal="right" vertical="center"/>
    </xf>
    <xf numFmtId="0" fontId="49" fillId="2" borderId="68" xfId="0" applyFont="1" applyFill="1" applyBorder="1" applyAlignment="1" applyProtection="1">
      <alignment horizontal="center" vertical="center"/>
    </xf>
    <xf numFmtId="0" fontId="54" fillId="10" borderId="0" xfId="0" applyFont="1" applyFill="1" applyAlignment="1" applyProtection="1">
      <alignment vertical="center"/>
    </xf>
    <xf numFmtId="49" fontId="74" fillId="2" borderId="57" xfId="0" applyNumberFormat="1" applyFont="1" applyFill="1" applyBorder="1" applyAlignment="1" applyProtection="1">
      <alignment vertical="center"/>
    </xf>
    <xf numFmtId="0" fontId="74" fillId="2" borderId="12" xfId="0" applyFont="1" applyFill="1" applyBorder="1" applyAlignment="1" applyProtection="1">
      <alignment vertical="center" wrapText="1"/>
    </xf>
    <xf numFmtId="0" fontId="74" fillId="2" borderId="12" xfId="0" applyFont="1" applyFill="1" applyBorder="1" applyAlignment="1" applyProtection="1">
      <alignment horizontal="center" vertical="center"/>
    </xf>
    <xf numFmtId="0" fontId="80" fillId="2" borderId="12" xfId="0" applyFont="1" applyFill="1" applyBorder="1" applyAlignment="1" applyProtection="1">
      <alignment vertical="center"/>
    </xf>
    <xf numFmtId="0" fontId="54" fillId="2" borderId="75" xfId="0" applyFont="1" applyFill="1" applyBorder="1" applyAlignment="1" applyProtection="1">
      <alignment vertical="center"/>
      <protection locked="0"/>
    </xf>
    <xf numFmtId="49" fontId="49" fillId="2" borderId="57" xfId="0" applyNumberFormat="1" applyFont="1" applyFill="1" applyBorder="1" applyAlignment="1" applyProtection="1">
      <alignment horizontal="left" vertical="center"/>
    </xf>
    <xf numFmtId="0" fontId="49" fillId="2" borderId="12" xfId="0" applyFont="1" applyFill="1" applyBorder="1" applyAlignment="1" applyProtection="1">
      <alignment vertical="center" wrapText="1"/>
    </xf>
    <xf numFmtId="0" fontId="49" fillId="2" borderId="12" xfId="0" applyFont="1" applyFill="1" applyBorder="1" applyAlignment="1" applyProtection="1">
      <alignment vertical="center"/>
    </xf>
    <xf numFmtId="0" fontId="49" fillId="2" borderId="7" xfId="0" applyFont="1" applyFill="1" applyBorder="1" applyAlignment="1" applyProtection="1">
      <alignment horizontal="left" vertical="center"/>
    </xf>
    <xf numFmtId="0" fontId="74" fillId="2" borderId="8" xfId="0" applyFont="1" applyFill="1" applyBorder="1" applyAlignment="1" applyProtection="1">
      <alignment horizontal="center" vertical="center"/>
    </xf>
    <xf numFmtId="49" fontId="49" fillId="2" borderId="79" xfId="0" applyNumberFormat="1" applyFont="1" applyFill="1" applyBorder="1" applyAlignment="1" applyProtection="1">
      <alignment vertical="center"/>
    </xf>
    <xf numFmtId="0" fontId="74" fillId="2" borderId="52" xfId="0" applyFont="1" applyFill="1" applyBorder="1" applyAlignment="1" applyProtection="1">
      <alignment vertical="center" wrapText="1"/>
    </xf>
    <xf numFmtId="0" fontId="74" fillId="2" borderId="52" xfId="0" applyFont="1" applyFill="1" applyBorder="1" applyAlignment="1" applyProtection="1">
      <alignment horizontal="center" vertical="center"/>
    </xf>
    <xf numFmtId="0" fontId="49" fillId="2" borderId="52" xfId="0" applyFont="1" applyFill="1" applyBorder="1" applyAlignment="1" applyProtection="1">
      <alignment vertical="center"/>
    </xf>
    <xf numFmtId="49" fontId="74" fillId="2" borderId="79" xfId="0" applyNumberFormat="1" applyFont="1" applyFill="1" applyBorder="1" applyAlignment="1" applyProtection="1">
      <alignment vertical="center"/>
    </xf>
    <xf numFmtId="0" fontId="49" fillId="2" borderId="16" xfId="0" applyFont="1" applyFill="1" applyBorder="1" applyAlignment="1" applyProtection="1">
      <alignment vertical="center"/>
    </xf>
    <xf numFmtId="187" fontId="74" fillId="2" borderId="8" xfId="0" applyNumberFormat="1" applyFont="1" applyFill="1" applyBorder="1" applyAlignment="1" applyProtection="1">
      <alignment horizontal="center" vertical="center"/>
    </xf>
    <xf numFmtId="0" fontId="49" fillId="2" borderId="91" xfId="0" applyFont="1" applyFill="1" applyBorder="1" applyAlignment="1" applyProtection="1">
      <alignment vertical="center" wrapText="1"/>
    </xf>
    <xf numFmtId="0" fontId="74" fillId="2" borderId="91" xfId="0" applyFont="1" applyFill="1" applyBorder="1" applyAlignment="1" applyProtection="1">
      <alignment horizontal="center" vertical="center"/>
    </xf>
    <xf numFmtId="0" fontId="49" fillId="2" borderId="102" xfId="0" applyFont="1" applyFill="1" applyBorder="1" applyAlignment="1" applyProtection="1">
      <alignment vertical="center"/>
    </xf>
    <xf numFmtId="0" fontId="49" fillId="2" borderId="12" xfId="0" applyFont="1" applyFill="1" applyBorder="1" applyAlignment="1" applyProtection="1">
      <alignment horizontal="left" vertical="center"/>
    </xf>
    <xf numFmtId="0" fontId="54" fillId="3" borderId="75" xfId="0" applyFont="1" applyFill="1" applyBorder="1" applyAlignment="1" applyProtection="1">
      <alignment horizontal="center" vertical="center"/>
      <protection locked="0"/>
    </xf>
    <xf numFmtId="49" fontId="49" fillId="2" borderId="100" xfId="0" applyNumberFormat="1" applyFont="1" applyFill="1" applyBorder="1" applyAlignment="1" applyProtection="1">
      <alignment vertical="center"/>
    </xf>
    <xf numFmtId="0" fontId="84" fillId="2" borderId="7" xfId="0" applyFont="1" applyFill="1" applyBorder="1" applyAlignment="1" applyProtection="1">
      <alignment horizontal="right" vertical="center" wrapText="1"/>
    </xf>
    <xf numFmtId="0" fontId="74" fillId="2" borderId="7" xfId="0" applyFont="1" applyFill="1" applyBorder="1" applyAlignment="1" applyProtection="1">
      <alignment horizontal="center" vertical="center"/>
      <protection locked="0"/>
    </xf>
    <xf numFmtId="187" fontId="74" fillId="2" borderId="61" xfId="0" applyNumberFormat="1" applyFont="1" applyFill="1" applyBorder="1" applyAlignment="1" applyProtection="1">
      <alignment horizontal="center" vertical="center"/>
    </xf>
    <xf numFmtId="0" fontId="82" fillId="10" borderId="0" xfId="0" applyFont="1" applyFill="1" applyAlignment="1" applyProtection="1">
      <alignment vertical="center"/>
    </xf>
    <xf numFmtId="49" fontId="74" fillId="2" borderId="100" xfId="0" applyNumberFormat="1" applyFont="1" applyFill="1" applyBorder="1" applyAlignment="1" applyProtection="1">
      <alignment vertical="center"/>
    </xf>
    <xf numFmtId="49" fontId="49" fillId="2" borderId="142" xfId="0" applyNumberFormat="1" applyFont="1" applyFill="1" applyBorder="1" applyAlignment="1" applyProtection="1">
      <alignment vertical="center"/>
    </xf>
    <xf numFmtId="0" fontId="49" fillId="2" borderId="122" xfId="0" applyFont="1" applyFill="1" applyBorder="1" applyAlignment="1" applyProtection="1">
      <alignment vertical="center" wrapText="1"/>
    </xf>
    <xf numFmtId="0" fontId="74" fillId="0" borderId="2" xfId="0" applyFont="1" applyFill="1" applyBorder="1" applyAlignment="1" applyProtection="1">
      <alignment horizontal="center" vertical="center"/>
      <protection locked="0"/>
    </xf>
    <xf numFmtId="0" fontId="49" fillId="2" borderId="2" xfId="0" applyFont="1" applyFill="1" applyBorder="1" applyAlignment="1" applyProtection="1">
      <alignment vertical="center"/>
    </xf>
    <xf numFmtId="0" fontId="49" fillId="2" borderId="2" xfId="0" applyFont="1" applyFill="1" applyBorder="1" applyAlignment="1" applyProtection="1">
      <alignment horizontal="left" vertical="center"/>
    </xf>
    <xf numFmtId="187" fontId="74" fillId="2" borderId="108" xfId="0" applyNumberFormat="1" applyFont="1" applyFill="1" applyBorder="1" applyAlignment="1" applyProtection="1">
      <alignment horizontal="center" vertical="center"/>
    </xf>
    <xf numFmtId="49" fontId="74" fillId="2" borderId="100" xfId="0" applyNumberFormat="1" applyFont="1" applyFill="1" applyBorder="1" applyAlignment="1" applyProtection="1">
      <alignment horizontal="left" vertical="center"/>
    </xf>
    <xf numFmtId="0" fontId="74" fillId="2" borderId="16" xfId="0" applyFont="1" applyFill="1" applyBorder="1" applyAlignment="1" applyProtection="1">
      <alignment horizontal="left" vertical="center"/>
    </xf>
    <xf numFmtId="0" fontId="74" fillId="2" borderId="16" xfId="0" applyFont="1" applyFill="1" applyBorder="1" applyAlignment="1" applyProtection="1">
      <alignment horizontal="center" vertical="center"/>
    </xf>
    <xf numFmtId="0" fontId="49" fillId="2" borderId="52" xfId="0" applyFont="1" applyFill="1" applyBorder="1" applyAlignment="1" applyProtection="1">
      <alignment horizontal="left" vertical="center"/>
    </xf>
    <xf numFmtId="187" fontId="49" fillId="2" borderId="70" xfId="0" applyNumberFormat="1" applyFont="1" applyFill="1" applyBorder="1" applyAlignment="1" applyProtection="1">
      <alignment horizontal="center" vertical="center"/>
    </xf>
    <xf numFmtId="49" fontId="49" fillId="2" borderId="6" xfId="0" applyNumberFormat="1" applyFont="1" applyFill="1" applyBorder="1" applyAlignment="1" applyProtection="1">
      <alignment horizontal="left" vertical="center"/>
    </xf>
    <xf numFmtId="0" fontId="18" fillId="2" borderId="13" xfId="0" applyFont="1" applyFill="1" applyBorder="1" applyAlignment="1" applyProtection="1">
      <alignment horizontal="center" vertical="center"/>
    </xf>
    <xf numFmtId="0" fontId="49" fillId="2" borderId="13" xfId="0" applyFont="1" applyFill="1" applyBorder="1" applyAlignment="1" applyProtection="1">
      <alignment horizontal="left" vertical="center" wrapText="1"/>
    </xf>
    <xf numFmtId="0" fontId="49" fillId="2" borderId="15" xfId="0" applyFont="1" applyFill="1" applyBorder="1" applyAlignment="1" applyProtection="1">
      <alignment horizontal="left" vertical="center" wrapText="1"/>
    </xf>
    <xf numFmtId="187" fontId="74" fillId="2" borderId="93" xfId="0" applyNumberFormat="1" applyFont="1" applyFill="1" applyBorder="1" applyAlignment="1" applyProtection="1">
      <alignment horizontal="center" vertical="center"/>
    </xf>
    <xf numFmtId="0" fontId="49" fillId="2" borderId="16" xfId="0" applyFont="1" applyFill="1" applyBorder="1" applyAlignment="1" applyProtection="1">
      <alignment horizontal="left" vertical="center"/>
    </xf>
    <xf numFmtId="187" fontId="49" fillId="2" borderId="80" xfId="0" applyNumberFormat="1" applyFont="1" applyFill="1" applyBorder="1" applyAlignment="1" applyProtection="1">
      <alignment horizontal="center" vertical="center"/>
    </xf>
    <xf numFmtId="49" fontId="49" fillId="2" borderId="142" xfId="0" applyNumberFormat="1" applyFont="1" applyFill="1" applyBorder="1" applyAlignment="1" applyProtection="1">
      <alignment horizontal="left" vertical="center"/>
    </xf>
    <xf numFmtId="187" fontId="49" fillId="2" borderId="8" xfId="0" applyNumberFormat="1" applyFont="1" applyFill="1" applyBorder="1" applyAlignment="1" applyProtection="1">
      <alignment horizontal="center" vertical="center"/>
    </xf>
    <xf numFmtId="0" fontId="49" fillId="2" borderId="93" xfId="0" applyFont="1" applyFill="1" applyBorder="1" applyAlignment="1" applyProtection="1">
      <alignment horizontal="center" vertical="center"/>
    </xf>
    <xf numFmtId="0" fontId="49" fillId="2" borderId="13" xfId="0" applyFont="1" applyFill="1" applyBorder="1" applyAlignment="1" applyProtection="1">
      <alignment vertical="center"/>
    </xf>
    <xf numFmtId="0" fontId="49" fillId="2" borderId="7" xfId="0" applyFont="1" applyFill="1" applyBorder="1" applyAlignment="1" applyProtection="1">
      <alignment vertical="center" wrapText="1"/>
    </xf>
    <xf numFmtId="0" fontId="49" fillId="2" borderId="7" xfId="0" applyFont="1" applyFill="1" applyBorder="1" applyAlignment="1" applyProtection="1">
      <alignment vertical="center"/>
    </xf>
    <xf numFmtId="0" fontId="49" fillId="2" borderId="8" xfId="0" applyFont="1" applyFill="1" applyBorder="1" applyAlignment="1" applyProtection="1">
      <alignment horizontal="center" vertical="center"/>
    </xf>
    <xf numFmtId="10" fontId="49" fillId="2" borderId="8" xfId="0" applyNumberFormat="1" applyFont="1" applyFill="1" applyBorder="1" applyAlignment="1" applyProtection="1">
      <alignment horizontal="center" vertical="center"/>
    </xf>
    <xf numFmtId="0" fontId="49" fillId="2" borderId="2" xfId="0" applyFont="1" applyFill="1" applyBorder="1" applyAlignment="1" applyProtection="1">
      <alignment horizontal="center" vertical="center"/>
    </xf>
    <xf numFmtId="0" fontId="49" fillId="2" borderId="2" xfId="0" applyFont="1" applyFill="1" applyBorder="1" applyAlignment="1" applyProtection="1">
      <alignment horizontal="left" vertical="center" wrapText="1"/>
    </xf>
    <xf numFmtId="187" fontId="49" fillId="2" borderId="108" xfId="0" applyNumberFormat="1" applyFont="1" applyFill="1" applyBorder="1" applyAlignment="1" applyProtection="1">
      <alignment horizontal="center" vertical="center"/>
    </xf>
    <xf numFmtId="49" fontId="74" fillId="2" borderId="9" xfId="0" applyNumberFormat="1" applyFont="1" applyFill="1" applyBorder="1" applyAlignment="1" applyProtection="1">
      <alignment horizontal="left" vertical="center"/>
    </xf>
    <xf numFmtId="0" fontId="49" fillId="2" borderId="58" xfId="0" applyFont="1" applyFill="1" applyBorder="1" applyAlignment="1" applyProtection="1">
      <alignment horizontal="left" vertical="center"/>
    </xf>
    <xf numFmtId="0" fontId="49" fillId="2" borderId="39" xfId="0" applyFont="1" applyFill="1" applyBorder="1" applyAlignment="1" applyProtection="1">
      <alignment horizontal="center" vertical="center"/>
    </xf>
    <xf numFmtId="0" fontId="49" fillId="2" borderId="95" xfId="0" applyFont="1" applyFill="1" applyBorder="1" applyAlignment="1" applyProtection="1">
      <alignment horizontal="center" vertical="center"/>
    </xf>
    <xf numFmtId="49" fontId="48" fillId="2" borderId="0" xfId="0" applyNumberFormat="1" applyFont="1" applyFill="1" applyBorder="1" applyAlignment="1" applyProtection="1">
      <alignment horizontal="left" vertical="center"/>
      <protection locked="0"/>
    </xf>
    <xf numFmtId="0" fontId="49" fillId="11" borderId="7" xfId="0" applyFont="1" applyFill="1" applyBorder="1" applyAlignment="1" applyProtection="1">
      <alignment horizontal="center" vertical="center"/>
    </xf>
    <xf numFmtId="0" fontId="49" fillId="2" borderId="7" xfId="0" applyFont="1" applyFill="1" applyBorder="1" applyAlignment="1" applyProtection="1">
      <alignment horizontal="left" vertical="center" wrapText="1"/>
    </xf>
    <xf numFmtId="187" fontId="49" fillId="11" borderId="93" xfId="0" applyNumberFormat="1" applyFont="1" applyFill="1" applyBorder="1" applyAlignment="1" applyProtection="1">
      <alignment horizontal="center" vertical="center" wrapText="1"/>
    </xf>
    <xf numFmtId="49" fontId="85" fillId="2" borderId="0" xfId="0" applyNumberFormat="1" applyFont="1" applyFill="1" applyBorder="1" applyAlignment="1" applyProtection="1">
      <alignment horizontal="left" vertical="center"/>
      <protection locked="0"/>
    </xf>
    <xf numFmtId="0" fontId="49" fillId="12" borderId="7" xfId="0" applyFont="1" applyFill="1" applyBorder="1" applyAlignment="1" applyProtection="1">
      <alignment horizontal="left" vertical="center" wrapText="1"/>
      <protection locked="0"/>
    </xf>
    <xf numFmtId="0" fontId="23" fillId="2" borderId="0" xfId="0" applyFont="1" applyFill="1" applyAlignment="1" applyProtection="1">
      <protection locked="0"/>
    </xf>
    <xf numFmtId="0" fontId="49" fillId="2" borderId="12" xfId="0" applyFont="1" applyFill="1" applyBorder="1" applyAlignment="1" applyProtection="1">
      <alignment horizontal="center" vertical="center"/>
    </xf>
    <xf numFmtId="0" fontId="49" fillId="2" borderId="12" xfId="0" applyFont="1" applyFill="1" applyBorder="1" applyAlignment="1" applyProtection="1">
      <alignment horizontal="left" vertical="center" wrapText="1"/>
    </xf>
    <xf numFmtId="49" fontId="49" fillId="2" borderId="39" xfId="0" applyNumberFormat="1" applyFont="1" applyFill="1" applyBorder="1" applyAlignment="1" applyProtection="1">
      <alignment vertical="center"/>
    </xf>
    <xf numFmtId="49" fontId="49" fillId="2" borderId="100" xfId="0" applyNumberFormat="1" applyFont="1" applyFill="1" applyBorder="1" applyAlignment="1" applyProtection="1">
      <alignment horizontal="left" vertical="center"/>
    </xf>
    <xf numFmtId="10" fontId="74" fillId="2" borderId="8" xfId="0" applyNumberFormat="1" applyFont="1" applyFill="1" applyBorder="1" applyAlignment="1" applyProtection="1">
      <alignment horizontal="center" vertical="center"/>
    </xf>
    <xf numFmtId="191" fontId="74" fillId="2" borderId="8" xfId="0" applyNumberFormat="1" applyFont="1" applyFill="1" applyBorder="1" applyAlignment="1" applyProtection="1">
      <alignment horizontal="center" vertical="center"/>
    </xf>
    <xf numFmtId="0" fontId="74" fillId="2" borderId="16" xfId="0" applyFont="1" applyFill="1" applyBorder="1" applyAlignment="1" applyProtection="1">
      <alignment horizontal="left" vertical="center" wrapText="1"/>
    </xf>
    <xf numFmtId="0" fontId="49" fillId="2" borderId="58" xfId="0" applyFont="1" applyFill="1" applyBorder="1" applyAlignment="1" applyProtection="1">
      <alignment horizontal="left" vertical="center" wrapText="1"/>
    </xf>
    <xf numFmtId="0" fontId="49" fillId="2" borderId="39" xfId="0" applyFont="1" applyFill="1" applyBorder="1" applyAlignment="1" applyProtection="1">
      <alignment horizontal="center" vertical="center" wrapText="1"/>
    </xf>
    <xf numFmtId="0" fontId="49" fillId="2" borderId="95" xfId="0" applyFont="1" applyFill="1" applyBorder="1" applyAlignment="1" applyProtection="1">
      <alignment horizontal="center" vertical="center" wrapText="1"/>
    </xf>
    <xf numFmtId="0" fontId="54" fillId="2" borderId="0" xfId="0" applyFont="1" applyFill="1" applyAlignment="1" applyProtection="1">
      <alignment vertical="center"/>
      <protection locked="0"/>
    </xf>
    <xf numFmtId="0" fontId="49" fillId="2" borderId="52" xfId="0" applyFont="1" applyFill="1" applyBorder="1" applyAlignment="1" applyProtection="1">
      <alignment horizontal="left" vertical="center" wrapText="1"/>
    </xf>
    <xf numFmtId="0" fontId="49" fillId="3" borderId="7" xfId="0" applyFont="1" applyFill="1" applyBorder="1" applyAlignment="1" applyProtection="1">
      <alignment horizontal="left" vertical="center"/>
      <protection locked="0"/>
    </xf>
    <xf numFmtId="185" fontId="74" fillId="2" borderId="8" xfId="0" applyNumberFormat="1" applyFont="1" applyFill="1" applyBorder="1" applyAlignment="1" applyProtection="1">
      <alignment horizontal="center" vertical="center"/>
    </xf>
    <xf numFmtId="0" fontId="49" fillId="2" borderId="0" xfId="0" applyFont="1" applyFill="1" applyAlignment="1" applyProtection="1">
      <alignment vertical="center"/>
      <protection locked="0"/>
    </xf>
    <xf numFmtId="0" fontId="74" fillId="2" borderId="16" xfId="0" applyFont="1" applyFill="1" applyBorder="1" applyAlignment="1" applyProtection="1">
      <alignment vertical="center" wrapText="1"/>
    </xf>
    <xf numFmtId="0" fontId="74" fillId="2" borderId="10" xfId="0" applyFont="1" applyFill="1" applyBorder="1" applyAlignment="1" applyProtection="1">
      <alignment horizontal="left" vertical="center"/>
    </xf>
    <xf numFmtId="0" fontId="74" fillId="2" borderId="10" xfId="0" applyFont="1" applyFill="1" applyBorder="1" applyAlignment="1" applyProtection="1">
      <alignment horizontal="center" vertical="center"/>
    </xf>
    <xf numFmtId="0" fontId="49" fillId="2" borderId="10" xfId="0" applyFont="1" applyFill="1" applyBorder="1" applyAlignment="1" applyProtection="1">
      <alignment vertical="center"/>
    </xf>
    <xf numFmtId="0" fontId="49" fillId="2" borderId="10" xfId="0" applyFont="1" applyFill="1" applyBorder="1" applyAlignment="1" applyProtection="1">
      <alignment horizontal="left" vertical="center"/>
    </xf>
    <xf numFmtId="185" fontId="74" fillId="2" borderId="11" xfId="0" applyNumberFormat="1" applyFont="1" applyFill="1" applyBorder="1" applyAlignment="1" applyProtection="1">
      <alignment horizontal="center" vertical="center"/>
    </xf>
    <xf numFmtId="185" fontId="24" fillId="10" borderId="0" xfId="0" applyNumberFormat="1" applyFont="1" applyFill="1" applyBorder="1" applyAlignment="1" applyProtection="1">
      <alignment horizontal="center" vertical="center"/>
      <protection locked="0"/>
    </xf>
    <xf numFmtId="0" fontId="42" fillId="10" borderId="0" xfId="0" applyFont="1" applyFill="1" applyAlignment="1" applyProtection="1">
      <protection locked="0"/>
    </xf>
    <xf numFmtId="0" fontId="42" fillId="10" borderId="0" xfId="0" applyFont="1" applyFill="1" applyAlignment="1" applyProtection="1">
      <alignment horizontal="center"/>
      <protection locked="0"/>
    </xf>
    <xf numFmtId="0" fontId="54" fillId="10" borderId="0" xfId="0" applyFont="1" applyFill="1" applyBorder="1" applyAlignment="1" applyProtection="1">
      <alignment vertical="center"/>
      <protection locked="0"/>
    </xf>
    <xf numFmtId="0" fontId="44" fillId="10" borderId="0" xfId="0" applyFont="1" applyFill="1" applyAlignment="1" applyProtection="1">
      <protection locked="0"/>
    </xf>
    <xf numFmtId="0" fontId="54" fillId="2" borderId="96" xfId="0" applyFont="1" applyFill="1" applyBorder="1" applyAlignment="1" applyProtection="1">
      <alignment horizontal="center" vertical="center"/>
    </xf>
    <xf numFmtId="0" fontId="42" fillId="2" borderId="92" xfId="0" applyFont="1" applyFill="1" applyBorder="1" applyAlignment="1" applyProtection="1"/>
    <xf numFmtId="0" fontId="49" fillId="2" borderId="73" xfId="0" applyFont="1" applyFill="1" applyBorder="1" applyAlignment="1" applyProtection="1">
      <alignment horizontal="right" vertical="center"/>
    </xf>
    <xf numFmtId="0" fontId="49" fillId="2" borderId="81" xfId="0" applyFont="1" applyFill="1" applyBorder="1" applyAlignment="1" applyProtection="1">
      <alignment horizontal="center" vertical="center"/>
    </xf>
    <xf numFmtId="49" fontId="49" fillId="2" borderId="79" xfId="0" applyNumberFormat="1" applyFont="1" applyFill="1" applyBorder="1" applyAlignment="1" applyProtection="1">
      <alignment horizontal="center" vertical="center"/>
    </xf>
    <xf numFmtId="0" fontId="49" fillId="2" borderId="52" xfId="0" applyFont="1" applyFill="1" applyBorder="1" applyAlignment="1" applyProtection="1">
      <alignment horizontal="center" vertical="center"/>
    </xf>
    <xf numFmtId="0" fontId="49" fillId="2" borderId="69" xfId="0" applyFont="1" applyFill="1" applyBorder="1" applyAlignment="1" applyProtection="1">
      <alignment horizontal="center" vertical="center"/>
    </xf>
    <xf numFmtId="0" fontId="49" fillId="2" borderId="13" xfId="0" applyFont="1" applyFill="1" applyBorder="1" applyAlignment="1" applyProtection="1">
      <alignment horizontal="right" vertical="center"/>
    </xf>
    <xf numFmtId="49" fontId="49" fillId="2" borderId="57" xfId="0" applyNumberFormat="1" applyFont="1" applyFill="1" applyBorder="1" applyAlignment="1" applyProtection="1">
      <alignment vertical="center"/>
    </xf>
    <xf numFmtId="0" fontId="49" fillId="2" borderId="83" xfId="0" applyFont="1" applyFill="1" applyBorder="1" applyAlignment="1" applyProtection="1">
      <alignment vertical="center"/>
    </xf>
    <xf numFmtId="0" fontId="42" fillId="2" borderId="7" xfId="0" applyFont="1" applyFill="1" applyBorder="1" applyAlignment="1" applyProtection="1">
      <protection locked="0"/>
    </xf>
    <xf numFmtId="0" fontId="48" fillId="10" borderId="8" xfId="0" applyFont="1" applyFill="1" applyBorder="1" applyAlignment="1" applyProtection="1">
      <alignment horizontal="center" vertical="center"/>
      <protection locked="0"/>
    </xf>
    <xf numFmtId="0" fontId="74" fillId="2" borderId="80" xfId="0" applyFont="1" applyFill="1" applyBorder="1" applyAlignment="1" applyProtection="1">
      <alignment horizontal="center" vertical="center"/>
    </xf>
    <xf numFmtId="187" fontId="74" fillId="0" borderId="8" xfId="0" applyNumberFormat="1" applyFont="1" applyFill="1" applyBorder="1" applyAlignment="1" applyProtection="1">
      <alignment horizontal="center" vertical="center"/>
      <protection locked="0"/>
    </xf>
    <xf numFmtId="0" fontId="84" fillId="2" borderId="14" xfId="0" applyFont="1" applyFill="1" applyBorder="1" applyAlignment="1" applyProtection="1">
      <alignment horizontal="right" vertical="center" wrapText="1"/>
    </xf>
    <xf numFmtId="0" fontId="49" fillId="2" borderId="38" xfId="0" applyFont="1" applyFill="1" applyBorder="1" applyAlignment="1" applyProtection="1">
      <alignment horizontal="left" vertical="center"/>
    </xf>
    <xf numFmtId="0" fontId="54" fillId="2" borderId="93" xfId="0" applyFont="1" applyFill="1" applyBorder="1" applyAlignment="1" applyProtection="1">
      <alignment vertical="center"/>
      <protection locked="0"/>
    </xf>
    <xf numFmtId="0" fontId="49" fillId="2" borderId="116" xfId="0" applyFont="1" applyFill="1" applyBorder="1" applyAlignment="1" applyProtection="1">
      <alignment vertical="center"/>
    </xf>
    <xf numFmtId="0" fontId="49" fillId="2" borderId="117" xfId="0" applyFont="1" applyFill="1" applyBorder="1" applyAlignment="1" applyProtection="1">
      <alignment horizontal="left" vertical="center"/>
    </xf>
    <xf numFmtId="0" fontId="54" fillId="2" borderId="143" xfId="0" applyFont="1" applyFill="1" applyBorder="1" applyAlignment="1" applyProtection="1">
      <alignment vertical="center"/>
      <protection locked="0"/>
    </xf>
    <xf numFmtId="0" fontId="48" fillId="2" borderId="16" xfId="0" applyFont="1" applyFill="1" applyBorder="1" applyAlignment="1" applyProtection="1">
      <alignment horizontal="center" vertical="center"/>
    </xf>
    <xf numFmtId="0" fontId="54" fillId="2" borderId="58" xfId="0" applyFont="1" applyFill="1" applyBorder="1" applyAlignment="1" applyProtection="1">
      <alignment vertical="center"/>
      <protection locked="0"/>
    </xf>
    <xf numFmtId="0" fontId="54" fillId="2" borderId="39" xfId="0" applyFont="1" applyFill="1" applyBorder="1" applyAlignment="1" applyProtection="1">
      <alignment vertical="center"/>
      <protection locked="0"/>
    </xf>
    <xf numFmtId="0" fontId="54" fillId="2" borderId="95" xfId="0" applyFont="1" applyFill="1" applyBorder="1" applyAlignment="1" applyProtection="1">
      <alignment vertical="center"/>
      <protection locked="0"/>
    </xf>
    <xf numFmtId="0" fontId="54" fillId="2" borderId="62" xfId="0" applyFont="1" applyFill="1" applyBorder="1" applyAlignment="1" applyProtection="1">
      <alignment vertical="center"/>
      <protection locked="0"/>
    </xf>
    <xf numFmtId="0" fontId="24" fillId="2" borderId="7" xfId="0" applyFont="1" applyFill="1" applyBorder="1" applyAlignment="1" applyProtection="1">
      <alignment horizontal="center" vertical="center"/>
    </xf>
    <xf numFmtId="49" fontId="74" fillId="2" borderId="6" xfId="0" applyNumberFormat="1" applyFont="1" applyFill="1" applyBorder="1" applyAlignment="1" applyProtection="1">
      <alignment horizontal="left" vertical="center"/>
    </xf>
    <xf numFmtId="0" fontId="74" fillId="2" borderId="7" xfId="0" applyFont="1" applyFill="1" applyBorder="1" applyAlignment="1" applyProtection="1">
      <alignment horizontal="left" vertical="center"/>
    </xf>
    <xf numFmtId="0" fontId="49" fillId="2" borderId="13" xfId="0" applyFont="1" applyFill="1" applyBorder="1" applyAlignment="1" applyProtection="1">
      <alignment horizontal="left" vertical="center"/>
    </xf>
    <xf numFmtId="49" fontId="61" fillId="2" borderId="0" xfId="0" applyNumberFormat="1" applyFont="1" applyFill="1" applyBorder="1" applyAlignment="1" applyProtection="1">
      <alignment horizontal="center"/>
      <protection locked="0"/>
    </xf>
    <xf numFmtId="49" fontId="61" fillId="2" borderId="0" xfId="0" applyNumberFormat="1" applyFont="1" applyFill="1" applyBorder="1" applyAlignment="1" applyProtection="1">
      <alignment horizontal="left"/>
      <protection locked="0"/>
    </xf>
    <xf numFmtId="0" fontId="56" fillId="10" borderId="0" xfId="0" applyFont="1" applyFill="1" applyAlignment="1" applyProtection="1">
      <alignment vertical="center"/>
      <protection locked="0"/>
    </xf>
    <xf numFmtId="49" fontId="45" fillId="2" borderId="0" xfId="0" applyNumberFormat="1" applyFont="1" applyFill="1" applyBorder="1" applyAlignment="1" applyProtection="1">
      <alignment horizontal="left"/>
      <protection locked="0"/>
    </xf>
    <xf numFmtId="0" fontId="54" fillId="2" borderId="12" xfId="0" applyFont="1" applyFill="1" applyBorder="1" applyAlignment="1" applyProtection="1">
      <alignment vertical="center"/>
    </xf>
    <xf numFmtId="0" fontId="74" fillId="2" borderId="58" xfId="0" applyFont="1" applyFill="1" applyBorder="1" applyAlignment="1" applyProtection="1">
      <alignment horizontal="center" vertical="center"/>
    </xf>
    <xf numFmtId="0" fontId="49" fillId="2" borderId="69" xfId="0" applyFont="1" applyFill="1" applyBorder="1" applyAlignment="1" applyProtection="1">
      <alignment vertical="center"/>
    </xf>
    <xf numFmtId="0" fontId="82" fillId="10" borderId="0" xfId="0" applyFont="1" applyFill="1" applyAlignment="1" applyProtection="1">
      <alignment vertical="center"/>
      <protection locked="0"/>
    </xf>
    <xf numFmtId="187" fontId="74" fillId="2" borderId="143" xfId="0" applyNumberFormat="1" applyFont="1" applyFill="1" applyBorder="1" applyAlignment="1" applyProtection="1">
      <alignment horizontal="center" vertical="center"/>
    </xf>
    <xf numFmtId="0" fontId="69" fillId="2" borderId="39" xfId="0" applyFont="1" applyFill="1" applyBorder="1" applyAlignment="1" applyProtection="1">
      <alignment vertical="center"/>
    </xf>
    <xf numFmtId="0" fontId="69" fillId="2" borderId="95" xfId="0" applyFont="1" applyFill="1" applyBorder="1" applyAlignment="1" applyProtection="1">
      <alignment vertical="center"/>
    </xf>
    <xf numFmtId="0" fontId="69" fillId="2" borderId="15" xfId="0" applyFont="1" applyFill="1" applyBorder="1" applyAlignment="1" applyProtection="1">
      <alignment vertical="center"/>
    </xf>
    <xf numFmtId="0" fontId="69" fillId="2" borderId="93" xfId="0" applyFont="1" applyFill="1" applyBorder="1" applyAlignment="1" applyProtection="1">
      <alignment vertical="center"/>
    </xf>
    <xf numFmtId="187" fontId="74" fillId="2" borderId="2" xfId="0" applyNumberFormat="1" applyFont="1" applyFill="1" applyBorder="1" applyAlignment="1" applyProtection="1">
      <alignment horizontal="center" vertical="center"/>
    </xf>
    <xf numFmtId="0" fontId="49" fillId="2" borderId="116" xfId="0" applyFont="1" applyFill="1" applyBorder="1" applyAlignment="1" applyProtection="1">
      <alignment horizontal="left" vertical="center"/>
    </xf>
    <xf numFmtId="0" fontId="69" fillId="2" borderId="117" xfId="0" applyFont="1" applyFill="1" applyBorder="1" applyAlignment="1" applyProtection="1">
      <alignment vertical="center"/>
    </xf>
    <xf numFmtId="0" fontId="69" fillId="2" borderId="143" xfId="0" applyFont="1" applyFill="1" applyBorder="1" applyAlignment="1" applyProtection="1">
      <alignment vertical="center"/>
    </xf>
    <xf numFmtId="0" fontId="48" fillId="2" borderId="0" xfId="0" applyFont="1" applyFill="1" applyBorder="1" applyAlignment="1" applyProtection="1">
      <alignment horizontal="left" vertical="center"/>
      <protection locked="0"/>
    </xf>
    <xf numFmtId="0" fontId="73" fillId="2" borderId="0" xfId="0" applyFont="1" applyFill="1" applyBorder="1" applyAlignment="1" applyProtection="1">
      <alignment horizontal="center" vertical="center"/>
      <protection locked="0"/>
    </xf>
    <xf numFmtId="0" fontId="49" fillId="2" borderId="0" xfId="0" applyFont="1" applyFill="1" applyBorder="1" applyAlignment="1" applyProtection="1">
      <alignment vertical="center"/>
      <protection locked="0"/>
    </xf>
    <xf numFmtId="0" fontId="24" fillId="2" borderId="0" xfId="0" applyFont="1" applyFill="1" applyBorder="1" applyAlignment="1" applyProtection="1">
      <alignment horizontal="left" vertical="center"/>
      <protection locked="0"/>
    </xf>
    <xf numFmtId="185" fontId="73" fillId="2" borderId="0" xfId="0" applyNumberFormat="1" applyFont="1" applyFill="1" applyBorder="1" applyAlignment="1" applyProtection="1">
      <alignment horizontal="center" vertical="center"/>
      <protection locked="0"/>
    </xf>
    <xf numFmtId="0" fontId="85" fillId="2" borderId="0" xfId="0" applyFont="1" applyFill="1" applyBorder="1" applyAlignment="1" applyProtection="1">
      <alignment horizontal="left" vertical="center"/>
      <protection locked="0"/>
    </xf>
    <xf numFmtId="0" fontId="86" fillId="2" borderId="0" xfId="0" applyFont="1" applyFill="1" applyBorder="1" applyAlignment="1" applyProtection="1">
      <alignment horizontal="center" vertical="center"/>
      <protection locked="0"/>
    </xf>
    <xf numFmtId="0" fontId="87" fillId="2" borderId="0" xfId="0" applyFont="1" applyFill="1" applyBorder="1" applyAlignment="1" applyProtection="1">
      <alignment vertical="center"/>
      <protection locked="0"/>
    </xf>
    <xf numFmtId="0" fontId="88" fillId="2" borderId="0" xfId="0" applyFont="1" applyFill="1" applyBorder="1" applyAlignment="1" applyProtection="1">
      <alignment horizontal="left" vertical="center"/>
      <protection locked="0"/>
    </xf>
    <xf numFmtId="185" fontId="86" fillId="2" borderId="0" xfId="0" applyNumberFormat="1" applyFont="1" applyFill="1" applyBorder="1" applyAlignment="1" applyProtection="1">
      <alignment horizontal="center" vertical="center"/>
      <protection locked="0"/>
    </xf>
    <xf numFmtId="0" fontId="42" fillId="2" borderId="7" xfId="0" applyFont="1" applyFill="1" applyBorder="1" applyAlignment="1" applyProtection="1"/>
    <xf numFmtId="0" fontId="42" fillId="2" borderId="7" xfId="0" applyFont="1" applyFill="1" applyBorder="1" applyAlignment="1" applyProtection="1">
      <alignment horizontal="center"/>
    </xf>
    <xf numFmtId="0" fontId="23" fillId="2" borderId="0" xfId="0" applyFont="1" applyFill="1" applyAlignment="1" applyProtection="1">
      <alignment horizontal="left"/>
      <protection locked="0"/>
    </xf>
    <xf numFmtId="178" fontId="24" fillId="2" borderId="7" xfId="0" applyNumberFormat="1" applyFont="1" applyFill="1" applyBorder="1" applyAlignment="1" applyProtection="1">
      <alignment horizontal="center"/>
    </xf>
    <xf numFmtId="0" fontId="64" fillId="2" borderId="0" xfId="0" applyFont="1" applyFill="1" applyAlignment="1" applyProtection="1">
      <alignment horizontal="left"/>
      <protection locked="0"/>
    </xf>
    <xf numFmtId="0" fontId="64" fillId="2" borderId="0" xfId="0" applyFont="1" applyFill="1" applyAlignment="1" applyProtection="1">
      <protection locked="0"/>
    </xf>
    <xf numFmtId="0" fontId="24" fillId="2" borderId="7" xfId="0" applyFont="1" applyFill="1" applyBorder="1" applyAlignment="1" applyProtection="1">
      <alignment vertical="center" wrapText="1"/>
    </xf>
    <xf numFmtId="187" fontId="74" fillId="2" borderId="7" xfId="0" applyNumberFormat="1" applyFont="1" applyFill="1" applyBorder="1" applyAlignment="1" applyProtection="1">
      <alignment horizontal="center" vertical="center"/>
    </xf>
    <xf numFmtId="0" fontId="16" fillId="2" borderId="7" xfId="0" applyFont="1" applyFill="1" applyBorder="1" applyAlignment="1" applyProtection="1">
      <alignment horizontal="left"/>
    </xf>
    <xf numFmtId="0" fontId="16" fillId="2" borderId="7" xfId="0" applyFont="1" applyFill="1" applyBorder="1" applyAlignment="1" applyProtection="1">
      <alignment horizontal="center"/>
    </xf>
    <xf numFmtId="0" fontId="49" fillId="2" borderId="0" xfId="0" applyFont="1" applyFill="1" applyAlignment="1" applyProtection="1">
      <alignment horizontal="left" vertical="center"/>
      <protection locked="0"/>
    </xf>
    <xf numFmtId="0" fontId="73" fillId="2" borderId="7" xfId="0" applyFont="1" applyFill="1" applyBorder="1" applyAlignment="1" applyProtection="1">
      <alignment horizontal="left"/>
    </xf>
    <xf numFmtId="0" fontId="73" fillId="2" borderId="7" xfId="0" applyFont="1" applyFill="1" applyBorder="1" applyAlignment="1" applyProtection="1">
      <alignment horizontal="center"/>
    </xf>
    <xf numFmtId="187" fontId="24" fillId="2" borderId="7" xfId="0" applyNumberFormat="1" applyFont="1" applyFill="1" applyBorder="1" applyAlignment="1" applyProtection="1">
      <alignment horizontal="center"/>
    </xf>
    <xf numFmtId="0" fontId="54" fillId="2" borderId="0" xfId="0" applyFont="1" applyFill="1" applyAlignment="1" applyProtection="1">
      <alignment horizontal="left" vertical="center"/>
      <protection locked="0"/>
    </xf>
    <xf numFmtId="0" fontId="54" fillId="2" borderId="7" xfId="0" applyFont="1" applyFill="1" applyBorder="1" applyAlignment="1" applyProtection="1">
      <alignment horizontal="center" vertical="center"/>
    </xf>
    <xf numFmtId="0" fontId="49" fillId="2" borderId="7" xfId="0" applyFont="1" applyFill="1" applyBorder="1" applyAlignment="1" applyProtection="1"/>
    <xf numFmtId="187" fontId="49" fillId="2" borderId="7" xfId="0" applyNumberFormat="1" applyFont="1" applyFill="1" applyBorder="1" applyAlignment="1" applyProtection="1">
      <alignment horizontal="center"/>
    </xf>
    <xf numFmtId="0" fontId="89" fillId="2" borderId="0" xfId="0" applyFont="1" applyFill="1" applyAlignment="1" applyProtection="1">
      <alignment vertical="center"/>
    </xf>
    <xf numFmtId="0" fontId="54" fillId="2" borderId="0" xfId="0" applyFont="1" applyFill="1" applyAlignment="1" applyProtection="1">
      <alignment vertical="center"/>
    </xf>
    <xf numFmtId="0" fontId="54" fillId="10" borderId="0" xfId="0" applyFont="1" applyFill="1" applyAlignment="1" applyProtection="1">
      <alignment horizontal="left" vertical="center"/>
      <protection locked="0"/>
    </xf>
    <xf numFmtId="0" fontId="90" fillId="2" borderId="144" xfId="0" applyFont="1" applyFill="1" applyBorder="1" applyAlignment="1" applyProtection="1">
      <alignment vertical="center" wrapText="1"/>
    </xf>
    <xf numFmtId="0" fontId="90" fillId="2" borderId="92" xfId="0" applyFont="1" applyFill="1" applyBorder="1" applyAlignment="1" applyProtection="1">
      <alignment vertical="center"/>
    </xf>
    <xf numFmtId="0" fontId="90" fillId="2" borderId="119" xfId="0" applyFont="1" applyFill="1" applyBorder="1" applyAlignment="1" applyProtection="1">
      <alignment vertical="center" wrapText="1"/>
    </xf>
    <xf numFmtId="0" fontId="90" fillId="2" borderId="74" xfId="0" applyFont="1" applyFill="1" applyBorder="1" applyAlignment="1" applyProtection="1">
      <alignment vertical="center"/>
    </xf>
    <xf numFmtId="0" fontId="89" fillId="10" borderId="96" xfId="0" applyFont="1" applyFill="1" applyBorder="1" applyAlignment="1" applyProtection="1">
      <alignment vertical="center"/>
      <protection locked="0"/>
    </xf>
    <xf numFmtId="0" fontId="54" fillId="10" borderId="77" xfId="0" applyFont="1" applyFill="1" applyBorder="1" applyAlignment="1" applyProtection="1">
      <alignment vertical="center"/>
      <protection locked="0"/>
    </xf>
    <xf numFmtId="0" fontId="54" fillId="10" borderId="92" xfId="0" applyFont="1" applyFill="1" applyBorder="1" applyAlignment="1" applyProtection="1">
      <alignment horizontal="left" vertical="center"/>
      <protection locked="0"/>
    </xf>
    <xf numFmtId="0" fontId="72" fillId="2" borderId="144" xfId="0" applyFont="1" applyFill="1" applyBorder="1" applyAlignment="1" applyProtection="1">
      <alignment horizontal="center" vertical="center"/>
    </xf>
    <xf numFmtId="0" fontId="90" fillId="2" borderId="119" xfId="0" applyFont="1" applyFill="1" applyBorder="1" applyAlignment="1" applyProtection="1">
      <alignment horizontal="right" vertical="center" wrapText="1"/>
    </xf>
    <xf numFmtId="0" fontId="54" fillId="2" borderId="3" xfId="0" applyFont="1" applyFill="1" applyBorder="1" applyAlignment="1" applyProtection="1">
      <alignment vertical="center"/>
    </xf>
    <xf numFmtId="0" fontId="54" fillId="3" borderId="5" xfId="0" applyFont="1" applyFill="1" applyBorder="1" applyAlignment="1" applyProtection="1">
      <alignment horizontal="center" vertical="center"/>
      <protection locked="0"/>
    </xf>
    <xf numFmtId="0" fontId="54" fillId="2" borderId="3" xfId="0" applyFont="1" applyFill="1" applyBorder="1" applyAlignment="1" applyProtection="1">
      <alignment horizontal="left" vertical="center"/>
      <protection locked="0"/>
    </xf>
    <xf numFmtId="0" fontId="54" fillId="2" borderId="5" xfId="0" applyFont="1" applyFill="1" applyBorder="1" applyAlignment="1" applyProtection="1">
      <alignment horizontal="center" vertical="center"/>
    </xf>
    <xf numFmtId="0" fontId="54" fillId="2" borderId="0" xfId="0" applyFont="1" applyFill="1" applyAlignment="1" applyProtection="1">
      <alignment horizontal="center" vertical="center"/>
    </xf>
    <xf numFmtId="0" fontId="54" fillId="2" borderId="6" xfId="0" applyFont="1" applyFill="1" applyBorder="1" applyAlignment="1" applyProtection="1">
      <alignment vertical="center"/>
    </xf>
    <xf numFmtId="0" fontId="90" fillId="3" borderId="8" xfId="0" applyFont="1" applyFill="1" applyBorder="1" applyAlignment="1" applyProtection="1">
      <alignment horizontal="center"/>
      <protection locked="0"/>
    </xf>
    <xf numFmtId="0" fontId="90" fillId="2" borderId="6" xfId="0" applyFont="1" applyFill="1" applyBorder="1" applyAlignment="1" applyProtection="1">
      <alignment horizontal="left"/>
      <protection locked="0"/>
    </xf>
    <xf numFmtId="0" fontId="54" fillId="2" borderId="8" xfId="0" applyFont="1" applyFill="1" applyBorder="1" applyAlignment="1" applyProtection="1">
      <alignment horizontal="center" vertical="center"/>
    </xf>
    <xf numFmtId="0" fontId="23" fillId="2" borderId="6" xfId="0" applyFont="1" applyFill="1" applyBorder="1" applyAlignment="1" applyProtection="1">
      <alignment horizontal="left"/>
      <protection locked="0"/>
    </xf>
    <xf numFmtId="0" fontId="54" fillId="0" borderId="8" xfId="0" applyFont="1" applyFill="1" applyBorder="1" applyAlignment="1" applyProtection="1">
      <alignment horizontal="center" vertical="center"/>
      <protection locked="0"/>
    </xf>
    <xf numFmtId="0" fontId="90" fillId="2" borderId="8" xfId="0" applyFont="1" applyFill="1" applyBorder="1" applyAlignment="1" applyProtection="1">
      <alignment horizontal="center"/>
    </xf>
    <xf numFmtId="49" fontId="54" fillId="2" borderId="6" xfId="0" applyNumberFormat="1" applyFont="1" applyFill="1" applyBorder="1" applyAlignment="1" applyProtection="1">
      <alignment horizontal="left" vertical="center"/>
    </xf>
    <xf numFmtId="0" fontId="54" fillId="2" borderId="8" xfId="0" applyNumberFormat="1" applyFont="1" applyFill="1" applyBorder="1" applyAlignment="1" applyProtection="1">
      <alignment horizontal="center" vertical="center"/>
    </xf>
    <xf numFmtId="0" fontId="54" fillId="2" borderId="6" xfId="0" applyFont="1" applyFill="1" applyBorder="1" applyAlignment="1" applyProtection="1">
      <alignment vertical="center"/>
      <protection locked="0"/>
    </xf>
    <xf numFmtId="192" fontId="54" fillId="2" borderId="8" xfId="0" applyNumberFormat="1" applyFont="1" applyFill="1" applyBorder="1" applyAlignment="1" applyProtection="1">
      <alignment horizontal="center" vertical="center"/>
    </xf>
    <xf numFmtId="0" fontId="54" fillId="2" borderId="9" xfId="0" applyFont="1" applyFill="1" applyBorder="1" applyAlignment="1" applyProtection="1">
      <alignment vertical="center"/>
    </xf>
    <xf numFmtId="10" fontId="54" fillId="0" borderId="11" xfId="0" applyNumberFormat="1" applyFont="1" applyFill="1" applyBorder="1" applyAlignment="1" applyProtection="1">
      <alignment horizontal="center" vertical="center"/>
      <protection locked="0"/>
    </xf>
    <xf numFmtId="0" fontId="80" fillId="2" borderId="65" xfId="0" applyFont="1" applyFill="1" applyBorder="1" applyAlignment="1" applyProtection="1">
      <alignment vertical="center" wrapText="1"/>
    </xf>
    <xf numFmtId="0" fontId="54" fillId="2" borderId="76" xfId="0" applyFont="1" applyFill="1" applyBorder="1" applyAlignment="1" applyProtection="1">
      <alignment horizontal="center" vertical="center"/>
    </xf>
    <xf numFmtId="0" fontId="19" fillId="2" borderId="82" xfId="0" applyFont="1" applyFill="1" applyBorder="1" applyAlignment="1" applyProtection="1">
      <alignment horizontal="left" vertical="center" wrapText="1"/>
    </xf>
    <xf numFmtId="0" fontId="19" fillId="2" borderId="92" xfId="0" applyFont="1" applyFill="1" applyBorder="1" applyAlignment="1" applyProtection="1">
      <alignment horizontal="left" vertical="center" wrapText="1"/>
    </xf>
    <xf numFmtId="0" fontId="55" fillId="2" borderId="18" xfId="0" applyFont="1" applyFill="1" applyBorder="1" applyAlignment="1" applyProtection="1">
      <alignment vertical="center" wrapText="1"/>
    </xf>
    <xf numFmtId="0" fontId="45" fillId="2" borderId="66" xfId="0" applyFont="1" applyFill="1" applyBorder="1" applyAlignment="1" applyProtection="1">
      <alignment horizontal="left" vertical="center" wrapText="1"/>
    </xf>
    <xf numFmtId="187" fontId="54" fillId="2" borderId="4" xfId="0" applyNumberFormat="1" applyFont="1" applyFill="1" applyBorder="1" applyAlignment="1" applyProtection="1">
      <alignment horizontal="center" vertical="center"/>
    </xf>
    <xf numFmtId="0" fontId="45" fillId="2" borderId="85" xfId="0" applyFont="1" applyFill="1" applyBorder="1" applyAlignment="1" applyProtection="1">
      <alignment horizontal="center" vertical="center"/>
    </xf>
    <xf numFmtId="0" fontId="54" fillId="3" borderId="68" xfId="0" applyFont="1" applyFill="1" applyBorder="1" applyAlignment="1" applyProtection="1">
      <alignment horizontal="center" vertical="center"/>
      <protection locked="0"/>
    </xf>
    <xf numFmtId="0" fontId="54" fillId="2" borderId="100" xfId="0" applyFont="1" applyFill="1" applyBorder="1" applyAlignment="1" applyProtection="1">
      <alignment vertical="center" wrapText="1"/>
    </xf>
    <xf numFmtId="0" fontId="54" fillId="3" borderId="0" xfId="0" applyFont="1" applyFill="1" applyAlignment="1" applyProtection="1">
      <alignment horizontal="center" vertical="center"/>
      <protection locked="0"/>
    </xf>
    <xf numFmtId="0" fontId="54" fillId="2" borderId="6" xfId="0" applyFont="1" applyFill="1" applyBorder="1" applyAlignment="1" applyProtection="1">
      <alignment vertical="center" wrapText="1"/>
    </xf>
    <xf numFmtId="0" fontId="54" fillId="2" borderId="13" xfId="0" applyFont="1" applyFill="1" applyBorder="1" applyAlignment="1" applyProtection="1">
      <alignment horizontal="center" vertical="center"/>
    </xf>
    <xf numFmtId="187" fontId="54" fillId="2" borderId="13" xfId="0" applyNumberFormat="1" applyFont="1" applyFill="1" applyBorder="1" applyAlignment="1" applyProtection="1">
      <alignment horizontal="center" vertical="center"/>
    </xf>
    <xf numFmtId="49" fontId="45" fillId="2" borderId="9" xfId="0" applyNumberFormat="1" applyFont="1" applyFill="1" applyBorder="1" applyAlignment="1" applyProtection="1">
      <alignment horizontal="left" vertical="center"/>
    </xf>
    <xf numFmtId="0" fontId="54" fillId="2" borderId="11" xfId="0" applyFont="1" applyFill="1" applyBorder="1" applyAlignment="1" applyProtection="1">
      <alignment horizontal="center" vertical="center"/>
    </xf>
    <xf numFmtId="0" fontId="45" fillId="2" borderId="9" xfId="0" applyFont="1" applyFill="1" applyBorder="1" applyAlignment="1" applyProtection="1">
      <alignment horizontal="center" vertical="center"/>
    </xf>
    <xf numFmtId="0" fontId="54" fillId="2" borderId="7" xfId="0" applyFont="1" applyFill="1" applyBorder="1" applyAlignment="1"/>
    <xf numFmtId="0" fontId="54" fillId="2" borderId="7" xfId="0" applyFont="1" applyFill="1" applyBorder="1" applyAlignment="1">
      <alignment horizontal="center"/>
    </xf>
    <xf numFmtId="0" fontId="54" fillId="2" borderId="7" xfId="0" applyFont="1" applyFill="1" applyBorder="1" applyAlignment="1" applyProtection="1">
      <alignment horizontal="center" vertical="center"/>
      <protection locked="0"/>
    </xf>
    <xf numFmtId="9" fontId="54" fillId="2" borderId="7" xfId="0" applyNumberFormat="1" applyFont="1" applyFill="1" applyBorder="1" applyAlignment="1" applyProtection="1">
      <alignment horizontal="center" vertical="center"/>
      <protection locked="0"/>
    </xf>
    <xf numFmtId="0" fontId="56" fillId="10" borderId="0" xfId="0" applyFont="1" applyFill="1" applyAlignment="1" applyProtection="1">
      <alignment horizontal="center" vertical="center"/>
      <protection locked="0"/>
    </xf>
    <xf numFmtId="0" fontId="82" fillId="10" borderId="0" xfId="0" applyFont="1" applyFill="1" applyAlignment="1" applyProtection="1">
      <alignment horizontal="center" vertical="center"/>
      <protection locked="0"/>
    </xf>
    <xf numFmtId="0" fontId="90" fillId="2" borderId="92" xfId="0" applyFont="1" applyFill="1" applyBorder="1" applyAlignment="1" applyProtection="1">
      <alignment horizontal="center" vertical="center" wrapText="1"/>
    </xf>
    <xf numFmtId="0" fontId="90" fillId="2" borderId="92" xfId="0" applyFont="1" applyFill="1" applyBorder="1" applyAlignment="1" applyProtection="1">
      <alignment vertical="center" wrapText="1"/>
    </xf>
    <xf numFmtId="0" fontId="90" fillId="2" borderId="74" xfId="0" applyFont="1" applyFill="1" applyBorder="1" applyAlignment="1" applyProtection="1">
      <alignment horizontal="center" vertical="center" wrapText="1"/>
    </xf>
    <xf numFmtId="0" fontId="90" fillId="2" borderId="74" xfId="0" applyFont="1" applyFill="1" applyBorder="1" applyAlignment="1" applyProtection="1">
      <alignment vertical="center" wrapText="1"/>
    </xf>
    <xf numFmtId="10" fontId="90" fillId="2" borderId="74" xfId="0" applyNumberFormat="1" applyFont="1" applyFill="1" applyBorder="1" applyAlignment="1" applyProtection="1">
      <alignment horizontal="center" vertical="center" wrapText="1"/>
    </xf>
    <xf numFmtId="0" fontId="74" fillId="2" borderId="7" xfId="0" applyFont="1" applyFill="1" applyBorder="1" applyAlignment="1" applyProtection="1">
      <alignment horizontal="left" vertical="center" wrapText="1"/>
    </xf>
    <xf numFmtId="0" fontId="49" fillId="2" borderId="15" xfId="0" applyFont="1" applyFill="1" applyBorder="1" applyAlignment="1" applyProtection="1">
      <alignment horizontal="center" vertical="center" wrapText="1"/>
    </xf>
    <xf numFmtId="0" fontId="49" fillId="2" borderId="93" xfId="0" applyFont="1" applyFill="1" applyBorder="1" applyAlignment="1" applyProtection="1">
      <alignment horizontal="center" vertical="center" wrapText="1"/>
    </xf>
    <xf numFmtId="0" fontId="91" fillId="2" borderId="74" xfId="0" applyFont="1" applyFill="1" applyBorder="1" applyAlignment="1" applyProtection="1">
      <alignment vertical="center"/>
    </xf>
    <xf numFmtId="192" fontId="90" fillId="2" borderId="74" xfId="0" applyNumberFormat="1" applyFont="1" applyFill="1" applyBorder="1" applyAlignment="1" applyProtection="1">
      <alignment horizontal="center" vertical="center" wrapText="1"/>
    </xf>
    <xf numFmtId="0" fontId="92" fillId="2" borderId="74" xfId="0" applyFont="1" applyFill="1" applyBorder="1" applyAlignment="1" applyProtection="1">
      <alignment vertical="center" wrapText="1"/>
    </xf>
    <xf numFmtId="0" fontId="45" fillId="2" borderId="1" xfId="0" applyFont="1" applyFill="1" applyBorder="1" applyAlignment="1" applyProtection="1">
      <alignment horizontal="left" vertical="center"/>
      <protection locked="0"/>
    </xf>
    <xf numFmtId="0" fontId="45" fillId="2" borderId="16" xfId="0" applyFont="1" applyFill="1" applyBorder="1" applyAlignment="1" applyProtection="1">
      <alignment horizontal="left" vertical="center"/>
      <protection locked="0"/>
    </xf>
    <xf numFmtId="0" fontId="45" fillId="0" borderId="0" xfId="0" applyFont="1" applyFill="1" applyBorder="1" applyAlignment="1" applyProtection="1">
      <alignment horizontal="left" vertical="center"/>
      <protection locked="0"/>
    </xf>
    <xf numFmtId="0" fontId="93" fillId="0" borderId="0" xfId="0" applyFont="1" applyFill="1" applyBorder="1" applyAlignment="1" applyProtection="1">
      <alignment horizontal="left" vertical="center"/>
      <protection locked="0"/>
    </xf>
    <xf numFmtId="0" fontId="94" fillId="0" borderId="14" xfId="0" applyFont="1" applyFill="1" applyBorder="1" applyAlignment="1" applyProtection="1">
      <alignment horizontal="left" vertical="center" wrapText="1"/>
      <protection locked="0"/>
    </xf>
    <xf numFmtId="49" fontId="42" fillId="12" borderId="99" xfId="0" applyNumberFormat="1" applyFont="1" applyFill="1" applyBorder="1" applyAlignment="1" applyProtection="1">
      <alignment horizontal="left" vertical="center" wrapText="1"/>
      <protection locked="0"/>
    </xf>
    <xf numFmtId="0" fontId="95" fillId="0" borderId="66" xfId="0" applyNumberFormat="1" applyFont="1" applyFill="1" applyBorder="1" applyAlignment="1" applyProtection="1">
      <alignment horizontal="left" vertical="center" wrapText="1"/>
      <protection locked="0"/>
    </xf>
    <xf numFmtId="49" fontId="43" fillId="12" borderId="14" xfId="0" applyNumberFormat="1" applyFont="1" applyFill="1" applyBorder="1" applyAlignment="1" applyProtection="1">
      <alignment horizontal="left" vertical="center" wrapText="1"/>
      <protection locked="0"/>
    </xf>
    <xf numFmtId="0" fontId="95" fillId="0" borderId="83" xfId="0" applyFont="1" applyFill="1" applyBorder="1" applyAlignment="1" applyProtection="1">
      <alignment horizontal="left" vertical="center" wrapText="1"/>
      <protection locked="0"/>
    </xf>
    <xf numFmtId="49" fontId="96" fillId="0" borderId="59" xfId="0" applyNumberFormat="1" applyFont="1" applyFill="1" applyBorder="1" applyAlignment="1" applyProtection="1">
      <alignment horizontal="left" vertical="center" wrapText="1"/>
      <protection locked="0"/>
    </xf>
    <xf numFmtId="0" fontId="43" fillId="12" borderId="90" xfId="0" applyFont="1" applyFill="1" applyBorder="1" applyAlignment="1" applyProtection="1">
      <alignment horizontal="left" vertical="center" wrapText="1"/>
      <protection locked="0"/>
    </xf>
    <xf numFmtId="9" fontId="42" fillId="0" borderId="14" xfId="0" applyNumberFormat="1" applyFont="1" applyFill="1" applyBorder="1" applyAlignment="1" applyProtection="1">
      <alignment horizontal="left" vertical="center" wrapText="1"/>
      <protection locked="0"/>
    </xf>
    <xf numFmtId="9" fontId="42" fillId="0" borderId="6" xfId="0" applyNumberFormat="1" applyFont="1" applyFill="1" applyBorder="1" applyAlignment="1" applyProtection="1">
      <alignment horizontal="left" vertical="center" wrapText="1"/>
      <protection locked="0"/>
    </xf>
    <xf numFmtId="0" fontId="46" fillId="2" borderId="18" xfId="0" applyNumberFormat="1" applyFont="1" applyFill="1" applyBorder="1" applyAlignment="1" applyProtection="1">
      <alignment horizontal="left" vertical="center" wrapText="1"/>
      <protection locked="0"/>
    </xf>
    <xf numFmtId="184" fontId="45" fillId="0" borderId="0" xfId="0" applyNumberFormat="1" applyFont="1" applyFill="1" applyBorder="1" applyAlignment="1" applyProtection="1">
      <alignment horizontal="left" vertical="center"/>
      <protection locked="0"/>
    </xf>
    <xf numFmtId="187" fontId="45" fillId="0" borderId="0" xfId="0" applyNumberFormat="1" applyFont="1" applyFill="1" applyBorder="1" applyAlignment="1" applyProtection="1">
      <alignment horizontal="left" vertical="center"/>
      <protection locked="0"/>
    </xf>
    <xf numFmtId="0" fontId="45" fillId="2" borderId="62" xfId="0" applyFont="1" applyFill="1" applyBorder="1" applyAlignment="1" applyProtection="1">
      <alignment horizontal="left" vertical="center"/>
    </xf>
    <xf numFmtId="0" fontId="45" fillId="2" borderId="62" xfId="0" applyFont="1" applyFill="1" applyBorder="1" applyAlignment="1" applyProtection="1">
      <alignment horizontal="left" vertical="center"/>
      <protection locked="0"/>
    </xf>
    <xf numFmtId="184" fontId="42" fillId="2" borderId="68" xfId="0" applyNumberFormat="1" applyFont="1" applyFill="1" applyBorder="1" applyAlignment="1" applyProtection="1">
      <alignment horizontal="left" vertical="center" wrapText="1"/>
    </xf>
    <xf numFmtId="184" fontId="42" fillId="2" borderId="93" xfId="0" applyNumberFormat="1" applyFont="1" applyFill="1" applyBorder="1" applyAlignment="1" applyProtection="1">
      <alignment horizontal="left" vertical="center" wrapText="1"/>
    </xf>
    <xf numFmtId="0" fontId="42" fillId="2" borderId="93" xfId="0" applyNumberFormat="1" applyFont="1" applyFill="1" applyBorder="1" applyAlignment="1" applyProtection="1">
      <alignment horizontal="left" vertical="center" wrapText="1"/>
    </xf>
    <xf numFmtId="0" fontId="54" fillId="0" borderId="93" xfId="0" applyNumberFormat="1" applyFont="1" applyFill="1" applyBorder="1" applyAlignment="1" applyProtection="1">
      <alignment horizontal="left" vertical="center" wrapText="1"/>
      <protection locked="0"/>
    </xf>
    <xf numFmtId="0" fontId="54" fillId="2" borderId="93" xfId="0" applyNumberFormat="1" applyFont="1" applyFill="1" applyBorder="1" applyAlignment="1" applyProtection="1">
      <alignment horizontal="left" vertical="center" wrapText="1"/>
    </xf>
    <xf numFmtId="0" fontId="54" fillId="0" borderId="112" xfId="0" applyNumberFormat="1" applyFont="1" applyFill="1" applyBorder="1" applyAlignment="1" applyProtection="1">
      <alignment horizontal="left" vertical="center" wrapText="1"/>
      <protection locked="0"/>
    </xf>
    <xf numFmtId="0" fontId="54" fillId="2" borderId="113" xfId="0" applyNumberFormat="1" applyFont="1" applyFill="1" applyBorder="1" applyAlignment="1" applyProtection="1">
      <alignment horizontal="left" vertical="center" wrapText="1"/>
    </xf>
    <xf numFmtId="0" fontId="54" fillId="2" borderId="111" xfId="0" applyNumberFormat="1" applyFont="1" applyFill="1" applyBorder="1" applyAlignment="1" applyProtection="1">
      <alignment horizontal="left" vertical="center" wrapText="1"/>
    </xf>
    <xf numFmtId="184" fontId="43" fillId="2" borderId="93" xfId="0" applyNumberFormat="1" applyFont="1" applyFill="1" applyBorder="1" applyAlignment="1" applyProtection="1">
      <alignment horizontal="left" vertical="center"/>
    </xf>
    <xf numFmtId="189" fontId="43" fillId="11" borderId="93" xfId="0" applyNumberFormat="1" applyFont="1" applyFill="1" applyBorder="1" applyAlignment="1" applyProtection="1">
      <alignment horizontal="left" vertical="center" wrapText="1"/>
    </xf>
    <xf numFmtId="184" fontId="43" fillId="2" borderId="11" xfId="0" applyNumberFormat="1" applyFont="1" applyFill="1" applyBorder="1" applyAlignment="1" applyProtection="1">
      <alignment horizontal="left" vertical="center" wrapText="1"/>
    </xf>
    <xf numFmtId="0" fontId="59" fillId="0" borderId="62" xfId="0" applyFont="1" applyFill="1" applyBorder="1" applyAlignment="1" applyProtection="1">
      <alignment horizontal="left" vertical="center"/>
      <protection locked="0"/>
    </xf>
    <xf numFmtId="187" fontId="43" fillId="0" borderId="0" xfId="0" applyNumberFormat="1" applyFont="1" applyFill="1" applyBorder="1" applyAlignment="1" applyProtection="1">
      <alignment horizontal="left"/>
      <protection locked="0"/>
    </xf>
    <xf numFmtId="0" fontId="43" fillId="0" borderId="62" xfId="0" applyFont="1" applyBorder="1" applyAlignment="1" applyProtection="1">
      <alignment horizontal="left"/>
      <protection locked="0"/>
    </xf>
    <xf numFmtId="0" fontId="42" fillId="2" borderId="0" xfId="0" applyNumberFormat="1" applyFont="1" applyFill="1" applyBorder="1" applyAlignment="1" applyProtection="1">
      <alignment horizontal="left" vertical="center" wrapText="1"/>
      <protection locked="0"/>
    </xf>
    <xf numFmtId="0" fontId="59" fillId="2" borderId="0" xfId="0" applyNumberFormat="1" applyFont="1" applyFill="1" applyBorder="1" applyAlignment="1" applyProtection="1">
      <alignment horizontal="left" vertical="center" wrapText="1"/>
      <protection locked="0"/>
    </xf>
    <xf numFmtId="0" fontId="43" fillId="2" borderId="0" xfId="0" applyNumberFormat="1" applyFont="1" applyFill="1" applyBorder="1" applyAlignment="1" applyProtection="1">
      <alignment horizontal="left" vertical="center" wrapText="1"/>
      <protection locked="0"/>
    </xf>
    <xf numFmtId="0" fontId="43" fillId="2" borderId="13" xfId="0" applyNumberFormat="1" applyFont="1" applyFill="1" applyBorder="1" applyAlignment="1" applyProtection="1">
      <alignment horizontal="left" vertical="center"/>
    </xf>
    <xf numFmtId="0" fontId="43" fillId="2" borderId="14" xfId="0" applyNumberFormat="1" applyFont="1" applyFill="1" applyBorder="1" applyAlignment="1" applyProtection="1">
      <alignment horizontal="left" vertical="center"/>
    </xf>
    <xf numFmtId="0" fontId="54" fillId="2" borderId="0" xfId="0" applyFont="1" applyFill="1" applyBorder="1" applyAlignment="1" applyProtection="1">
      <alignment horizontal="left" vertical="center"/>
    </xf>
    <xf numFmtId="0" fontId="54" fillId="2" borderId="0" xfId="0" applyFont="1" applyFill="1" applyAlignment="1" applyProtection="1">
      <alignment horizontal="left" vertical="center"/>
    </xf>
    <xf numFmtId="58" fontId="96" fillId="0" borderId="107" xfId="0" applyNumberFormat="1" applyFont="1" applyFill="1" applyBorder="1" applyAlignment="1" applyProtection="1">
      <alignment horizontal="left" vertical="center" wrapText="1"/>
      <protection locked="0"/>
    </xf>
    <xf numFmtId="0" fontId="96" fillId="0" borderId="107" xfId="0" applyNumberFormat="1" applyFont="1" applyFill="1" applyBorder="1" applyAlignment="1" applyProtection="1">
      <alignment horizontal="left" vertical="center" wrapText="1"/>
      <protection locked="0"/>
    </xf>
    <xf numFmtId="0" fontId="95" fillId="0" borderId="107" xfId="0" applyNumberFormat="1" applyFont="1" applyFill="1" applyBorder="1" applyAlignment="1" applyProtection="1">
      <alignment horizontal="left" vertical="center" wrapText="1"/>
      <protection locked="0"/>
    </xf>
    <xf numFmtId="0" fontId="97" fillId="0" borderId="4" xfId="0" applyNumberFormat="1" applyFont="1" applyFill="1" applyBorder="1" applyAlignment="1" applyProtection="1">
      <alignment horizontal="left" vertical="center" wrapText="1"/>
      <protection locked="0"/>
    </xf>
    <xf numFmtId="0" fontId="97" fillId="0" borderId="107" xfId="0" applyNumberFormat="1" applyFont="1" applyFill="1" applyBorder="1" applyAlignment="1" applyProtection="1">
      <alignment horizontal="left" vertical="center" wrapText="1"/>
      <protection locked="0"/>
    </xf>
    <xf numFmtId="0" fontId="58" fillId="2" borderId="0" xfId="0" applyNumberFormat="1" applyFont="1" applyFill="1" applyBorder="1" applyAlignment="1" applyProtection="1">
      <alignment horizontal="left" vertical="center" wrapText="1"/>
      <protection locked="0"/>
    </xf>
    <xf numFmtId="0" fontId="58" fillId="2" borderId="7" xfId="0" applyNumberFormat="1" applyFont="1" applyFill="1" applyBorder="1" applyAlignment="1" applyProtection="1">
      <alignment horizontal="left" vertical="center" wrapText="1"/>
    </xf>
    <xf numFmtId="0" fontId="58" fillId="2" borderId="8" xfId="0" applyNumberFormat="1" applyFont="1" applyFill="1" applyBorder="1" applyAlignment="1" applyProtection="1">
      <alignment horizontal="left" vertical="center" wrapText="1"/>
    </xf>
    <xf numFmtId="0" fontId="71" fillId="0" borderId="0" xfId="0" applyFont="1" applyFill="1" applyAlignment="1" applyProtection="1">
      <alignment horizontal="left" vertical="center"/>
      <protection locked="0"/>
    </xf>
    <xf numFmtId="0" fontId="23" fillId="2" borderId="85" xfId="0" applyFont="1" applyFill="1" applyBorder="1" applyAlignment="1" applyProtection="1">
      <alignment horizontal="left" vertical="center"/>
      <protection locked="0"/>
    </xf>
    <xf numFmtId="0" fontId="54" fillId="2" borderId="63" xfId="0" applyFont="1" applyFill="1" applyBorder="1" applyAlignment="1" applyProtection="1">
      <alignment horizontal="left" vertical="center"/>
      <protection locked="0"/>
    </xf>
    <xf numFmtId="0" fontId="43" fillId="2" borderId="63" xfId="0" applyFont="1" applyFill="1" applyBorder="1" applyAlignment="1" applyProtection="1">
      <alignment horizontal="left" vertical="center"/>
      <protection locked="0"/>
    </xf>
    <xf numFmtId="0" fontId="43" fillId="2" borderId="81" xfId="0" applyFont="1" applyFill="1" applyBorder="1" applyAlignment="1" applyProtection="1">
      <alignment horizontal="left" vertical="center"/>
      <protection locked="0"/>
    </xf>
    <xf numFmtId="0" fontId="54" fillId="2" borderId="103" xfId="0" applyFont="1" applyFill="1" applyBorder="1" applyAlignment="1" applyProtection="1">
      <alignment horizontal="left" vertical="center"/>
    </xf>
    <xf numFmtId="0" fontId="23" fillId="2" borderId="13" xfId="0" applyFont="1" applyFill="1" applyBorder="1" applyAlignment="1" applyProtection="1">
      <alignment horizontal="left" vertical="center"/>
    </xf>
    <xf numFmtId="0" fontId="23" fillId="2" borderId="145" xfId="0" applyFont="1" applyFill="1" applyBorder="1" applyAlignment="1" applyProtection="1">
      <alignment horizontal="left" vertical="center"/>
    </xf>
    <xf numFmtId="0" fontId="23" fillId="2" borderId="8" xfId="0" applyFont="1" applyFill="1" applyBorder="1" applyAlignment="1" applyProtection="1">
      <alignment horizontal="left" vertical="center"/>
    </xf>
    <xf numFmtId="0" fontId="54" fillId="2" borderId="100" xfId="0" applyFont="1" applyFill="1" applyBorder="1" applyAlignment="1" applyProtection="1">
      <alignment horizontal="left" vertical="center"/>
    </xf>
    <xf numFmtId="0" fontId="54" fillId="0" borderId="16" xfId="0" applyFont="1" applyBorder="1" applyAlignment="1" applyProtection="1">
      <alignment horizontal="left" vertical="center"/>
      <protection locked="0"/>
    </xf>
    <xf numFmtId="0" fontId="23" fillId="0" borderId="16" xfId="0" applyFont="1" applyBorder="1" applyAlignment="1" applyProtection="1">
      <alignment horizontal="left" vertical="center"/>
      <protection locked="0"/>
    </xf>
    <xf numFmtId="0" fontId="54" fillId="0" borderId="58" xfId="0" applyFont="1" applyBorder="1" applyAlignment="1" applyProtection="1">
      <alignment horizontal="left" vertical="center"/>
      <protection locked="0"/>
    </xf>
    <xf numFmtId="0" fontId="54" fillId="0" borderId="146" xfId="0" applyFont="1" applyFill="1" applyBorder="1" applyAlignment="1" applyProtection="1">
      <alignment horizontal="left" vertical="center"/>
      <protection locked="0"/>
    </xf>
    <xf numFmtId="0" fontId="54" fillId="0" borderId="80" xfId="0" applyFont="1" applyBorder="1" applyAlignment="1" applyProtection="1">
      <alignment horizontal="left" vertical="center"/>
      <protection locked="0"/>
    </xf>
    <xf numFmtId="0" fontId="54" fillId="2" borderId="6" xfId="0" applyFont="1" applyFill="1" applyBorder="1" applyAlignment="1" applyProtection="1">
      <alignment horizontal="left" vertical="center"/>
    </xf>
    <xf numFmtId="0" fontId="54" fillId="0" borderId="7" xfId="0" applyFont="1" applyBorder="1" applyAlignment="1" applyProtection="1">
      <alignment horizontal="left" vertical="center"/>
      <protection locked="0"/>
    </xf>
    <xf numFmtId="0" fontId="54" fillId="0" borderId="13" xfId="0" applyFont="1" applyBorder="1" applyAlignment="1" applyProtection="1">
      <alignment horizontal="left" vertical="center"/>
      <protection locked="0"/>
    </xf>
    <xf numFmtId="0" fontId="54" fillId="0" borderId="145" xfId="0" applyFont="1" applyFill="1" applyBorder="1" applyAlignment="1" applyProtection="1">
      <alignment horizontal="left" vertical="center"/>
      <protection locked="0"/>
    </xf>
    <xf numFmtId="0" fontId="54" fillId="0" borderId="8" xfId="0" applyFont="1" applyBorder="1" applyAlignment="1" applyProtection="1">
      <alignment horizontal="left" vertical="center"/>
      <protection locked="0"/>
    </xf>
    <xf numFmtId="0" fontId="23" fillId="0" borderId="7" xfId="0" applyFont="1" applyBorder="1" applyAlignment="1" applyProtection="1">
      <alignment horizontal="left" vertical="center"/>
      <protection locked="0"/>
    </xf>
    <xf numFmtId="0" fontId="23" fillId="0" borderId="145" xfId="0" applyFont="1" applyFill="1" applyBorder="1" applyAlignment="1" applyProtection="1">
      <alignment horizontal="left" vertical="center"/>
      <protection locked="0"/>
    </xf>
    <xf numFmtId="0" fontId="23" fillId="2" borderId="9" xfId="0" applyFont="1" applyFill="1" applyBorder="1" applyAlignment="1" applyProtection="1">
      <alignment horizontal="left" vertical="center"/>
    </xf>
    <xf numFmtId="0" fontId="54" fillId="2" borderId="10" xfId="0" applyFont="1" applyFill="1" applyBorder="1" applyAlignment="1" applyProtection="1">
      <alignment horizontal="left" vertical="center"/>
    </xf>
    <xf numFmtId="0" fontId="54" fillId="2" borderId="18" xfId="0" applyFont="1" applyFill="1" applyBorder="1" applyAlignment="1" applyProtection="1">
      <alignment horizontal="left" vertical="center"/>
    </xf>
    <xf numFmtId="0" fontId="54" fillId="2" borderId="147" xfId="0" applyFont="1" applyFill="1" applyBorder="1" applyAlignment="1" applyProtection="1">
      <alignment horizontal="left" vertical="center"/>
    </xf>
    <xf numFmtId="0" fontId="43" fillId="2" borderId="18" xfId="0" applyFont="1" applyFill="1" applyBorder="1" applyAlignment="1" applyProtection="1">
      <alignment horizontal="left" vertical="center"/>
    </xf>
    <xf numFmtId="0" fontId="43" fillId="2" borderId="74" xfId="0" applyFont="1" applyFill="1" applyBorder="1" applyAlignment="1" applyProtection="1">
      <alignment horizontal="left" vertical="center"/>
    </xf>
    <xf numFmtId="0" fontId="23" fillId="2" borderId="63" xfId="0" applyFont="1" applyFill="1" applyBorder="1" applyAlignment="1" applyProtection="1">
      <alignment horizontal="left" vertical="center"/>
      <protection locked="0"/>
    </xf>
    <xf numFmtId="0" fontId="54" fillId="2" borderId="81" xfId="0" applyFont="1" applyFill="1" applyBorder="1" applyAlignment="1" applyProtection="1">
      <alignment horizontal="left" vertical="center"/>
      <protection locked="0"/>
    </xf>
    <xf numFmtId="0" fontId="54" fillId="2" borderId="39" xfId="0" applyFont="1" applyFill="1" applyBorder="1" applyAlignment="1" applyProtection="1">
      <alignment horizontal="left" vertical="center"/>
    </xf>
    <xf numFmtId="0" fontId="23" fillId="2" borderId="59" xfId="0" applyFont="1" applyFill="1" applyBorder="1" applyAlignment="1" applyProtection="1">
      <alignment horizontal="left" vertical="center"/>
    </xf>
    <xf numFmtId="188" fontId="54" fillId="2" borderId="80" xfId="0" applyNumberFormat="1" applyFont="1" applyFill="1" applyBorder="1" applyAlignment="1" applyProtection="1">
      <alignment horizontal="left" vertical="center"/>
    </xf>
    <xf numFmtId="0" fontId="23" fillId="2" borderId="14" xfId="0" applyFont="1" applyFill="1" applyBorder="1" applyAlignment="1" applyProtection="1">
      <alignment horizontal="left" vertical="center"/>
    </xf>
    <xf numFmtId="0" fontId="54" fillId="2" borderId="7" xfId="0" applyFont="1" applyFill="1" applyBorder="1" applyAlignment="1" applyProtection="1">
      <alignment horizontal="left" vertical="center"/>
    </xf>
    <xf numFmtId="0" fontId="54" fillId="2" borderId="8" xfId="0" applyFont="1" applyFill="1" applyBorder="1" applyAlignment="1" applyProtection="1">
      <alignment horizontal="left" vertical="center"/>
    </xf>
    <xf numFmtId="180" fontId="54" fillId="2" borderId="8" xfId="0" applyNumberFormat="1" applyFont="1" applyFill="1" applyBorder="1" applyAlignment="1" applyProtection="1">
      <alignment horizontal="left" vertical="center"/>
    </xf>
    <xf numFmtId="180" fontId="54" fillId="0" borderId="8" xfId="0" applyNumberFormat="1" applyFont="1" applyBorder="1" applyAlignment="1" applyProtection="1">
      <alignment horizontal="left" vertical="center"/>
      <protection locked="0"/>
    </xf>
    <xf numFmtId="0" fontId="23" fillId="2" borderId="87" xfId="0" applyFont="1" applyFill="1" applyBorder="1" applyAlignment="1" applyProtection="1">
      <alignment horizontal="left" vertical="center"/>
    </xf>
    <xf numFmtId="0" fontId="54" fillId="0" borderId="10" xfId="0" applyFont="1" applyBorder="1" applyAlignment="1" applyProtection="1">
      <alignment horizontal="left" vertical="center"/>
      <protection locked="0"/>
    </xf>
    <xf numFmtId="180" fontId="54" fillId="2" borderId="11" xfId="0" applyNumberFormat="1" applyFont="1" applyFill="1" applyBorder="1" applyAlignment="1" applyProtection="1">
      <alignment horizontal="left" vertical="center"/>
    </xf>
    <xf numFmtId="0" fontId="49" fillId="13" borderId="0" xfId="0" applyFont="1" applyFill="1" applyProtection="1">
      <alignment vertical="center"/>
      <protection locked="0"/>
    </xf>
    <xf numFmtId="0" fontId="69" fillId="13" borderId="0" xfId="0" applyFont="1" applyFill="1" applyAlignment="1" applyProtection="1">
      <protection locked="0"/>
    </xf>
    <xf numFmtId="0" fontId="64" fillId="0" borderId="0" xfId="0" applyFont="1" applyFill="1" applyAlignment="1" applyProtection="1">
      <protection locked="0"/>
    </xf>
    <xf numFmtId="0" fontId="49" fillId="0" borderId="0" xfId="0" applyFont="1" applyFill="1" applyAlignment="1" applyProtection="1">
      <protection locked="0"/>
    </xf>
    <xf numFmtId="0" fontId="42" fillId="13" borderId="0" xfId="0" applyFont="1" applyFill="1" applyAlignment="1" applyProtection="1">
      <protection locked="0"/>
    </xf>
    <xf numFmtId="0" fontId="58" fillId="13" borderId="0" xfId="0" applyFont="1" applyFill="1" applyProtection="1">
      <alignment vertical="center"/>
      <protection locked="0"/>
    </xf>
    <xf numFmtId="0" fontId="58" fillId="0" borderId="0" xfId="0" applyFont="1" applyFill="1" applyProtection="1">
      <alignment vertical="center"/>
      <protection locked="0"/>
    </xf>
    <xf numFmtId="0" fontId="58" fillId="13" borderId="0" xfId="0" applyFont="1" applyFill="1" applyAlignment="1" applyProtection="1">
      <protection locked="0"/>
    </xf>
    <xf numFmtId="0" fontId="50" fillId="13" borderId="0" xfId="0" applyFont="1" applyFill="1" applyAlignment="1" applyProtection="1">
      <protection locked="0"/>
    </xf>
    <xf numFmtId="0" fontId="58" fillId="13" borderId="0" xfId="0" applyFont="1" applyFill="1" applyAlignment="1" applyProtection="1">
      <alignment vertical="center" wrapText="1"/>
      <protection locked="0"/>
    </xf>
    <xf numFmtId="0" fontId="50" fillId="13" borderId="0" xfId="0" applyFont="1" applyFill="1" applyAlignment="1" applyProtection="1">
      <alignment vertical="center" wrapText="1"/>
      <protection locked="0"/>
    </xf>
    <xf numFmtId="0" fontId="49" fillId="13" borderId="0" xfId="0" applyFont="1" applyFill="1" applyAlignment="1" applyProtection="1">
      <alignment horizontal="center"/>
      <protection locked="0"/>
    </xf>
    <xf numFmtId="0" fontId="49" fillId="13" borderId="0" xfId="0" applyFont="1" applyFill="1" applyAlignment="1" applyProtection="1">
      <protection locked="0"/>
    </xf>
    <xf numFmtId="178" fontId="49" fillId="13" borderId="0" xfId="0" applyNumberFormat="1" applyFont="1" applyFill="1" applyAlignment="1" applyProtection="1">
      <alignment horizontal="center"/>
      <protection locked="0"/>
    </xf>
    <xf numFmtId="0" fontId="44" fillId="2" borderId="66" xfId="57" applyFont="1" applyFill="1" applyBorder="1" applyAlignment="1" applyProtection="1">
      <alignment vertical="center"/>
    </xf>
    <xf numFmtId="0" fontId="75" fillId="2" borderId="67" xfId="57" applyFont="1" applyFill="1" applyBorder="1" applyAlignment="1" applyProtection="1">
      <alignment vertical="center"/>
    </xf>
    <xf numFmtId="0" fontId="45" fillId="3" borderId="67" xfId="57" applyFont="1" applyFill="1" applyBorder="1" applyAlignment="1" applyProtection="1">
      <alignment vertical="center"/>
      <protection locked="0"/>
    </xf>
    <xf numFmtId="0" fontId="75" fillId="3" borderId="0" xfId="57" applyFont="1" applyFill="1" applyBorder="1" applyAlignment="1" applyProtection="1">
      <alignment vertical="center"/>
      <protection locked="0"/>
    </xf>
    <xf numFmtId="0" fontId="75" fillId="2" borderId="0" xfId="57" applyFont="1" applyFill="1" applyBorder="1" applyAlignment="1" applyProtection="1">
      <alignment vertical="center"/>
      <protection locked="0"/>
    </xf>
    <xf numFmtId="0" fontId="45" fillId="2" borderId="12" xfId="57" applyFont="1" applyFill="1" applyBorder="1" applyAlignment="1" applyProtection="1">
      <alignment horizontal="right" vertical="center"/>
    </xf>
    <xf numFmtId="0" fontId="75" fillId="2" borderId="0" xfId="57" applyFont="1" applyFill="1" applyBorder="1" applyAlignment="1" applyProtection="1">
      <alignment vertical="center"/>
    </xf>
    <xf numFmtId="0" fontId="75" fillId="2" borderId="66" xfId="0" applyFont="1" applyFill="1" applyBorder="1" applyAlignment="1" applyProtection="1"/>
    <xf numFmtId="0" fontId="75" fillId="2" borderId="67" xfId="0" applyFont="1" applyFill="1" applyBorder="1" applyAlignment="1" applyProtection="1"/>
    <xf numFmtId="178" fontId="64" fillId="2" borderId="55" xfId="0" applyNumberFormat="1" applyFont="1" applyFill="1" applyBorder="1" applyAlignment="1" applyProtection="1">
      <alignment horizontal="center"/>
    </xf>
    <xf numFmtId="0" fontId="64" fillId="2" borderId="6" xfId="0" applyFont="1" applyFill="1" applyBorder="1" applyAlignment="1" applyProtection="1">
      <alignment horizontal="center"/>
    </xf>
    <xf numFmtId="0" fontId="64" fillId="2" borderId="83" xfId="0" applyFont="1" applyFill="1" applyBorder="1" applyAlignment="1" applyProtection="1"/>
    <xf numFmtId="0" fontId="75" fillId="2" borderId="15" xfId="0" applyFont="1" applyFill="1" applyBorder="1" applyAlignment="1" applyProtection="1"/>
    <xf numFmtId="49" fontId="49" fillId="2" borderId="6" xfId="0" applyNumberFormat="1" applyFont="1" applyFill="1" applyBorder="1" applyAlignment="1" applyProtection="1">
      <alignment horizontal="center" vertical="center"/>
    </xf>
    <xf numFmtId="0" fontId="49" fillId="2" borderId="13" xfId="0" applyFont="1" applyFill="1" applyBorder="1" applyAlignment="1" applyProtection="1"/>
    <xf numFmtId="178" fontId="49" fillId="0" borderId="7" xfId="0" applyNumberFormat="1" applyFont="1" applyFill="1" applyBorder="1" applyAlignment="1" applyProtection="1">
      <alignment horizontal="center"/>
      <protection locked="0"/>
    </xf>
    <xf numFmtId="178" fontId="49" fillId="2" borderId="7" xfId="0" applyNumberFormat="1" applyFont="1" applyFill="1" applyBorder="1" applyAlignment="1" applyProtection="1">
      <alignment horizontal="center"/>
      <protection locked="0"/>
    </xf>
    <xf numFmtId="189" fontId="18" fillId="2" borderId="7" xfId="0" applyNumberFormat="1" applyFont="1" applyFill="1" applyBorder="1" applyAlignment="1" applyProtection="1">
      <alignment horizontal="center" vertical="center"/>
    </xf>
    <xf numFmtId="49" fontId="49" fillId="2" borderId="57" xfId="0" applyNumberFormat="1" applyFont="1" applyFill="1" applyBorder="1" applyAlignment="1" applyProtection="1">
      <alignment horizontal="center" vertical="center"/>
    </xf>
    <xf numFmtId="178" fontId="18" fillId="0" borderId="7" xfId="0" applyNumberFormat="1" applyFont="1" applyFill="1" applyBorder="1" applyAlignment="1" applyProtection="1">
      <alignment horizontal="center"/>
      <protection locked="0"/>
    </xf>
    <xf numFmtId="178" fontId="18" fillId="2" borderId="7" xfId="0" applyNumberFormat="1" applyFont="1" applyFill="1" applyBorder="1" applyAlignment="1" applyProtection="1">
      <alignment horizontal="center"/>
      <protection locked="0"/>
    </xf>
    <xf numFmtId="0" fontId="75" fillId="2" borderId="71" xfId="0" applyFont="1" applyFill="1" applyBorder="1" applyAlignment="1" applyProtection="1"/>
    <xf numFmtId="0" fontId="64" fillId="2" borderId="13" xfId="0" applyFont="1" applyFill="1" applyBorder="1" applyAlignment="1" applyProtection="1"/>
    <xf numFmtId="178" fontId="64" fillId="2" borderId="7" xfId="0" applyNumberFormat="1" applyFont="1" applyFill="1" applyBorder="1" applyAlignment="1" applyProtection="1">
      <alignment horizontal="center"/>
    </xf>
    <xf numFmtId="0" fontId="64" fillId="2" borderId="7" xfId="0" applyFont="1" applyFill="1" applyBorder="1" applyAlignment="1" applyProtection="1">
      <alignment horizontal="center"/>
    </xf>
    <xf numFmtId="0" fontId="64" fillId="2" borderId="15" xfId="0" applyFont="1" applyFill="1" applyBorder="1" applyAlignment="1" applyProtection="1"/>
    <xf numFmtId="0" fontId="49" fillId="2" borderId="6" xfId="57" applyFont="1" applyFill="1" applyBorder="1" applyAlignment="1" applyProtection="1">
      <alignment horizontal="right" vertical="center"/>
    </xf>
    <xf numFmtId="0" fontId="49" fillId="2" borderId="13" xfId="57" applyFont="1" applyFill="1" applyBorder="1" applyAlignment="1" applyProtection="1"/>
    <xf numFmtId="183" fontId="49" fillId="2" borderId="7" xfId="0" applyNumberFormat="1" applyFont="1" applyFill="1" applyBorder="1" applyAlignment="1" applyProtection="1">
      <alignment horizontal="center" vertical="center"/>
    </xf>
    <xf numFmtId="185" fontId="49" fillId="2" borderId="7" xfId="57" applyNumberFormat="1" applyFont="1" applyFill="1" applyBorder="1" applyAlignment="1" applyProtection="1">
      <alignment horizontal="center"/>
    </xf>
    <xf numFmtId="187" fontId="49" fillId="2" borderId="7" xfId="57" applyNumberFormat="1" applyFont="1" applyFill="1" applyBorder="1" applyAlignment="1" applyProtection="1">
      <alignment horizontal="center"/>
    </xf>
    <xf numFmtId="9" fontId="49" fillId="2" borderId="7" xfId="57" applyNumberFormat="1" applyFont="1" applyFill="1" applyBorder="1" applyAlignment="1" applyProtection="1">
      <alignment horizontal="center"/>
    </xf>
    <xf numFmtId="183" fontId="49" fillId="2" borderId="7" xfId="57" applyNumberFormat="1" applyFont="1" applyFill="1" applyBorder="1" applyAlignment="1" applyProtection="1">
      <alignment horizontal="center"/>
    </xf>
    <xf numFmtId="183" fontId="49" fillId="2" borderId="7" xfId="57" applyNumberFormat="1" applyFont="1" applyFill="1" applyBorder="1" applyAlignment="1" applyProtection="1"/>
    <xf numFmtId="10" fontId="49" fillId="2" borderId="7" xfId="57" applyNumberFormat="1" applyFont="1" applyFill="1" applyBorder="1" applyAlignment="1" applyProtection="1">
      <alignment horizontal="center"/>
    </xf>
    <xf numFmtId="0" fontId="49" fillId="2" borderId="15" xfId="0" applyFont="1" applyFill="1" applyBorder="1" applyAlignment="1" applyProtection="1"/>
    <xf numFmtId="0" fontId="49" fillId="2" borderId="13" xfId="0" applyFont="1" applyFill="1" applyBorder="1" applyAlignment="1" applyProtection="1">
      <alignment horizontal="left"/>
    </xf>
    <xf numFmtId="0" fontId="49" fillId="2" borderId="15" xfId="0" applyFont="1" applyFill="1" applyBorder="1" applyAlignment="1" applyProtection="1">
      <alignment horizontal="left"/>
    </xf>
    <xf numFmtId="0" fontId="64" fillId="2" borderId="13" xfId="57" applyFont="1" applyFill="1" applyBorder="1" applyAlignment="1" applyProtection="1"/>
    <xf numFmtId="183" fontId="64" fillId="2" borderId="7" xfId="57" applyNumberFormat="1" applyFont="1" applyFill="1" applyBorder="1" applyAlignment="1" applyProtection="1">
      <alignment horizontal="center"/>
    </xf>
    <xf numFmtId="0" fontId="64" fillId="2" borderId="7" xfId="57" applyFont="1" applyFill="1" applyBorder="1" applyAlignment="1" applyProtection="1"/>
    <xf numFmtId="183" fontId="64" fillId="2" borderId="7" xfId="57" applyNumberFormat="1" applyFont="1" applyFill="1" applyBorder="1" applyAlignment="1" applyProtection="1"/>
    <xf numFmtId="10" fontId="64" fillId="2" borderId="7" xfId="57" applyNumberFormat="1" applyFont="1" applyFill="1" applyBorder="1" applyAlignment="1" applyProtection="1">
      <alignment horizontal="center"/>
    </xf>
    <xf numFmtId="0" fontId="64" fillId="2" borderId="7" xfId="0" applyFont="1" applyFill="1" applyBorder="1" applyAlignment="1" applyProtection="1">
      <alignment horizontal="right" vertical="center"/>
    </xf>
    <xf numFmtId="183" fontId="64" fillId="2" borderId="7" xfId="57" applyNumberFormat="1" applyFont="1" applyFill="1" applyBorder="1" applyAlignment="1" applyProtection="1">
      <alignment vertical="center"/>
    </xf>
    <xf numFmtId="0" fontId="42" fillId="2" borderId="15" xfId="0" applyFont="1" applyFill="1" applyBorder="1" applyAlignment="1" applyProtection="1"/>
    <xf numFmtId="183" fontId="64" fillId="2" borderId="0" xfId="0" applyNumberFormat="1" applyFont="1" applyFill="1" applyBorder="1" applyAlignment="1" applyProtection="1">
      <alignment horizontal="center"/>
    </xf>
    <xf numFmtId="183" fontId="64" fillId="2" borderId="15" xfId="57" applyNumberFormat="1" applyFont="1" applyFill="1" applyBorder="1" applyAlignment="1" applyProtection="1">
      <alignment vertical="center"/>
    </xf>
    <xf numFmtId="10" fontId="64" fillId="2" borderId="12" xfId="0" applyNumberFormat="1" applyFont="1" applyFill="1" applyBorder="1" applyAlignment="1" applyProtection="1">
      <alignment horizontal="center" vertical="center"/>
    </xf>
    <xf numFmtId="0" fontId="49" fillId="2" borderId="7" xfId="57" applyFont="1" applyFill="1" applyBorder="1" applyAlignment="1" applyProtection="1">
      <alignment horizontal="left"/>
    </xf>
    <xf numFmtId="188" fontId="49" fillId="2" borderId="14" xfId="0" applyNumberFormat="1" applyFont="1" applyFill="1" applyBorder="1" applyAlignment="1" applyProtection="1">
      <alignment horizontal="center"/>
    </xf>
    <xf numFmtId="188" fontId="49" fillId="2" borderId="7" xfId="0" applyNumberFormat="1" applyFont="1" applyFill="1" applyBorder="1" applyAlignment="1" applyProtection="1">
      <alignment horizontal="center" vertical="center"/>
    </xf>
    <xf numFmtId="183" fontId="49" fillId="2" borderId="15" xfId="57" applyNumberFormat="1" applyFont="1" applyFill="1" applyBorder="1" applyAlignment="1" applyProtection="1">
      <alignment vertical="center"/>
    </xf>
    <xf numFmtId="10" fontId="49" fillId="2" borderId="12" xfId="0" applyNumberFormat="1" applyFont="1" applyFill="1" applyBorder="1" applyAlignment="1" applyProtection="1">
      <alignment horizontal="center" vertical="center"/>
    </xf>
    <xf numFmtId="183" fontId="49" fillId="2" borderId="0" xfId="0" applyNumberFormat="1" applyFont="1" applyFill="1" applyBorder="1" applyAlignment="1" applyProtection="1">
      <alignment horizontal="center"/>
    </xf>
    <xf numFmtId="0" fontId="64" fillId="2" borderId="7" xfId="57" applyFont="1" applyFill="1" applyBorder="1" applyAlignment="1" applyProtection="1">
      <alignment vertical="center" wrapText="1"/>
    </xf>
    <xf numFmtId="183" fontId="64" fillId="2" borderId="14" xfId="0" applyNumberFormat="1" applyFont="1" applyFill="1" applyBorder="1" applyAlignment="1" applyProtection="1">
      <alignment horizontal="center" vertical="center" wrapText="1"/>
    </xf>
    <xf numFmtId="0" fontId="42" fillId="2" borderId="13" xfId="0" applyFont="1" applyFill="1" applyBorder="1" applyAlignment="1" applyProtection="1"/>
    <xf numFmtId="0" fontId="49" fillId="2" borderId="13" xfId="57" applyFont="1" applyFill="1" applyBorder="1" applyAlignment="1" applyProtection="1">
      <alignment horizontal="left"/>
    </xf>
    <xf numFmtId="10" fontId="49" fillId="2" borderId="7" xfId="0" applyNumberFormat="1" applyFont="1" applyFill="1" applyBorder="1" applyAlignment="1" applyProtection="1">
      <alignment horizontal="center" vertical="center" wrapText="1"/>
    </xf>
    <xf numFmtId="183" fontId="49" fillId="2" borderId="7" xfId="0" applyNumberFormat="1" applyFont="1" applyFill="1" applyBorder="1" applyAlignment="1" applyProtection="1">
      <alignment horizontal="center" vertical="center" wrapText="1"/>
    </xf>
    <xf numFmtId="183" fontId="49" fillId="2" borderId="15" xfId="57" applyNumberFormat="1" applyFont="1" applyFill="1" applyBorder="1" applyAlignment="1" applyProtection="1"/>
    <xf numFmtId="49" fontId="49" fillId="2" borderId="9" xfId="0" applyNumberFormat="1" applyFont="1" applyFill="1" applyBorder="1" applyAlignment="1" applyProtection="1">
      <alignment horizontal="center" vertical="center"/>
    </xf>
    <xf numFmtId="183" fontId="64" fillId="2" borderId="7" xfId="0" applyNumberFormat="1" applyFont="1" applyFill="1" applyBorder="1" applyAlignment="1" applyProtection="1">
      <alignment horizontal="center"/>
    </xf>
    <xf numFmtId="0" fontId="64" fillId="2" borderId="7" xfId="0" applyFont="1" applyFill="1" applyBorder="1" applyAlignment="1" applyProtection="1"/>
    <xf numFmtId="183" fontId="64" fillId="2" borderId="7" xfId="0" applyNumberFormat="1" applyFont="1" applyFill="1" applyBorder="1" applyAlignment="1" applyProtection="1"/>
    <xf numFmtId="10" fontId="64" fillId="2" borderId="7" xfId="0" applyNumberFormat="1" applyFont="1" applyFill="1" applyBorder="1" applyAlignment="1" applyProtection="1">
      <alignment horizontal="center"/>
    </xf>
    <xf numFmtId="183" fontId="64" fillId="2" borderId="13" xfId="0" applyNumberFormat="1" applyFont="1" applyFill="1" applyBorder="1" applyAlignment="1" applyProtection="1"/>
    <xf numFmtId="183" fontId="64" fillId="2" borderId="15" xfId="0" applyNumberFormat="1" applyFont="1" applyFill="1" applyBorder="1" applyAlignment="1" applyProtection="1"/>
    <xf numFmtId="0" fontId="64" fillId="2" borderId="101" xfId="0" applyFont="1" applyFill="1" applyBorder="1" applyAlignment="1" applyProtection="1"/>
    <xf numFmtId="0" fontId="64" fillId="2" borderId="89" xfId="0" applyFont="1" applyFill="1" applyBorder="1" applyAlignment="1" applyProtection="1"/>
    <xf numFmtId="178" fontId="75" fillId="2" borderId="10" xfId="0" applyNumberFormat="1" applyFont="1" applyFill="1" applyBorder="1" applyAlignment="1" applyProtection="1">
      <alignment horizontal="center"/>
    </xf>
    <xf numFmtId="0" fontId="75" fillId="2" borderId="56" xfId="0" applyFont="1" applyFill="1" applyBorder="1" applyAlignment="1" applyProtection="1"/>
    <xf numFmtId="0" fontId="75" fillId="2" borderId="68" xfId="0" applyFont="1" applyFill="1" applyBorder="1" applyAlignment="1" applyProtection="1"/>
    <xf numFmtId="0" fontId="69" fillId="10" borderId="0" xfId="0" applyFont="1" applyFill="1" applyAlignment="1" applyProtection="1">
      <protection locked="0"/>
    </xf>
    <xf numFmtId="0" fontId="75" fillId="2" borderId="93" xfId="0" applyFont="1" applyFill="1" applyBorder="1" applyAlignment="1" applyProtection="1"/>
    <xf numFmtId="0" fontId="64" fillId="10" borderId="0" xfId="0" applyFont="1" applyFill="1" applyAlignment="1" applyProtection="1">
      <protection locked="0"/>
    </xf>
    <xf numFmtId="178" fontId="49" fillId="2" borderId="8" xfId="0" applyNumberFormat="1" applyFont="1" applyFill="1" applyBorder="1" applyAlignment="1" applyProtection="1">
      <alignment horizontal="center"/>
      <protection locked="0"/>
    </xf>
    <xf numFmtId="0" fontId="49" fillId="10" borderId="0" xfId="0" applyFont="1" applyFill="1" applyAlignment="1" applyProtection="1">
      <protection locked="0"/>
    </xf>
    <xf numFmtId="189" fontId="18" fillId="2" borderId="8" xfId="0" applyNumberFormat="1" applyFont="1" applyFill="1" applyBorder="1" applyAlignment="1" applyProtection="1">
      <alignment horizontal="center" vertical="center"/>
    </xf>
    <xf numFmtId="0" fontId="64" fillId="2" borderId="93" xfId="0" applyFont="1" applyFill="1" applyBorder="1" applyAlignment="1" applyProtection="1"/>
    <xf numFmtId="0" fontId="58" fillId="10" borderId="0" xfId="0" applyFont="1" applyFill="1" applyProtection="1">
      <alignment vertical="center"/>
      <protection locked="0"/>
    </xf>
    <xf numFmtId="0" fontId="49" fillId="2" borderId="93" xfId="0" applyFont="1" applyFill="1" applyBorder="1" applyAlignment="1" applyProtection="1"/>
    <xf numFmtId="0" fontId="49" fillId="2" borderId="93" xfId="0" applyFont="1" applyFill="1" applyBorder="1" applyAlignment="1" applyProtection="1">
      <alignment horizontal="left"/>
    </xf>
    <xf numFmtId="0" fontId="42" fillId="2" borderId="93" xfId="0" applyFont="1" applyFill="1" applyBorder="1" applyAlignment="1" applyProtection="1"/>
    <xf numFmtId="183" fontId="64" fillId="2" borderId="93" xfId="0" applyNumberFormat="1" applyFont="1" applyFill="1" applyBorder="1" applyAlignment="1" applyProtection="1"/>
    <xf numFmtId="0" fontId="64" fillId="2" borderId="97" xfId="0" applyFont="1" applyFill="1" applyBorder="1" applyAlignment="1" applyProtection="1"/>
    <xf numFmtId="0" fontId="54" fillId="13" borderId="0" xfId="0" applyFont="1" applyFill="1" applyAlignment="1" applyProtection="1">
      <alignment vertical="center"/>
      <protection locked="0"/>
    </xf>
    <xf numFmtId="0" fontId="45" fillId="13" borderId="0" xfId="0" applyFont="1" applyFill="1" applyAlignment="1" applyProtection="1">
      <alignment vertical="center"/>
      <protection locked="0"/>
    </xf>
    <xf numFmtId="0" fontId="48" fillId="13" borderId="0" xfId="0" applyFont="1" applyFill="1" applyAlignment="1" applyProtection="1">
      <alignment vertical="center"/>
      <protection locked="0"/>
    </xf>
    <xf numFmtId="0" fontId="48" fillId="0" borderId="0" xfId="0" applyFont="1" applyFill="1" applyAlignment="1" applyProtection="1">
      <alignment vertical="center"/>
      <protection locked="0"/>
    </xf>
    <xf numFmtId="0" fontId="24" fillId="0" borderId="0" xfId="0" applyFont="1" applyFill="1" applyAlignment="1" applyProtection="1">
      <alignment vertical="center"/>
      <protection locked="0"/>
    </xf>
    <xf numFmtId="0" fontId="24" fillId="13" borderId="0" xfId="0" applyFont="1" applyFill="1" applyAlignment="1" applyProtection="1">
      <alignment horizontal="left" vertical="center"/>
      <protection locked="0"/>
    </xf>
    <xf numFmtId="0" fontId="24" fillId="13" borderId="0" xfId="0" applyFont="1" applyFill="1" applyAlignment="1" applyProtection="1">
      <alignment vertical="center"/>
      <protection locked="0"/>
    </xf>
    <xf numFmtId="0" fontId="24" fillId="13" borderId="0" xfId="0" applyFont="1" applyFill="1" applyAlignment="1" applyProtection="1">
      <alignment horizontal="center" vertical="center"/>
      <protection locked="0"/>
    </xf>
    <xf numFmtId="0" fontId="45" fillId="2" borderId="63" xfId="57" applyFont="1" applyFill="1" applyBorder="1" applyAlignment="1" applyProtection="1">
      <alignment vertical="center"/>
    </xf>
    <xf numFmtId="183" fontId="45" fillId="2" borderId="7" xfId="57" applyNumberFormat="1" applyFont="1" applyFill="1" applyBorder="1" applyAlignment="1" applyProtection="1">
      <alignment horizontal="right" vertical="center"/>
    </xf>
    <xf numFmtId="0" fontId="48" fillId="3" borderId="13" xfId="57" applyFont="1" applyFill="1" applyBorder="1" applyAlignment="1" applyProtection="1">
      <alignment vertical="center"/>
      <protection locked="0"/>
    </xf>
    <xf numFmtId="183" fontId="24" fillId="2" borderId="13" xfId="57" applyNumberFormat="1" applyFont="1" applyFill="1" applyBorder="1" applyAlignment="1" applyProtection="1">
      <alignment horizontal="right" vertical="center"/>
    </xf>
    <xf numFmtId="0" fontId="72" fillId="2" borderId="14" xfId="57" applyFont="1" applyFill="1" applyBorder="1" applyAlignment="1" applyProtection="1">
      <alignment vertical="center"/>
    </xf>
    <xf numFmtId="0" fontId="45" fillId="3" borderId="7" xfId="57" applyFont="1" applyFill="1" applyBorder="1" applyAlignment="1" applyProtection="1">
      <alignment vertical="center"/>
      <protection locked="0"/>
    </xf>
    <xf numFmtId="49" fontId="45" fillId="2" borderId="66" xfId="57" applyNumberFormat="1" applyFont="1" applyFill="1" applyBorder="1" applyAlignment="1" applyProtection="1"/>
    <xf numFmtId="49" fontId="45" fillId="2" borderId="67" xfId="57" applyNumberFormat="1" applyFont="1" applyFill="1" applyBorder="1" applyAlignment="1" applyProtection="1"/>
    <xf numFmtId="49" fontId="45" fillId="2" borderId="68" xfId="57" applyNumberFormat="1" applyFont="1" applyFill="1" applyBorder="1" applyAlignment="1" applyProtection="1"/>
    <xf numFmtId="0" fontId="45" fillId="0" borderId="0" xfId="0" applyFont="1" applyFill="1" applyAlignment="1" applyProtection="1">
      <alignment vertical="center"/>
      <protection locked="0"/>
    </xf>
    <xf numFmtId="49" fontId="48" fillId="2" borderId="6" xfId="57" applyNumberFormat="1" applyFont="1" applyFill="1" applyBorder="1" applyAlignment="1" applyProtection="1">
      <alignment horizontal="left"/>
    </xf>
    <xf numFmtId="0" fontId="48" fillId="2" borderId="13" xfId="57" applyFont="1" applyFill="1" applyBorder="1" applyAlignment="1" applyProtection="1"/>
    <xf numFmtId="183" fontId="48" fillId="2" borderId="7" xfId="57" applyNumberFormat="1" applyFont="1" applyFill="1" applyBorder="1" applyAlignment="1" applyProtection="1">
      <alignment horizontal="center" vertical="center"/>
    </xf>
    <xf numFmtId="0" fontId="48" fillId="2" borderId="7" xfId="57" applyFont="1" applyFill="1" applyBorder="1" applyAlignment="1" applyProtection="1">
      <alignment horizontal="center" vertical="center"/>
    </xf>
    <xf numFmtId="0" fontId="48" fillId="2" borderId="8" xfId="57" applyFont="1" applyFill="1" applyBorder="1" applyAlignment="1" applyProtection="1">
      <alignment horizontal="left"/>
    </xf>
    <xf numFmtId="49" fontId="24" fillId="2" borderId="6" xfId="57" applyNumberFormat="1" applyFont="1" applyFill="1" applyBorder="1" applyAlignment="1" applyProtection="1">
      <alignment horizontal="left"/>
    </xf>
    <xf numFmtId="0" fontId="24" fillId="2" borderId="13" xfId="57" applyFont="1" applyFill="1" applyBorder="1" applyAlignment="1" applyProtection="1"/>
    <xf numFmtId="183" fontId="24" fillId="0" borderId="7" xfId="57" applyNumberFormat="1" applyFont="1" applyFill="1" applyBorder="1" applyAlignment="1" applyProtection="1">
      <alignment horizontal="center" vertical="center"/>
      <protection locked="0"/>
    </xf>
    <xf numFmtId="185" fontId="24" fillId="2" borderId="7" xfId="57" applyNumberFormat="1" applyFont="1" applyFill="1" applyBorder="1" applyAlignment="1" applyProtection="1">
      <alignment horizontal="center" vertical="center"/>
    </xf>
    <xf numFmtId="0" fontId="24" fillId="2" borderId="7" xfId="57" applyFont="1" applyFill="1" applyBorder="1" applyAlignment="1" applyProtection="1">
      <alignment horizontal="center" vertical="center"/>
    </xf>
    <xf numFmtId="0" fontId="24" fillId="2" borderId="8" xfId="57" applyFont="1" applyFill="1" applyBorder="1" applyAlignment="1" applyProtection="1">
      <alignment horizontal="left"/>
    </xf>
    <xf numFmtId="183" fontId="24" fillId="2" borderId="7" xfId="57" applyNumberFormat="1" applyFont="1" applyFill="1" applyBorder="1" applyAlignment="1" applyProtection="1">
      <alignment horizontal="center" vertical="center"/>
    </xf>
    <xf numFmtId="10" fontId="24" fillId="2" borderId="7" xfId="57" applyNumberFormat="1" applyFont="1" applyFill="1" applyBorder="1" applyAlignment="1" applyProtection="1">
      <alignment horizontal="center" vertical="center"/>
    </xf>
    <xf numFmtId="183" fontId="24" fillId="2" borderId="7" xfId="57" applyNumberFormat="1" applyFont="1" applyFill="1" applyBorder="1" applyAlignment="1" applyProtection="1">
      <alignment vertical="center"/>
    </xf>
    <xf numFmtId="0" fontId="48" fillId="3" borderId="8" xfId="57" applyFont="1" applyFill="1" applyBorder="1" applyAlignment="1" applyProtection="1">
      <alignment horizontal="left" vertical="center"/>
      <protection locked="0"/>
    </xf>
    <xf numFmtId="49" fontId="98" fillId="2" borderId="6" xfId="57" applyNumberFormat="1" applyFont="1" applyFill="1" applyBorder="1" applyAlignment="1" applyProtection="1">
      <alignment horizontal="left"/>
    </xf>
    <xf numFmtId="0" fontId="98" fillId="2" borderId="13" xfId="57" applyFont="1" applyFill="1" applyBorder="1" applyAlignment="1" applyProtection="1"/>
    <xf numFmtId="183" fontId="98" fillId="2" borderId="7" xfId="57" applyNumberFormat="1" applyFont="1" applyFill="1" applyBorder="1" applyAlignment="1" applyProtection="1">
      <alignment horizontal="center" vertical="center"/>
    </xf>
    <xf numFmtId="185" fontId="98" fillId="2" borderId="7" xfId="57" applyNumberFormat="1" applyFont="1" applyFill="1" applyBorder="1" applyAlignment="1" applyProtection="1">
      <alignment horizontal="center" vertical="center"/>
    </xf>
    <xf numFmtId="0" fontId="24" fillId="2" borderId="8" xfId="57" applyFont="1" applyFill="1" applyBorder="1" applyAlignment="1" applyProtection="1">
      <alignment vertical="center" wrapText="1"/>
    </xf>
    <xf numFmtId="0" fontId="24" fillId="2" borderId="0" xfId="57" applyFont="1" applyFill="1" applyBorder="1" applyAlignment="1" applyProtection="1">
      <alignment horizontal="center" vertical="center"/>
    </xf>
    <xf numFmtId="0" fontId="24" fillId="2" borderId="7" xfId="0" applyFont="1" applyFill="1" applyBorder="1" applyAlignment="1" applyProtection="1">
      <alignment vertical="center"/>
    </xf>
    <xf numFmtId="185" fontId="48" fillId="2" borderId="7" xfId="57" applyNumberFormat="1" applyFont="1" applyFill="1" applyBorder="1" applyAlignment="1" applyProtection="1">
      <alignment horizontal="center" vertical="center"/>
    </xf>
    <xf numFmtId="9" fontId="48" fillId="2" borderId="13" xfId="57" applyNumberFormat="1" applyFont="1" applyFill="1" applyBorder="1" applyAlignment="1" applyProtection="1">
      <alignment horizontal="center" vertical="center"/>
    </xf>
    <xf numFmtId="0" fontId="48" fillId="2" borderId="7" xfId="0" applyFont="1" applyFill="1" applyBorder="1" applyAlignment="1" applyProtection="1">
      <alignment horizontal="center" vertical="center"/>
    </xf>
    <xf numFmtId="10" fontId="48" fillId="2" borderId="13" xfId="57" applyNumberFormat="1" applyFont="1" applyFill="1" applyBorder="1" applyAlignment="1" applyProtection="1">
      <alignment horizontal="center" vertical="center"/>
    </xf>
    <xf numFmtId="0" fontId="48" fillId="2" borderId="8" xfId="0" applyFont="1" applyFill="1" applyBorder="1" applyAlignment="1" applyProtection="1">
      <alignment vertical="center"/>
    </xf>
    <xf numFmtId="0" fontId="48" fillId="2" borderId="7" xfId="0" applyFont="1" applyFill="1" applyBorder="1" applyAlignment="1" applyProtection="1">
      <alignment horizontal="right" vertical="center"/>
    </xf>
    <xf numFmtId="0" fontId="48" fillId="2" borderId="7" xfId="0" applyFont="1" applyFill="1" applyBorder="1" applyAlignment="1" applyProtection="1">
      <alignment horizontal="left" vertical="center"/>
    </xf>
    <xf numFmtId="183" fontId="48" fillId="2" borderId="7" xfId="0" applyNumberFormat="1" applyFont="1" applyFill="1" applyBorder="1" applyAlignment="1" applyProtection="1">
      <alignment horizontal="center" vertical="center"/>
    </xf>
    <xf numFmtId="180" fontId="24" fillId="2" borderId="7" xfId="0" applyNumberFormat="1" applyFont="1" applyFill="1" applyBorder="1" applyAlignment="1" applyProtection="1">
      <alignment horizontal="center" vertical="center"/>
    </xf>
    <xf numFmtId="185" fontId="24" fillId="2" borderId="13" xfId="57" applyNumberFormat="1" applyFont="1" applyFill="1" applyBorder="1" applyAlignment="1" applyProtection="1">
      <alignment horizontal="center" vertical="center"/>
    </xf>
    <xf numFmtId="0" fontId="24" fillId="2" borderId="8" xfId="0" applyFont="1" applyFill="1" applyBorder="1" applyAlignment="1" applyProtection="1">
      <alignment vertical="center"/>
    </xf>
    <xf numFmtId="0" fontId="48" fillId="2" borderId="7" xfId="0" applyFont="1" applyFill="1" applyBorder="1" applyAlignment="1" applyProtection="1">
      <alignment vertical="center"/>
    </xf>
    <xf numFmtId="0" fontId="24" fillId="2" borderId="61" xfId="0" applyFont="1" applyFill="1" applyBorder="1" applyAlignment="1" applyProtection="1">
      <alignment vertical="center" wrapText="1"/>
    </xf>
    <xf numFmtId="0" fontId="24" fillId="2" borderId="80" xfId="0" applyFont="1" applyFill="1" applyBorder="1" applyAlignment="1" applyProtection="1">
      <alignment vertical="center"/>
    </xf>
    <xf numFmtId="49" fontId="48" fillId="2" borderId="6" xfId="0" applyNumberFormat="1" applyFont="1" applyFill="1" applyBorder="1" applyAlignment="1" applyProtection="1">
      <alignment horizontal="left" vertical="center"/>
    </xf>
    <xf numFmtId="0" fontId="48" fillId="2" borderId="13" xfId="57" applyFont="1" applyFill="1" applyBorder="1" applyAlignment="1" applyProtection="1">
      <alignment vertical="center"/>
    </xf>
    <xf numFmtId="0" fontId="48" fillId="2" borderId="8" xfId="0" applyFont="1" applyFill="1" applyBorder="1" applyAlignment="1" applyProtection="1">
      <alignment vertical="center" wrapText="1"/>
    </xf>
    <xf numFmtId="0" fontId="24" fillId="2" borderId="13" xfId="57" applyFont="1" applyFill="1" applyBorder="1" applyAlignment="1" applyProtection="1">
      <alignment horizontal="left"/>
    </xf>
    <xf numFmtId="9" fontId="48" fillId="2" borderId="7" xfId="57" applyNumberFormat="1" applyFont="1" applyFill="1" applyBorder="1" applyAlignment="1" applyProtection="1">
      <alignment horizontal="center" vertical="center"/>
    </xf>
    <xf numFmtId="49" fontId="45" fillId="2" borderId="71" xfId="57" applyNumberFormat="1" applyFont="1" applyFill="1" applyBorder="1" applyAlignment="1" applyProtection="1"/>
    <xf numFmtId="49" fontId="45" fillId="2" borderId="15" xfId="57" applyNumberFormat="1" applyFont="1" applyFill="1" applyBorder="1" applyAlignment="1" applyProtection="1"/>
    <xf numFmtId="49" fontId="45" fillId="2" borderId="15" xfId="57" applyNumberFormat="1" applyFont="1" applyFill="1" applyBorder="1" applyAlignment="1" applyProtection="1">
      <alignment vertical="center"/>
    </xf>
    <xf numFmtId="49" fontId="45" fillId="2" borderId="93" xfId="57" applyNumberFormat="1" applyFont="1" applyFill="1" applyBorder="1" applyAlignment="1" applyProtection="1"/>
    <xf numFmtId="187" fontId="48" fillId="2" borderId="13" xfId="57" applyNumberFormat="1" applyFont="1" applyFill="1" applyBorder="1" applyAlignment="1" applyProtection="1">
      <alignment horizontal="center" vertical="center"/>
    </xf>
    <xf numFmtId="10" fontId="24" fillId="2" borderId="13" xfId="57" applyNumberFormat="1" applyFont="1" applyFill="1" applyBorder="1" applyAlignment="1" applyProtection="1">
      <alignment horizontal="center" vertical="center"/>
    </xf>
    <xf numFmtId="0" fontId="24" fillId="2" borderId="8" xfId="0" applyFont="1" applyFill="1" applyBorder="1" applyAlignment="1" applyProtection="1">
      <alignment vertical="center" wrapText="1"/>
    </xf>
    <xf numFmtId="0" fontId="24" fillId="2" borderId="8" xfId="57" applyFont="1" applyFill="1" applyBorder="1" applyAlignment="1" applyProtection="1">
      <alignment horizontal="left" vertical="center"/>
    </xf>
    <xf numFmtId="10" fontId="48" fillId="11" borderId="13" xfId="57" applyNumberFormat="1" applyFont="1" applyFill="1" applyBorder="1" applyAlignment="1" applyProtection="1">
      <alignment horizontal="center" vertical="center"/>
    </xf>
    <xf numFmtId="0" fontId="48" fillId="2" borderId="7" xfId="0" applyNumberFormat="1" applyFont="1" applyFill="1" applyBorder="1" applyAlignment="1" applyProtection="1">
      <alignment horizontal="right" vertical="center"/>
    </xf>
    <xf numFmtId="0" fontId="24" fillId="2" borderId="61" xfId="0" applyFont="1" applyFill="1" applyBorder="1" applyAlignment="1" applyProtection="1">
      <alignment horizontal="left" vertical="center"/>
    </xf>
    <xf numFmtId="0" fontId="24" fillId="2" borderId="70" xfId="0" applyFont="1" applyFill="1" applyBorder="1" applyAlignment="1" applyProtection="1">
      <alignment horizontal="left" vertical="center"/>
    </xf>
    <xf numFmtId="9" fontId="48" fillId="11" borderId="13" xfId="57" applyNumberFormat="1" applyFont="1" applyFill="1" applyBorder="1" applyAlignment="1" applyProtection="1">
      <alignment horizontal="center" vertical="center"/>
    </xf>
    <xf numFmtId="193" fontId="48" fillId="2" borderId="7" xfId="0" applyNumberFormat="1" applyFont="1" applyFill="1" applyBorder="1" applyAlignment="1" applyProtection="1">
      <alignment horizontal="right" vertical="center"/>
    </xf>
    <xf numFmtId="10" fontId="48" fillId="2" borderId="7" xfId="57" applyNumberFormat="1" applyFont="1" applyFill="1" applyBorder="1" applyAlignment="1" applyProtection="1">
      <alignment horizontal="center" vertical="center"/>
    </xf>
    <xf numFmtId="49" fontId="45" fillId="2" borderId="101" xfId="57" applyNumberFormat="1" applyFont="1" applyFill="1" applyBorder="1" applyAlignment="1" applyProtection="1"/>
    <xf numFmtId="49" fontId="45" fillId="2" borderId="89" xfId="57" applyNumberFormat="1" applyFont="1" applyFill="1" applyBorder="1" applyAlignment="1" applyProtection="1"/>
    <xf numFmtId="183" fontId="48" fillId="2" borderId="10" xfId="0" applyNumberFormat="1" applyFont="1" applyFill="1" applyBorder="1" applyAlignment="1" applyProtection="1">
      <alignment horizontal="center" vertical="center"/>
    </xf>
    <xf numFmtId="49" fontId="45" fillId="2" borderId="97" xfId="57" applyNumberFormat="1" applyFont="1" applyFill="1" applyBorder="1" applyAlignment="1" applyProtection="1"/>
    <xf numFmtId="0" fontId="44" fillId="0" borderId="148" xfId="0" applyFont="1" applyFill="1" applyBorder="1" applyAlignment="1" applyProtection="1"/>
    <xf numFmtId="0" fontId="49" fillId="0" borderId="0" xfId="0" applyFont="1" applyFill="1" applyProtection="1">
      <alignment vertical="center"/>
    </xf>
    <xf numFmtId="0" fontId="23" fillId="0" borderId="0" xfId="0" applyFont="1" applyFill="1" applyProtection="1">
      <alignment vertical="center"/>
    </xf>
    <xf numFmtId="0" fontId="49" fillId="10" borderId="0" xfId="0" applyFont="1" applyFill="1" applyProtection="1">
      <alignment vertical="center"/>
    </xf>
    <xf numFmtId="0" fontId="49" fillId="0" borderId="0" xfId="0" applyFont="1" applyProtection="1">
      <alignment vertical="center"/>
    </xf>
    <xf numFmtId="0" fontId="49" fillId="16" borderId="0" xfId="0" applyFont="1" applyFill="1" applyProtection="1">
      <alignment vertical="center"/>
    </xf>
    <xf numFmtId="0" fontId="99" fillId="2" borderId="0" xfId="0" applyFont="1" applyFill="1" applyProtection="1">
      <alignment vertical="center"/>
    </xf>
    <xf numFmtId="0" fontId="49" fillId="2" borderId="0" xfId="0" applyFont="1" applyFill="1" applyProtection="1">
      <alignment vertical="center"/>
    </xf>
    <xf numFmtId="0" fontId="100" fillId="2" borderId="0" xfId="0" applyFont="1" applyFill="1" applyAlignment="1" applyProtection="1">
      <alignment horizontal="center" vertical="center"/>
    </xf>
    <xf numFmtId="0" fontId="49" fillId="2" borderId="103" xfId="0" applyFont="1" applyFill="1" applyBorder="1" applyAlignment="1" applyProtection="1">
      <alignment horizontal="center" vertical="center"/>
    </xf>
    <xf numFmtId="0" fontId="42" fillId="2" borderId="12" xfId="0" applyFont="1" applyFill="1" applyBorder="1" applyAlignment="1" applyProtection="1">
      <alignment horizontal="left" vertical="center" wrapText="1"/>
    </xf>
    <xf numFmtId="0" fontId="23" fillId="12" borderId="12" xfId="0" applyFont="1" applyFill="1" applyBorder="1" applyAlignment="1" applyProtection="1">
      <alignment horizontal="left" vertical="center"/>
      <protection locked="0"/>
    </xf>
    <xf numFmtId="0" fontId="42" fillId="0" borderId="12" xfId="0" applyFont="1" applyBorder="1" applyAlignment="1" applyProtection="1">
      <alignment horizontal="left" vertical="center"/>
      <protection locked="0"/>
    </xf>
    <xf numFmtId="0" fontId="42" fillId="0" borderId="7" xfId="0" applyFont="1" applyBorder="1" applyAlignment="1" applyProtection="1">
      <alignment horizontal="left" vertical="center"/>
      <protection locked="0"/>
    </xf>
    <xf numFmtId="0" fontId="42" fillId="0" borderId="52" xfId="0" applyFont="1" applyBorder="1" applyAlignment="1" applyProtection="1">
      <alignment horizontal="left" vertical="center"/>
      <protection locked="0"/>
    </xf>
    <xf numFmtId="0" fontId="42" fillId="0" borderId="16" xfId="0" applyFont="1" applyBorder="1" applyAlignment="1" applyProtection="1">
      <alignment horizontal="left" vertical="center"/>
      <protection locked="0"/>
    </xf>
    <xf numFmtId="0" fontId="64" fillId="2" borderId="13" xfId="0" applyFont="1" applyFill="1" applyBorder="1" applyAlignment="1" applyProtection="1">
      <alignment horizontal="left" vertical="center"/>
    </xf>
    <xf numFmtId="0" fontId="42" fillId="2" borderId="16" xfId="0" applyFont="1" applyFill="1" applyBorder="1" applyAlignment="1" applyProtection="1">
      <alignment horizontal="left" vertical="center"/>
    </xf>
    <xf numFmtId="0" fontId="49" fillId="2" borderId="0" xfId="0" applyFont="1" applyFill="1" applyAlignment="1" applyProtection="1">
      <alignment horizontal="left" vertical="center"/>
    </xf>
    <xf numFmtId="0" fontId="64" fillId="2" borderId="69" xfId="0" applyFont="1" applyFill="1" applyBorder="1" applyAlignment="1" applyProtection="1">
      <alignment horizontal="left" vertical="center"/>
    </xf>
    <xf numFmtId="0" fontId="42" fillId="2" borderId="0" xfId="0" applyFont="1" applyFill="1" applyAlignment="1" applyProtection="1">
      <alignment horizontal="left" vertical="center"/>
    </xf>
    <xf numFmtId="185" fontId="42" fillId="2" borderId="12" xfId="0" applyNumberFormat="1" applyFont="1" applyFill="1" applyBorder="1" applyAlignment="1" applyProtection="1">
      <alignment horizontal="left" vertical="center"/>
    </xf>
    <xf numFmtId="0" fontId="13" fillId="2" borderId="69" xfId="0" applyFont="1" applyFill="1" applyBorder="1" applyAlignment="1" applyProtection="1">
      <alignment horizontal="left" vertical="center" wrapText="1"/>
    </xf>
    <xf numFmtId="0" fontId="13" fillId="2" borderId="0" xfId="0" applyFont="1" applyFill="1" applyAlignment="1" applyProtection="1">
      <alignment horizontal="left" vertical="center" wrapText="1"/>
    </xf>
    <xf numFmtId="0" fontId="64" fillId="2" borderId="85" xfId="0" applyFont="1" applyFill="1" applyBorder="1" applyAlignment="1" applyProtection="1">
      <alignment horizontal="left" vertical="center"/>
    </xf>
    <xf numFmtId="0" fontId="42" fillId="2" borderId="4" xfId="0" applyFont="1" applyFill="1" applyBorder="1" applyAlignment="1" applyProtection="1">
      <alignment horizontal="left" vertical="center"/>
    </xf>
    <xf numFmtId="0" fontId="23" fillId="2" borderId="4" xfId="0" applyFont="1" applyFill="1" applyBorder="1" applyAlignment="1" applyProtection="1">
      <alignment horizontal="left" vertical="center"/>
    </xf>
    <xf numFmtId="0" fontId="23" fillId="2" borderId="5" xfId="0" applyFont="1" applyFill="1" applyBorder="1" applyAlignment="1" applyProtection="1">
      <alignment horizontal="left" vertical="center"/>
    </xf>
    <xf numFmtId="0" fontId="42" fillId="2" borderId="55" xfId="0" applyFont="1" applyFill="1" applyBorder="1" applyAlignment="1" applyProtection="1">
      <alignment horizontal="left" vertical="center"/>
    </xf>
    <xf numFmtId="0" fontId="48" fillId="2" borderId="68" xfId="57" applyFont="1" applyFill="1" applyBorder="1" applyAlignment="1" applyProtection="1">
      <alignment horizontal="left" vertical="center"/>
    </xf>
    <xf numFmtId="0" fontId="64" fillId="2" borderId="62" xfId="0" applyFont="1" applyFill="1" applyBorder="1" applyAlignment="1" applyProtection="1">
      <alignment horizontal="left" vertical="center"/>
    </xf>
    <xf numFmtId="0" fontId="49" fillId="2" borderId="93" xfId="0" applyFont="1" applyFill="1" applyBorder="1" applyAlignment="1" applyProtection="1">
      <alignment horizontal="left" vertical="center"/>
    </xf>
    <xf numFmtId="0" fontId="64" fillId="2" borderId="98" xfId="0" applyFont="1" applyFill="1" applyBorder="1" applyAlignment="1" applyProtection="1">
      <alignment horizontal="left" vertical="center"/>
    </xf>
    <xf numFmtId="0" fontId="42" fillId="2" borderId="10" xfId="0" applyFont="1" applyFill="1" applyBorder="1" applyAlignment="1" applyProtection="1">
      <alignment horizontal="left" vertical="center"/>
    </xf>
    <xf numFmtId="0" fontId="42" fillId="2" borderId="11" xfId="0" applyFont="1" applyFill="1" applyBorder="1" applyAlignment="1" applyProtection="1">
      <alignment horizontal="left" vertical="center"/>
    </xf>
    <xf numFmtId="0" fontId="42" fillId="2" borderId="56" xfId="0" applyFont="1" applyFill="1" applyBorder="1" applyAlignment="1" applyProtection="1">
      <alignment horizontal="left" vertical="center"/>
    </xf>
    <xf numFmtId="0" fontId="49" fillId="2" borderId="97" xfId="0" applyFont="1" applyFill="1" applyBorder="1" applyAlignment="1" applyProtection="1">
      <alignment horizontal="left" vertical="center"/>
    </xf>
    <xf numFmtId="0" fontId="42" fillId="2" borderId="96" xfId="0" applyFont="1" applyFill="1" applyBorder="1" applyAlignment="1" applyProtection="1">
      <alignment horizontal="left" vertical="center"/>
    </xf>
    <xf numFmtId="0" fontId="42" fillId="2" borderId="99" xfId="0" applyFont="1" applyFill="1" applyBorder="1" applyAlignment="1" applyProtection="1">
      <alignment horizontal="left" vertical="center"/>
    </xf>
    <xf numFmtId="0" fontId="42" fillId="2" borderId="82" xfId="0" applyFont="1" applyFill="1" applyBorder="1" applyAlignment="1" applyProtection="1">
      <alignment horizontal="left" vertical="center"/>
    </xf>
    <xf numFmtId="187" fontId="101" fillId="2" borderId="92" xfId="0" applyNumberFormat="1" applyFont="1" applyFill="1" applyBorder="1" applyAlignment="1" applyProtection="1">
      <alignment horizontal="left" vertical="center"/>
    </xf>
    <xf numFmtId="1" fontId="49" fillId="2" borderId="0" xfId="0" applyNumberFormat="1" applyFont="1" applyFill="1" applyAlignment="1" applyProtection="1">
      <alignment horizontal="left" vertical="center"/>
      <protection locked="0"/>
    </xf>
    <xf numFmtId="0" fontId="42" fillId="2" borderId="68" xfId="0" applyFont="1" applyFill="1" applyBorder="1" applyAlignment="1" applyProtection="1">
      <alignment horizontal="left" vertical="center"/>
    </xf>
    <xf numFmtId="0" fontId="64" fillId="2" borderId="100" xfId="0" applyFont="1" applyFill="1" applyBorder="1" applyAlignment="1" applyProtection="1">
      <alignment horizontal="left" vertical="center" wrapText="1"/>
    </xf>
    <xf numFmtId="0" fontId="42" fillId="2" borderId="58" xfId="0" applyFont="1" applyFill="1" applyBorder="1" applyAlignment="1" applyProtection="1">
      <alignment horizontal="left" vertical="center"/>
    </xf>
    <xf numFmtId="0" fontId="42" fillId="2" borderId="93" xfId="0" applyFont="1" applyFill="1" applyBorder="1" applyAlignment="1" applyProtection="1">
      <alignment horizontal="left" vertical="center"/>
    </xf>
    <xf numFmtId="0" fontId="71" fillId="0" borderId="6" xfId="0" applyFont="1" applyBorder="1" applyAlignment="1" applyProtection="1">
      <alignment horizontal="left" vertical="center"/>
      <protection locked="0"/>
    </xf>
    <xf numFmtId="0" fontId="71" fillId="0" borderId="7" xfId="0" applyFont="1" applyFill="1" applyBorder="1" applyAlignment="1" applyProtection="1">
      <alignment horizontal="left" vertical="center"/>
      <protection locked="0"/>
    </xf>
    <xf numFmtId="0" fontId="71" fillId="0" borderId="8" xfId="0" applyFont="1" applyFill="1" applyBorder="1" applyAlignment="1" applyProtection="1">
      <alignment horizontal="left" vertical="center"/>
      <protection locked="0"/>
    </xf>
    <xf numFmtId="0" fontId="42" fillId="3" borderId="93" xfId="0" applyFont="1" applyFill="1" applyBorder="1" applyAlignment="1" applyProtection="1">
      <alignment horizontal="left" vertical="center"/>
      <protection locked="0"/>
    </xf>
    <xf numFmtId="0" fontId="71" fillId="0" borderId="12" xfId="0" applyFont="1" applyFill="1" applyBorder="1" applyAlignment="1" applyProtection="1">
      <alignment horizontal="left" vertical="center"/>
    </xf>
    <xf numFmtId="0" fontId="71" fillId="0" borderId="12" xfId="0" applyFont="1" applyFill="1" applyBorder="1" applyAlignment="1" applyProtection="1">
      <alignment horizontal="left" vertical="center"/>
      <protection locked="0"/>
    </xf>
    <xf numFmtId="0" fontId="13" fillId="2" borderId="0" xfId="0" applyFont="1" applyFill="1" applyAlignment="1" applyProtection="1">
      <alignment horizontal="left" vertical="center"/>
    </xf>
    <xf numFmtId="0" fontId="102" fillId="2" borderId="148" xfId="0" applyFont="1" applyFill="1" applyBorder="1" applyAlignment="1" applyProtection="1">
      <alignment horizontal="left"/>
    </xf>
    <xf numFmtId="0" fontId="44" fillId="2" borderId="148" xfId="0" applyFont="1" applyFill="1" applyBorder="1" applyAlignment="1" applyProtection="1">
      <alignment horizontal="left"/>
    </xf>
    <xf numFmtId="0" fontId="100" fillId="2" borderId="149" xfId="0" applyFont="1" applyFill="1" applyBorder="1" applyAlignment="1" applyProtection="1">
      <alignment horizontal="left" vertical="center"/>
    </xf>
    <xf numFmtId="0" fontId="64" fillId="2" borderId="53" xfId="0" applyFont="1" applyFill="1" applyBorder="1" applyAlignment="1" applyProtection="1">
      <alignment horizontal="left" vertical="center"/>
    </xf>
    <xf numFmtId="0" fontId="64" fillId="2" borderId="90" xfId="0" applyFont="1" applyFill="1" applyBorder="1" applyAlignment="1" applyProtection="1">
      <alignment horizontal="left" vertical="center"/>
    </xf>
    <xf numFmtId="0" fontId="42" fillId="2" borderId="5" xfId="0" applyFont="1" applyFill="1" applyBorder="1" applyAlignment="1" applyProtection="1">
      <alignment horizontal="left" vertical="center"/>
    </xf>
    <xf numFmtId="0" fontId="64" fillId="2" borderId="79" xfId="0" applyFont="1" applyFill="1" applyBorder="1" applyAlignment="1" applyProtection="1">
      <alignment horizontal="left" vertical="center"/>
    </xf>
    <xf numFmtId="0" fontId="64" fillId="2" borderId="14" xfId="0" applyFont="1" applyFill="1" applyBorder="1" applyAlignment="1" applyProtection="1">
      <alignment horizontal="left" vertical="center"/>
    </xf>
    <xf numFmtId="0" fontId="42" fillId="2" borderId="8" xfId="0" applyFont="1" applyFill="1" applyBorder="1" applyAlignment="1" applyProtection="1">
      <alignment horizontal="left" vertical="center"/>
    </xf>
    <xf numFmtId="0" fontId="49" fillId="2" borderId="0" xfId="0" applyNumberFormat="1" applyFont="1" applyFill="1" applyAlignment="1" applyProtection="1">
      <alignment horizontal="left" vertical="center"/>
    </xf>
    <xf numFmtId="0" fontId="64" fillId="2" borderId="84" xfId="0" applyFont="1" applyFill="1" applyBorder="1" applyAlignment="1" applyProtection="1">
      <alignment horizontal="left" vertical="center"/>
    </xf>
    <xf numFmtId="0" fontId="64" fillId="2" borderId="87" xfId="0" applyFont="1" applyFill="1" applyBorder="1" applyAlignment="1" applyProtection="1">
      <alignment horizontal="left" vertical="center"/>
    </xf>
    <xf numFmtId="0" fontId="64" fillId="2" borderId="66" xfId="0" applyFont="1" applyFill="1" applyBorder="1" applyAlignment="1" applyProtection="1">
      <alignment horizontal="left" vertical="center"/>
    </xf>
    <xf numFmtId="0" fontId="42" fillId="2" borderId="90" xfId="0" applyFont="1" applyFill="1" applyBorder="1" applyAlignment="1" applyProtection="1">
      <alignment horizontal="left" vertical="center"/>
    </xf>
    <xf numFmtId="0" fontId="64" fillId="2" borderId="5" xfId="0" applyFont="1" applyFill="1" applyBorder="1" applyAlignment="1" applyProtection="1">
      <alignment horizontal="left" vertical="center"/>
    </xf>
    <xf numFmtId="0" fontId="64" fillId="2" borderId="101" xfId="0" applyFont="1" applyFill="1" applyBorder="1" applyAlignment="1" applyProtection="1">
      <alignment horizontal="left" vertical="center"/>
    </xf>
    <xf numFmtId="0" fontId="42" fillId="2" borderId="87" xfId="0" applyFont="1" applyFill="1" applyBorder="1" applyAlignment="1" applyProtection="1">
      <alignment horizontal="left" vertical="center"/>
    </xf>
    <xf numFmtId="0" fontId="64" fillId="2" borderId="11" xfId="0" applyFont="1" applyFill="1" applyBorder="1" applyAlignment="1" applyProtection="1">
      <alignment horizontal="left" vertical="center"/>
    </xf>
    <xf numFmtId="0" fontId="64" fillId="0" borderId="5" xfId="0" applyFont="1" applyFill="1" applyBorder="1" applyAlignment="1" applyProtection="1">
      <alignment horizontal="left" vertical="center"/>
      <protection locked="0"/>
    </xf>
    <xf numFmtId="0" fontId="42" fillId="3" borderId="144" xfId="0" applyFont="1" applyFill="1" applyBorder="1" applyAlignment="1" applyProtection="1">
      <alignment horizontal="left" vertical="center"/>
      <protection locked="0"/>
    </xf>
    <xf numFmtId="0" fontId="42" fillId="2" borderId="0" xfId="0" applyFont="1" applyFill="1" applyBorder="1" applyAlignment="1" applyProtection="1">
      <alignment horizontal="left" vertical="center"/>
      <protection locked="0"/>
    </xf>
    <xf numFmtId="0" fontId="64" fillId="0" borderId="8" xfId="0" applyFont="1" applyFill="1" applyBorder="1" applyAlignment="1" applyProtection="1">
      <alignment horizontal="left" vertical="center"/>
      <protection locked="0"/>
    </xf>
    <xf numFmtId="0" fontId="42" fillId="2" borderId="0" xfId="0" applyFont="1" applyFill="1" applyAlignment="1" applyProtection="1">
      <alignment horizontal="left" vertical="center"/>
      <protection locked="0"/>
    </xf>
    <xf numFmtId="0" fontId="64" fillId="2" borderId="84" xfId="0" applyFont="1" applyFill="1" applyBorder="1" applyAlignment="1" applyProtection="1">
      <alignment horizontal="left" vertical="center" wrapText="1"/>
    </xf>
    <xf numFmtId="0" fontId="64" fillId="0" borderId="10" xfId="0" applyFont="1" applyFill="1" applyBorder="1" applyAlignment="1" applyProtection="1">
      <alignment horizontal="left" vertical="center"/>
      <protection locked="0"/>
    </xf>
    <xf numFmtId="0" fontId="42" fillId="0" borderId="92" xfId="0" applyFont="1" applyFill="1" applyBorder="1" applyAlignment="1" applyProtection="1">
      <alignment horizontal="left" vertical="center"/>
      <protection locked="0"/>
    </xf>
    <xf numFmtId="0" fontId="71" fillId="0" borderId="3" xfId="0" applyFont="1" applyFill="1" applyBorder="1" applyAlignment="1" applyProtection="1">
      <alignment horizontal="left" vertical="center"/>
      <protection locked="0"/>
    </xf>
    <xf numFmtId="0" fontId="71" fillId="0" borderId="4" xfId="0" applyFont="1" applyFill="1" applyBorder="1" applyAlignment="1" applyProtection="1">
      <alignment horizontal="left" vertical="center"/>
      <protection locked="0"/>
    </xf>
    <xf numFmtId="0" fontId="71" fillId="0" borderId="5" xfId="0" applyFont="1" applyFill="1" applyBorder="1" applyAlignment="1" applyProtection="1">
      <alignment horizontal="left" vertical="center"/>
      <protection locked="0"/>
    </xf>
    <xf numFmtId="0" fontId="49" fillId="2" borderId="62" xfId="0" applyFont="1" applyFill="1" applyBorder="1" applyAlignment="1" applyProtection="1">
      <alignment horizontal="left" vertical="center"/>
    </xf>
    <xf numFmtId="0" fontId="49" fillId="0" borderId="6" xfId="0" applyFont="1" applyBorder="1" applyAlignment="1" applyProtection="1">
      <alignment horizontal="left" vertical="center"/>
      <protection locked="0"/>
    </xf>
    <xf numFmtId="0" fontId="49" fillId="0" borderId="7" xfId="0" applyFont="1" applyBorder="1" applyAlignment="1" applyProtection="1">
      <alignment horizontal="left" vertical="center"/>
      <protection locked="0"/>
    </xf>
    <xf numFmtId="0" fontId="49" fillId="0" borderId="8" xfId="0" applyFont="1" applyFill="1" applyBorder="1" applyAlignment="1" applyProtection="1">
      <alignment horizontal="left" vertical="center"/>
      <protection locked="0"/>
    </xf>
    <xf numFmtId="0" fontId="49" fillId="2" borderId="98" xfId="0" applyFont="1" applyFill="1" applyBorder="1" applyAlignment="1" applyProtection="1">
      <alignment horizontal="left" vertical="center"/>
    </xf>
    <xf numFmtId="0" fontId="49" fillId="0" borderId="9" xfId="0" applyFont="1" applyBorder="1" applyAlignment="1" applyProtection="1">
      <alignment horizontal="left" vertical="center"/>
      <protection locked="0"/>
    </xf>
    <xf numFmtId="0" fontId="49" fillId="0" borderId="10" xfId="0" applyFont="1" applyBorder="1" applyAlignment="1" applyProtection="1">
      <alignment horizontal="left" vertical="center"/>
      <protection locked="0"/>
    </xf>
    <xf numFmtId="0" fontId="49" fillId="0" borderId="11" xfId="0" applyFont="1" applyBorder="1" applyAlignment="1" applyProtection="1">
      <alignment horizontal="left" vertical="center"/>
      <protection locked="0"/>
    </xf>
    <xf numFmtId="0" fontId="49" fillId="2" borderId="0" xfId="0" applyFont="1" applyFill="1" applyBorder="1" applyAlignment="1" applyProtection="1">
      <alignment horizontal="left" vertical="center"/>
    </xf>
    <xf numFmtId="0" fontId="19" fillId="2" borderId="0" xfId="0" applyFont="1" applyFill="1" applyBorder="1" applyAlignment="1" applyProtection="1">
      <alignment horizontal="left" vertical="center"/>
    </xf>
    <xf numFmtId="0" fontId="99" fillId="2" borderId="0" xfId="0" applyFont="1" applyFill="1" applyBorder="1" applyAlignment="1" applyProtection="1">
      <alignment horizontal="left" vertical="center"/>
    </xf>
    <xf numFmtId="0" fontId="103" fillId="2" borderId="0" xfId="0" applyFont="1" applyFill="1" applyBorder="1" applyAlignment="1" applyProtection="1">
      <alignment horizontal="left" vertical="center"/>
    </xf>
    <xf numFmtId="0" fontId="104" fillId="2" borderId="0" xfId="0" applyFont="1" applyFill="1" applyBorder="1" applyAlignment="1" applyProtection="1">
      <alignment horizontal="left" vertical="center"/>
    </xf>
    <xf numFmtId="0" fontId="74" fillId="2" borderId="83" xfId="0" applyFont="1" applyFill="1" applyBorder="1" applyAlignment="1" applyProtection="1">
      <alignment horizontal="left" vertical="center" wrapText="1"/>
    </xf>
    <xf numFmtId="0" fontId="74" fillId="2" borderId="38" xfId="0" applyFont="1" applyFill="1" applyBorder="1" applyAlignment="1" applyProtection="1">
      <alignment horizontal="left" vertical="center" wrapText="1"/>
    </xf>
    <xf numFmtId="0" fontId="74" fillId="2" borderId="91" xfId="0" applyFont="1" applyFill="1" applyBorder="1" applyAlignment="1" applyProtection="1">
      <alignment horizontal="left" vertical="center" wrapText="1"/>
    </xf>
    <xf numFmtId="9" fontId="49" fillId="3" borderId="38" xfId="0" applyNumberFormat="1" applyFont="1" applyFill="1" applyBorder="1" applyAlignment="1" applyProtection="1">
      <alignment horizontal="left" vertical="center"/>
      <protection locked="0"/>
    </xf>
    <xf numFmtId="0" fontId="49" fillId="2" borderId="91" xfId="0" applyFont="1" applyFill="1" applyBorder="1" applyAlignment="1" applyProtection="1">
      <alignment horizontal="left" vertical="center"/>
    </xf>
    <xf numFmtId="0" fontId="74" fillId="2" borderId="66" xfId="0" applyFont="1" applyFill="1" applyBorder="1" applyAlignment="1" applyProtection="1">
      <alignment horizontal="left" vertical="center" wrapText="1"/>
    </xf>
    <xf numFmtId="0" fontId="74" fillId="2" borderId="67" xfId="0" applyFont="1" applyFill="1" applyBorder="1" applyAlignment="1" applyProtection="1">
      <alignment horizontal="left" vertical="center" wrapText="1"/>
    </xf>
    <xf numFmtId="0" fontId="74" fillId="2" borderId="68" xfId="0" applyFont="1" applyFill="1" applyBorder="1" applyAlignment="1" applyProtection="1">
      <alignment horizontal="left" vertical="center" wrapText="1"/>
    </xf>
    <xf numFmtId="9" fontId="49" fillId="2" borderId="0" xfId="0" applyNumberFormat="1" applyFont="1" applyFill="1" applyAlignment="1" applyProtection="1">
      <alignment horizontal="left" vertical="center"/>
      <protection locked="0"/>
    </xf>
    <xf numFmtId="0" fontId="74" fillId="2" borderId="62" xfId="0" applyFont="1" applyFill="1" applyBorder="1" applyAlignment="1" applyProtection="1">
      <alignment horizontal="left" vertical="center" wrapText="1"/>
    </xf>
    <xf numFmtId="0" fontId="74" fillId="2" borderId="39" xfId="0" applyFont="1" applyFill="1" applyBorder="1" applyAlignment="1" applyProtection="1">
      <alignment horizontal="left" vertical="center" wrapText="1"/>
    </xf>
    <xf numFmtId="0" fontId="74" fillId="2" borderId="59" xfId="0" applyFont="1" applyFill="1" applyBorder="1" applyAlignment="1" applyProtection="1">
      <alignment horizontal="left" vertical="center" wrapText="1"/>
    </xf>
    <xf numFmtId="9" fontId="49" fillId="2" borderId="8" xfId="0" applyNumberFormat="1" applyFont="1" applyFill="1" applyBorder="1" applyAlignment="1" applyProtection="1">
      <alignment horizontal="left" vertical="center"/>
    </xf>
    <xf numFmtId="0" fontId="49" fillId="2" borderId="57" xfId="0" applyFont="1" applyFill="1" applyBorder="1" applyAlignment="1" applyProtection="1">
      <alignment horizontal="left" vertical="center" wrapText="1"/>
    </xf>
    <xf numFmtId="10" fontId="49" fillId="2" borderId="16" xfId="0" applyNumberFormat="1" applyFont="1" applyFill="1" applyBorder="1" applyAlignment="1" applyProtection="1">
      <alignment horizontal="left" vertical="center"/>
    </xf>
    <xf numFmtId="0" fontId="50" fillId="0" borderId="8" xfId="0" applyFont="1" applyFill="1" applyBorder="1" applyAlignment="1" applyProtection="1">
      <alignment horizontal="left" vertical="center" wrapText="1"/>
      <protection locked="0"/>
    </xf>
    <xf numFmtId="0" fontId="49" fillId="3" borderId="14" xfId="0" applyFont="1" applyFill="1" applyBorder="1" applyAlignment="1" applyProtection="1">
      <alignment horizontal="left" vertical="center"/>
      <protection locked="0"/>
    </xf>
    <xf numFmtId="0" fontId="49" fillId="2" borderId="83" xfId="0" applyFont="1" applyFill="1" applyBorder="1" applyAlignment="1" applyProtection="1">
      <alignment horizontal="left" vertical="center"/>
    </xf>
    <xf numFmtId="0" fontId="49" fillId="2" borderId="102" xfId="0" applyFont="1" applyFill="1" applyBorder="1" applyAlignment="1" applyProtection="1">
      <alignment horizontal="left" vertical="center"/>
    </xf>
    <xf numFmtId="0" fontId="49" fillId="2" borderId="61" xfId="0" applyFont="1" applyFill="1" applyBorder="1" applyAlignment="1" applyProtection="1">
      <alignment horizontal="left" vertical="center"/>
    </xf>
    <xf numFmtId="0" fontId="105" fillId="11" borderId="0" xfId="0" applyFont="1" applyFill="1" applyAlignment="1" applyProtection="1">
      <alignment horizontal="left" vertical="center"/>
    </xf>
    <xf numFmtId="0" fontId="49" fillId="2" borderId="79" xfId="0" applyFont="1" applyFill="1" applyBorder="1" applyAlignment="1" applyProtection="1">
      <alignment horizontal="left" vertical="center" wrapText="1"/>
    </xf>
    <xf numFmtId="0" fontId="49" fillId="2" borderId="69" xfId="0" applyFont="1" applyFill="1" applyBorder="1" applyAlignment="1" applyProtection="1">
      <alignment horizontal="left" vertical="center"/>
    </xf>
    <xf numFmtId="0" fontId="49" fillId="2" borderId="70" xfId="0" applyFont="1" applyFill="1" applyBorder="1" applyAlignment="1" applyProtection="1">
      <alignment horizontal="left" vertical="center"/>
    </xf>
    <xf numFmtId="0" fontId="49" fillId="11" borderId="0" xfId="0" applyFont="1" applyFill="1" applyAlignment="1" applyProtection="1">
      <alignment horizontal="left" vertical="center"/>
    </xf>
    <xf numFmtId="0" fontId="49" fillId="2" borderId="100" xfId="0" applyFont="1" applyFill="1" applyBorder="1" applyAlignment="1" applyProtection="1">
      <alignment horizontal="left" vertical="center" wrapText="1"/>
    </xf>
    <xf numFmtId="0" fontId="49" fillId="2" borderId="80" xfId="0" applyFont="1" applyFill="1" applyBorder="1" applyAlignment="1" applyProtection="1">
      <alignment horizontal="left" vertical="center"/>
    </xf>
    <xf numFmtId="0" fontId="49" fillId="2" borderId="6" xfId="0" applyFont="1" applyFill="1" applyBorder="1" applyAlignment="1" applyProtection="1">
      <alignment horizontal="left" vertical="center" wrapText="1"/>
    </xf>
    <xf numFmtId="10" fontId="49" fillId="2" borderId="7" xfId="0" applyNumberFormat="1" applyFont="1" applyFill="1" applyBorder="1" applyAlignment="1" applyProtection="1">
      <alignment horizontal="left" vertical="center"/>
    </xf>
    <xf numFmtId="0" fontId="49" fillId="2" borderId="8" xfId="0" applyFont="1" applyFill="1" applyBorder="1" applyAlignment="1" applyProtection="1">
      <alignment horizontal="left" vertical="center"/>
    </xf>
    <xf numFmtId="0" fontId="49" fillId="2" borderId="14" xfId="0" applyFont="1" applyFill="1" applyBorder="1" applyAlignment="1" applyProtection="1">
      <alignment horizontal="left" vertical="center" wrapText="1"/>
    </xf>
    <xf numFmtId="0" fontId="50" fillId="2" borderId="0" xfId="0" applyFont="1" applyFill="1" applyAlignment="1" applyProtection="1">
      <alignment horizontal="left" vertical="center"/>
      <protection locked="0"/>
    </xf>
    <xf numFmtId="0" fontId="19" fillId="0" borderId="8" xfId="0" applyFont="1" applyFill="1" applyBorder="1" applyAlignment="1" applyProtection="1">
      <alignment horizontal="left" vertical="center" wrapText="1"/>
      <protection locked="0"/>
    </xf>
    <xf numFmtId="0" fontId="49" fillId="12" borderId="14" xfId="0" applyFont="1" applyFill="1" applyBorder="1" applyAlignment="1" applyProtection="1">
      <alignment horizontal="left" vertical="center" wrapText="1"/>
      <protection locked="0"/>
    </xf>
    <xf numFmtId="0" fontId="49" fillId="2" borderId="0" xfId="0" applyFont="1" applyFill="1" applyBorder="1" applyAlignment="1" applyProtection="1">
      <alignment horizontal="left" vertical="center" wrapText="1"/>
      <protection locked="0"/>
    </xf>
    <xf numFmtId="0" fontId="49" fillId="2" borderId="9" xfId="0" applyFont="1" applyFill="1" applyBorder="1" applyAlignment="1" applyProtection="1">
      <alignment horizontal="left" vertical="center" wrapText="1"/>
    </xf>
    <xf numFmtId="0" fontId="49" fillId="2" borderId="10" xfId="0" applyFont="1" applyFill="1" applyBorder="1" applyAlignment="1" applyProtection="1">
      <alignment horizontal="left" vertical="center" wrapText="1"/>
    </xf>
    <xf numFmtId="0" fontId="49" fillId="2" borderId="56" xfId="0" applyFont="1" applyFill="1" applyBorder="1" applyAlignment="1" applyProtection="1">
      <alignment horizontal="left" vertical="center"/>
    </xf>
    <xf numFmtId="10" fontId="49" fillId="2" borderId="10" xfId="0" applyNumberFormat="1" applyFont="1" applyFill="1" applyBorder="1" applyAlignment="1" applyProtection="1">
      <alignment horizontal="left" vertical="center"/>
    </xf>
    <xf numFmtId="0" fontId="13" fillId="0" borderId="11" xfId="0" applyFont="1" applyFill="1" applyBorder="1" applyAlignment="1" applyProtection="1">
      <alignment horizontal="left" vertical="center" wrapText="1"/>
      <protection locked="0"/>
    </xf>
    <xf numFmtId="0" fontId="105" fillId="11" borderId="14" xfId="0" applyFont="1" applyFill="1" applyBorder="1" applyAlignment="1" applyProtection="1">
      <alignment horizontal="left" vertical="center" wrapText="1"/>
      <protection locked="0"/>
    </xf>
    <xf numFmtId="0" fontId="49" fillId="2" borderId="0" xfId="0" applyFont="1" applyFill="1" applyBorder="1" applyAlignment="1" applyProtection="1">
      <alignment horizontal="left" vertical="center" wrapText="1"/>
    </xf>
    <xf numFmtId="0" fontId="49" fillId="2" borderId="0" xfId="0" applyFont="1" applyFill="1" applyBorder="1" applyAlignment="1" applyProtection="1">
      <alignment horizontal="left" vertical="center"/>
      <protection locked="0"/>
    </xf>
    <xf numFmtId="0" fontId="74" fillId="2" borderId="18" xfId="0" applyFont="1" applyFill="1" applyBorder="1" applyAlignment="1" applyProtection="1">
      <alignment horizontal="left" vertical="center"/>
    </xf>
    <xf numFmtId="0" fontId="49" fillId="2" borderId="5" xfId="0" applyFont="1" applyFill="1" applyBorder="1" applyAlignment="1" applyProtection="1">
      <alignment horizontal="left" vertical="center" wrapText="1"/>
    </xf>
    <xf numFmtId="0" fontId="100" fillId="16" borderId="0" xfId="0" applyFont="1" applyFill="1" applyAlignment="1" applyProtection="1">
      <alignment horizontal="center" vertical="center"/>
    </xf>
    <xf numFmtId="0" fontId="49" fillId="16" borderId="0" xfId="0" applyFont="1" applyFill="1" applyBorder="1" applyAlignment="1" applyProtection="1">
      <alignment horizontal="center" vertical="center"/>
    </xf>
    <xf numFmtId="0" fontId="49" fillId="16" borderId="0" xfId="0" applyFont="1" applyFill="1" applyBorder="1" applyAlignment="1" applyProtection="1">
      <alignment horizontal="left" vertical="center" wrapText="1"/>
    </xf>
    <xf numFmtId="0" fontId="49" fillId="16" borderId="0" xfId="0" applyFont="1" applyFill="1" applyAlignment="1" applyProtection="1">
      <alignment horizontal="left" vertical="center"/>
    </xf>
    <xf numFmtId="0" fontId="102" fillId="2" borderId="148" xfId="0" applyFont="1" applyFill="1" applyBorder="1" applyAlignment="1" applyProtection="1">
      <alignment horizontal="right"/>
    </xf>
    <xf numFmtId="0" fontId="102" fillId="16" borderId="148" xfId="0" applyFont="1" applyFill="1" applyBorder="1" applyAlignment="1" applyProtection="1">
      <alignment horizontal="right"/>
    </xf>
    <xf numFmtId="0" fontId="44" fillId="10" borderId="148" xfId="0" applyFont="1" applyFill="1" applyBorder="1" applyAlignment="1" applyProtection="1">
      <protection locked="0"/>
    </xf>
    <xf numFmtId="0" fontId="100" fillId="16" borderId="0" xfId="0" applyFont="1" applyFill="1" applyBorder="1" applyAlignment="1" applyProtection="1">
      <alignment horizontal="left" vertical="center"/>
    </xf>
    <xf numFmtId="0" fontId="42" fillId="16" borderId="0" xfId="0" applyFont="1" applyFill="1" applyAlignment="1" applyProtection="1">
      <alignment horizontal="left" vertical="center"/>
    </xf>
    <xf numFmtId="0" fontId="19" fillId="2" borderId="0" xfId="0" applyFont="1" applyFill="1" applyAlignment="1" applyProtection="1">
      <alignment horizontal="left" vertical="center"/>
    </xf>
    <xf numFmtId="0" fontId="19" fillId="16" borderId="0" xfId="0" applyFont="1" applyFill="1" applyAlignment="1" applyProtection="1">
      <alignment horizontal="left" vertical="center"/>
    </xf>
    <xf numFmtId="0" fontId="5" fillId="2" borderId="0" xfId="0" applyFont="1" applyFill="1" applyBorder="1" applyAlignment="1" applyProtection="1">
      <alignment horizontal="right" vertical="center"/>
    </xf>
    <xf numFmtId="0" fontId="104" fillId="16" borderId="0" xfId="0" applyFont="1" applyFill="1" applyBorder="1" applyAlignment="1" applyProtection="1">
      <alignment horizontal="left" vertical="center"/>
    </xf>
    <xf numFmtId="0" fontId="16" fillId="10" borderId="0" xfId="0" applyFont="1" applyFill="1" applyBorder="1" applyAlignment="1" applyProtection="1">
      <alignment horizontal="left" vertical="center"/>
    </xf>
    <xf numFmtId="0" fontId="23" fillId="10" borderId="0" xfId="0" applyFont="1" applyFill="1" applyBorder="1" applyProtection="1">
      <alignment vertical="center"/>
    </xf>
    <xf numFmtId="0" fontId="16" fillId="10" borderId="7" xfId="0" applyFont="1" applyFill="1" applyBorder="1" applyAlignment="1" applyProtection="1">
      <alignment horizontal="center" vertical="center" wrapText="1"/>
    </xf>
    <xf numFmtId="0" fontId="18" fillId="10" borderId="7" xfId="0" applyFont="1" applyFill="1" applyBorder="1" applyAlignment="1" applyProtection="1">
      <alignment horizontal="left" vertical="center" wrapText="1"/>
    </xf>
    <xf numFmtId="0" fontId="16" fillId="10" borderId="7" xfId="0" applyFont="1" applyFill="1" applyBorder="1" applyAlignment="1" applyProtection="1">
      <alignment horizontal="left" vertical="center" wrapText="1"/>
    </xf>
    <xf numFmtId="0" fontId="106" fillId="0" borderId="7" xfId="0" applyFont="1" applyFill="1" applyBorder="1" applyAlignment="1" applyProtection="1">
      <alignment horizontal="left" vertical="center" wrapText="1"/>
    </xf>
    <xf numFmtId="179" fontId="106" fillId="10" borderId="7" xfId="0" applyNumberFormat="1" applyFont="1" applyFill="1" applyBorder="1" applyAlignment="1" applyProtection="1">
      <alignment horizontal="left" vertical="center" wrapText="1"/>
    </xf>
    <xf numFmtId="9" fontId="49" fillId="16" borderId="0" xfId="0" applyNumberFormat="1" applyFont="1" applyFill="1" applyAlignment="1" applyProtection="1">
      <alignment horizontal="left" vertical="center"/>
    </xf>
    <xf numFmtId="0" fontId="106" fillId="10" borderId="7" xfId="0" applyFont="1" applyFill="1" applyBorder="1" applyAlignment="1" applyProtection="1">
      <alignment horizontal="left" vertical="center" wrapText="1"/>
    </xf>
    <xf numFmtId="10" fontId="49" fillId="11" borderId="0" xfId="0" applyNumberFormat="1" applyFont="1" applyFill="1" applyAlignment="1" applyProtection="1">
      <alignment horizontal="left" vertical="center"/>
    </xf>
    <xf numFmtId="10" fontId="49" fillId="16" borderId="0" xfId="0" applyNumberFormat="1" applyFont="1" applyFill="1" applyAlignment="1" applyProtection="1">
      <alignment horizontal="left" vertical="center"/>
    </xf>
    <xf numFmtId="10" fontId="49" fillId="2" borderId="0" xfId="0" applyNumberFormat="1" applyFont="1" applyFill="1" applyAlignment="1" applyProtection="1">
      <alignment horizontal="left" vertical="center"/>
      <protection locked="0"/>
    </xf>
    <xf numFmtId="0" fontId="107" fillId="10" borderId="7" xfId="0" applyFont="1" applyFill="1" applyBorder="1" applyAlignment="1" applyProtection="1">
      <alignment horizontal="left" vertical="center" wrapText="1"/>
    </xf>
    <xf numFmtId="10" fontId="107" fillId="10" borderId="7" xfId="0" applyNumberFormat="1" applyFont="1" applyFill="1" applyBorder="1" applyAlignment="1" applyProtection="1">
      <alignment horizontal="left" vertical="center"/>
    </xf>
    <xf numFmtId="9" fontId="107" fillId="10" borderId="7" xfId="0" applyNumberFormat="1" applyFont="1" applyFill="1" applyBorder="1" applyAlignment="1" applyProtection="1">
      <alignment horizontal="left" vertical="center"/>
    </xf>
    <xf numFmtId="10" fontId="49" fillId="2" borderId="13" xfId="0" applyNumberFormat="1" applyFont="1" applyFill="1" applyBorder="1" applyAlignment="1" applyProtection="1">
      <alignment horizontal="left" vertical="center"/>
    </xf>
    <xf numFmtId="0" fontId="107" fillId="10" borderId="12" xfId="0" applyFont="1" applyFill="1" applyBorder="1" applyAlignment="1" applyProtection="1">
      <alignment horizontal="left" vertical="center" wrapText="1"/>
    </xf>
    <xf numFmtId="0" fontId="18" fillId="10" borderId="12" xfId="0" applyFont="1" applyFill="1" applyBorder="1" applyAlignment="1" applyProtection="1">
      <alignment horizontal="left" vertical="center" wrapText="1"/>
    </xf>
    <xf numFmtId="9" fontId="107" fillId="10" borderId="12" xfId="0" applyNumberFormat="1" applyFont="1" applyFill="1" applyBorder="1" applyAlignment="1" applyProtection="1">
      <alignment horizontal="left" vertical="center"/>
    </xf>
    <xf numFmtId="0" fontId="49" fillId="10" borderId="13" xfId="0" applyFont="1" applyFill="1" applyBorder="1" applyAlignment="1" applyProtection="1">
      <alignment horizontal="left" vertical="center"/>
    </xf>
    <xf numFmtId="0" fontId="49" fillId="10" borderId="15" xfId="0" applyFont="1" applyFill="1" applyBorder="1" applyAlignment="1" applyProtection="1">
      <alignment horizontal="left" vertical="center"/>
    </xf>
    <xf numFmtId="0" fontId="49" fillId="10" borderId="14" xfId="0" applyFont="1" applyFill="1" applyBorder="1" applyAlignment="1" applyProtection="1">
      <alignment horizontal="left" vertical="center"/>
    </xf>
    <xf numFmtId="0" fontId="18" fillId="10" borderId="13" xfId="0" applyFont="1" applyFill="1" applyBorder="1" applyAlignment="1" applyProtection="1">
      <alignment horizontal="left" vertical="center" wrapText="1"/>
    </xf>
    <xf numFmtId="0" fontId="107" fillId="10" borderId="83" xfId="0" applyFont="1" applyFill="1" applyBorder="1" applyAlignment="1" applyProtection="1">
      <alignment horizontal="left" vertical="center" wrapText="1"/>
    </xf>
    <xf numFmtId="0" fontId="107" fillId="10" borderId="38" xfId="0" applyFont="1" applyFill="1" applyBorder="1" applyAlignment="1" applyProtection="1">
      <alignment horizontal="left" vertical="center" wrapText="1"/>
    </xf>
    <xf numFmtId="0" fontId="107" fillId="10" borderId="91" xfId="0" applyFont="1" applyFill="1" applyBorder="1" applyAlignment="1" applyProtection="1">
      <alignment horizontal="left" vertical="center" wrapText="1"/>
    </xf>
    <xf numFmtId="0" fontId="107" fillId="10" borderId="13" xfId="0" applyFont="1" applyFill="1" applyBorder="1" applyAlignment="1" applyProtection="1">
      <alignment horizontal="left" vertical="center" wrapText="1"/>
    </xf>
    <xf numFmtId="0" fontId="107" fillId="10" borderId="15" xfId="0" applyFont="1" applyFill="1" applyBorder="1" applyAlignment="1" applyProtection="1">
      <alignment horizontal="left" vertical="center"/>
    </xf>
    <xf numFmtId="0" fontId="107" fillId="10" borderId="14" xfId="0" applyFont="1" applyFill="1" applyBorder="1" applyAlignment="1" applyProtection="1">
      <alignment horizontal="left" vertical="center" wrapText="1"/>
    </xf>
    <xf numFmtId="0" fontId="105" fillId="11" borderId="0" xfId="0" applyFont="1" applyFill="1" applyBorder="1" applyAlignment="1" applyProtection="1">
      <alignment horizontal="left" vertical="center" wrapText="1"/>
    </xf>
    <xf numFmtId="0" fontId="107" fillId="10" borderId="69" xfId="0" applyFont="1" applyFill="1" applyBorder="1" applyAlignment="1" applyProtection="1">
      <alignment horizontal="left" vertical="center" wrapText="1"/>
    </xf>
    <xf numFmtId="0" fontId="107" fillId="10" borderId="0" xfId="0" applyFont="1" applyFill="1" applyBorder="1" applyAlignment="1" applyProtection="1">
      <alignment horizontal="left" vertical="center" wrapText="1"/>
    </xf>
    <xf numFmtId="0" fontId="107" fillId="10" borderId="102" xfId="0" applyFont="1" applyFill="1" applyBorder="1" applyAlignment="1" applyProtection="1">
      <alignment horizontal="left" vertical="center" wrapText="1"/>
    </xf>
    <xf numFmtId="0" fontId="18" fillId="10" borderId="16" xfId="0" applyFont="1" applyFill="1" applyBorder="1" applyAlignment="1" applyProtection="1">
      <alignment horizontal="left" vertical="center" wrapText="1"/>
    </xf>
    <xf numFmtId="0" fontId="107" fillId="10" borderId="58" xfId="0" applyFont="1" applyFill="1" applyBorder="1" applyAlignment="1" applyProtection="1">
      <alignment horizontal="left" vertical="center" wrapText="1"/>
    </xf>
    <xf numFmtId="0" fontId="107" fillId="10" borderId="39" xfId="0" applyFont="1" applyFill="1" applyBorder="1" applyAlignment="1" applyProtection="1">
      <alignment horizontal="left" vertical="center" wrapText="1"/>
    </xf>
    <xf numFmtId="0" fontId="107" fillId="10" borderId="59" xfId="0" applyFont="1" applyFill="1" applyBorder="1" applyAlignment="1" applyProtection="1">
      <alignment horizontal="left" vertical="center" wrapText="1"/>
    </xf>
    <xf numFmtId="187" fontId="49" fillId="2" borderId="0" xfId="0" applyNumberFormat="1" applyFont="1" applyFill="1" applyProtection="1">
      <alignment vertical="center"/>
    </xf>
    <xf numFmtId="0" fontId="44" fillId="10" borderId="148" xfId="0" applyFont="1" applyFill="1" applyBorder="1" applyAlignment="1" applyProtection="1"/>
    <xf numFmtId="0" fontId="48" fillId="2" borderId="100" xfId="0" applyFont="1" applyFill="1" applyBorder="1" applyAlignment="1" applyProtection="1">
      <alignment horizontal="left" vertical="center" wrapText="1"/>
    </xf>
    <xf numFmtId="0" fontId="48" fillId="2" borderId="16" xfId="0" applyFont="1" applyFill="1" applyBorder="1" applyAlignment="1" applyProtection="1">
      <alignment horizontal="left" vertical="center" wrapText="1"/>
    </xf>
    <xf numFmtId="183" fontId="48" fillId="2" borderId="16" xfId="0" applyNumberFormat="1" applyFont="1" applyFill="1" applyBorder="1" applyAlignment="1" applyProtection="1">
      <alignment horizontal="left" vertical="center" wrapText="1"/>
    </xf>
    <xf numFmtId="0" fontId="49" fillId="2" borderId="80" xfId="0" applyFont="1" applyFill="1" applyBorder="1" applyAlignment="1" applyProtection="1">
      <alignment horizontal="left" vertical="center" wrapText="1"/>
    </xf>
    <xf numFmtId="49" fontId="49" fillId="2" borderId="6" xfId="0" applyNumberFormat="1" applyFont="1" applyFill="1" applyBorder="1" applyAlignment="1" applyProtection="1">
      <alignment horizontal="left" vertical="center" wrapText="1"/>
    </xf>
    <xf numFmtId="183" fontId="24" fillId="2" borderId="7" xfId="0" applyNumberFormat="1" applyFont="1" applyFill="1" applyBorder="1" applyAlignment="1" applyProtection="1">
      <alignment horizontal="left" vertical="center" wrapText="1"/>
    </xf>
    <xf numFmtId="0" fontId="49" fillId="2" borderId="8" xfId="0" applyFont="1" applyFill="1" applyBorder="1" applyAlignment="1" applyProtection="1">
      <alignment horizontal="left" vertical="center" wrapText="1"/>
    </xf>
    <xf numFmtId="183" fontId="24" fillId="0" borderId="7" xfId="0" applyNumberFormat="1" applyFont="1" applyFill="1" applyBorder="1" applyAlignment="1" applyProtection="1">
      <alignment horizontal="left" vertical="center" wrapText="1"/>
      <protection locked="0"/>
    </xf>
    <xf numFmtId="49" fontId="74" fillId="2" borderId="6" xfId="0" applyNumberFormat="1" applyFont="1" applyFill="1" applyBorder="1" applyAlignment="1" applyProtection="1">
      <alignment horizontal="left" vertical="center" wrapText="1"/>
    </xf>
    <xf numFmtId="0" fontId="48" fillId="0" borderId="7" xfId="0" applyFont="1" applyFill="1" applyBorder="1" applyAlignment="1" applyProtection="1">
      <alignment horizontal="left" vertical="center" wrapText="1"/>
      <protection locked="0"/>
    </xf>
    <xf numFmtId="0" fontId="19" fillId="2" borderId="8" xfId="0" applyFont="1" applyFill="1" applyBorder="1" applyAlignment="1" applyProtection="1">
      <alignment horizontal="left" vertical="center"/>
    </xf>
    <xf numFmtId="183" fontId="48" fillId="2" borderId="7" xfId="0" applyNumberFormat="1" applyFont="1" applyFill="1" applyBorder="1" applyAlignment="1" applyProtection="1">
      <alignment horizontal="left" vertical="center" wrapText="1"/>
    </xf>
    <xf numFmtId="49" fontId="74" fillId="2" borderId="9" xfId="0" applyNumberFormat="1" applyFont="1" applyFill="1" applyBorder="1" applyAlignment="1" applyProtection="1">
      <alignment horizontal="left" vertical="center" wrapText="1"/>
    </xf>
    <xf numFmtId="183" fontId="48" fillId="2" borderId="10" xfId="0" applyNumberFormat="1" applyFont="1" applyFill="1" applyBorder="1" applyAlignment="1" applyProtection="1">
      <alignment horizontal="left" vertical="center" wrapText="1"/>
    </xf>
    <xf numFmtId="0" fontId="49" fillId="2" borderId="11" xfId="0" applyFont="1" applyFill="1" applyBorder="1" applyAlignment="1" applyProtection="1">
      <alignment horizontal="left" vertical="center"/>
    </xf>
    <xf numFmtId="49" fontId="74" fillId="2" borderId="62" xfId="0" applyNumberFormat="1" applyFont="1" applyFill="1" applyBorder="1" applyAlignment="1" applyProtection="1">
      <alignment horizontal="left" vertical="center" wrapText="1"/>
    </xf>
    <xf numFmtId="183" fontId="48" fillId="2" borderId="0" xfId="0" applyNumberFormat="1" applyFont="1" applyFill="1" applyBorder="1" applyAlignment="1" applyProtection="1">
      <alignment horizontal="left" vertical="center" wrapText="1"/>
    </xf>
    <xf numFmtId="0" fontId="48" fillId="2" borderId="62" xfId="0" applyFont="1" applyFill="1" applyBorder="1" applyAlignment="1" applyProtection="1">
      <alignment horizontal="left" vertical="center" wrapText="1"/>
    </xf>
    <xf numFmtId="0" fontId="49" fillId="2" borderId="55" xfId="0" applyFont="1" applyFill="1" applyBorder="1" applyAlignment="1" applyProtection="1">
      <alignment horizontal="left" vertical="center" wrapText="1"/>
    </xf>
    <xf numFmtId="0" fontId="49" fillId="2" borderId="67" xfId="0" applyFont="1" applyFill="1" applyBorder="1" applyAlignment="1" applyProtection="1">
      <alignment horizontal="left" vertical="center" wrapText="1"/>
    </xf>
    <xf numFmtId="0" fontId="42" fillId="2" borderId="68" xfId="58" applyFont="1" applyFill="1" applyBorder="1" applyAlignment="1" applyProtection="1">
      <alignment horizontal="left" vertical="center" wrapText="1"/>
    </xf>
    <xf numFmtId="0" fontId="48" fillId="2" borderId="6" xfId="0" applyFont="1" applyFill="1" applyBorder="1" applyAlignment="1" applyProtection="1">
      <alignment horizontal="left" vertical="center" wrapText="1"/>
    </xf>
    <xf numFmtId="0" fontId="42" fillId="2" borderId="93" xfId="58" applyFont="1" applyFill="1" applyBorder="1" applyAlignment="1" applyProtection="1">
      <alignment horizontal="left" vertical="center" wrapText="1"/>
    </xf>
    <xf numFmtId="0" fontId="74" fillId="2" borderId="6" xfId="0" applyFont="1" applyFill="1" applyBorder="1" applyAlignment="1" applyProtection="1">
      <alignment horizontal="left" vertical="center" wrapText="1"/>
    </xf>
    <xf numFmtId="0" fontId="42" fillId="2" borderId="7" xfId="58" applyFont="1" applyFill="1" applyBorder="1" applyAlignment="1" applyProtection="1">
      <alignment horizontal="left" vertical="center" wrapText="1"/>
    </xf>
    <xf numFmtId="0" fontId="42" fillId="12" borderId="7" xfId="58" applyFont="1" applyFill="1" applyBorder="1" applyAlignment="1" applyProtection="1">
      <alignment horizontal="left" vertical="center" wrapText="1"/>
      <protection locked="0"/>
    </xf>
    <xf numFmtId="183" fontId="24" fillId="0" borderId="8" xfId="0" applyNumberFormat="1" applyFont="1" applyFill="1" applyBorder="1" applyAlignment="1" applyProtection="1">
      <alignment horizontal="left" vertical="center" wrapText="1"/>
      <protection locked="0"/>
    </xf>
    <xf numFmtId="9" fontId="42" fillId="2" borderId="0" xfId="0" applyNumberFormat="1" applyFont="1" applyFill="1" applyBorder="1" applyAlignment="1" applyProtection="1">
      <alignment horizontal="left" vertical="center"/>
    </xf>
    <xf numFmtId="0" fontId="49" fillId="2" borderId="93" xfId="0" applyFont="1" applyFill="1" applyBorder="1" applyAlignment="1" applyProtection="1">
      <alignment horizontal="left" vertical="center" wrapText="1"/>
    </xf>
    <xf numFmtId="10" fontId="24" fillId="2" borderId="7" xfId="0" applyNumberFormat="1" applyFont="1" applyFill="1" applyBorder="1" applyAlignment="1" applyProtection="1">
      <alignment horizontal="left" vertical="center" wrapText="1"/>
    </xf>
    <xf numFmtId="0" fontId="49" fillId="12" borderId="15" xfId="0" applyFont="1" applyFill="1" applyBorder="1" applyAlignment="1" applyProtection="1">
      <alignment horizontal="left" vertical="center" wrapText="1"/>
      <protection locked="0"/>
    </xf>
    <xf numFmtId="182" fontId="24" fillId="2" borderId="7" xfId="0" applyNumberFormat="1" applyFont="1" applyFill="1" applyBorder="1" applyAlignment="1" applyProtection="1">
      <alignment horizontal="left" vertical="center" wrapText="1"/>
    </xf>
    <xf numFmtId="10" fontId="74" fillId="2" borderId="13" xfId="0" applyNumberFormat="1" applyFont="1" applyFill="1" applyBorder="1" applyAlignment="1" applyProtection="1">
      <alignment horizontal="left" vertical="center" wrapText="1"/>
    </xf>
    <xf numFmtId="10" fontId="49" fillId="2" borderId="13" xfId="0" applyNumberFormat="1" applyFont="1" applyFill="1" applyBorder="1" applyAlignment="1" applyProtection="1">
      <alignment horizontal="left" vertical="center" wrapText="1"/>
    </xf>
    <xf numFmtId="10" fontId="49" fillId="2" borderId="15" xfId="0" applyNumberFormat="1" applyFont="1" applyFill="1" applyBorder="1" applyAlignment="1" applyProtection="1">
      <alignment horizontal="left" vertical="center" wrapText="1"/>
    </xf>
    <xf numFmtId="10" fontId="49" fillId="2" borderId="93" xfId="0" applyNumberFormat="1" applyFont="1" applyFill="1" applyBorder="1" applyAlignment="1" applyProtection="1">
      <alignment horizontal="left" vertical="center" wrapText="1"/>
    </xf>
    <xf numFmtId="187" fontId="48" fillId="2" borderId="7" xfId="0" applyNumberFormat="1" applyFont="1" applyFill="1" applyBorder="1" applyAlignment="1" applyProtection="1">
      <alignment horizontal="left" vertical="center" wrapText="1"/>
    </xf>
    <xf numFmtId="0" fontId="74" fillId="2" borderId="10" xfId="0" applyFont="1" applyFill="1" applyBorder="1" applyAlignment="1" applyProtection="1">
      <alignment horizontal="left" vertical="center" wrapText="1"/>
    </xf>
    <xf numFmtId="0" fontId="49" fillId="2" borderId="89" xfId="0" applyFont="1" applyFill="1" applyBorder="1" applyAlignment="1" applyProtection="1">
      <alignment horizontal="left" vertical="center" wrapText="1"/>
    </xf>
    <xf numFmtId="0" fontId="42" fillId="2" borderId="97" xfId="58" applyFont="1" applyFill="1" applyBorder="1" applyAlignment="1" applyProtection="1">
      <alignment horizontal="left" vertical="center" wrapText="1"/>
    </xf>
    <xf numFmtId="0" fontId="23" fillId="2" borderId="0" xfId="58" applyFont="1" applyFill="1" applyAlignment="1" applyProtection="1">
      <alignment horizontal="left"/>
    </xf>
    <xf numFmtId="0" fontId="49" fillId="2" borderId="68" xfId="58" applyFont="1" applyFill="1" applyBorder="1" applyAlignment="1" applyProtection="1">
      <alignment horizontal="left" vertical="center" wrapText="1"/>
    </xf>
    <xf numFmtId="0" fontId="49" fillId="2" borderId="93" xfId="58" applyFont="1" applyFill="1" applyBorder="1" applyAlignment="1" applyProtection="1">
      <alignment horizontal="left" vertical="center" wrapText="1"/>
    </xf>
    <xf numFmtId="0" fontId="24" fillId="2" borderId="13" xfId="0" applyFont="1" applyFill="1" applyBorder="1" applyAlignment="1" applyProtection="1">
      <alignment horizontal="left" vertical="center" wrapText="1"/>
    </xf>
    <xf numFmtId="182" fontId="24" fillId="0" borderId="7" xfId="0" applyNumberFormat="1" applyFont="1" applyFill="1" applyBorder="1" applyAlignment="1" applyProtection="1">
      <alignment horizontal="left" vertical="center" wrapText="1"/>
      <protection locked="0"/>
    </xf>
    <xf numFmtId="0" fontId="108" fillId="2" borderId="0" xfId="0" applyFont="1" applyFill="1" applyBorder="1" applyAlignment="1" applyProtection="1">
      <alignment horizontal="left" vertical="center"/>
    </xf>
    <xf numFmtId="10" fontId="49" fillId="12" borderId="93" xfId="0" applyNumberFormat="1" applyFont="1" applyFill="1" applyBorder="1" applyAlignment="1" applyProtection="1">
      <alignment horizontal="left" vertical="center" wrapText="1"/>
      <protection locked="0"/>
    </xf>
    <xf numFmtId="10" fontId="105" fillId="2" borderId="7" xfId="0" applyNumberFormat="1" applyFont="1" applyFill="1" applyBorder="1" applyAlignment="1" applyProtection="1">
      <alignment horizontal="left" vertical="center" wrapText="1"/>
    </xf>
    <xf numFmtId="10" fontId="49" fillId="2" borderId="7" xfId="0" applyNumberFormat="1" applyFont="1" applyFill="1" applyBorder="1" applyAlignment="1" applyProtection="1">
      <alignment horizontal="left" vertical="center" wrapText="1"/>
    </xf>
    <xf numFmtId="10" fontId="49" fillId="3" borderId="93" xfId="0" applyNumberFormat="1" applyFont="1" applyFill="1" applyBorder="1" applyAlignment="1" applyProtection="1">
      <alignment horizontal="left" vertical="center" wrapText="1"/>
      <protection locked="0"/>
    </xf>
    <xf numFmtId="49" fontId="74" fillId="2" borderId="9" xfId="0" applyNumberFormat="1" applyFont="1" applyFill="1" applyBorder="1" applyAlignment="1" applyProtection="1">
      <alignment vertical="center" wrapText="1"/>
    </xf>
    <xf numFmtId="0" fontId="74" fillId="2" borderId="10" xfId="0" applyFont="1" applyFill="1" applyBorder="1" applyAlignment="1" applyProtection="1">
      <alignment horizontal="center" vertical="center" wrapText="1"/>
    </xf>
    <xf numFmtId="0" fontId="24" fillId="2" borderId="10" xfId="0" applyFont="1" applyFill="1" applyBorder="1" applyAlignment="1" applyProtection="1">
      <alignment horizontal="center" vertical="center" wrapText="1"/>
    </xf>
    <xf numFmtId="0" fontId="49" fillId="2" borderId="97" xfId="58" applyFont="1" applyFill="1" applyBorder="1" applyAlignment="1" applyProtection="1">
      <alignment horizontal="left" vertical="center" wrapText="1"/>
    </xf>
    <xf numFmtId="0" fontId="49" fillId="2" borderId="0" xfId="0" applyFont="1" applyFill="1" applyBorder="1" applyAlignment="1" applyProtection="1">
      <alignment horizontal="center" vertical="center" wrapText="1"/>
    </xf>
    <xf numFmtId="0" fontId="49" fillId="2" borderId="0" xfId="0" applyFont="1" applyFill="1" applyBorder="1" applyAlignment="1" applyProtection="1">
      <alignment horizontal="center" vertical="center"/>
    </xf>
    <xf numFmtId="0" fontId="64" fillId="2" borderId="66" xfId="0" applyFont="1" applyFill="1" applyBorder="1" applyAlignment="1" applyProtection="1">
      <alignment horizontal="center" vertical="center" wrapText="1"/>
    </xf>
    <xf numFmtId="0" fontId="64" fillId="2" borderId="67" xfId="0" applyFont="1" applyFill="1" applyBorder="1" applyAlignment="1" applyProtection="1">
      <alignment horizontal="center" vertical="center" wrapText="1"/>
    </xf>
    <xf numFmtId="0" fontId="64" fillId="2" borderId="68" xfId="0" applyFont="1" applyFill="1" applyBorder="1" applyAlignment="1" applyProtection="1">
      <alignment horizontal="center" vertical="center" wrapText="1"/>
    </xf>
    <xf numFmtId="0" fontId="64" fillId="2" borderId="3" xfId="0" applyFont="1" applyFill="1" applyBorder="1" applyAlignment="1" applyProtection="1">
      <alignment horizontal="center" vertical="center" wrapText="1"/>
    </xf>
    <xf numFmtId="0" fontId="64" fillId="2" borderId="4" xfId="0" applyFont="1" applyFill="1" applyBorder="1" applyAlignment="1" applyProtection="1">
      <alignment horizontal="center" vertical="center" wrapText="1"/>
    </xf>
    <xf numFmtId="0" fontId="91" fillId="2" borderId="150" xfId="0" applyFont="1" applyFill="1" applyBorder="1" applyAlignment="1" applyProtection="1">
      <alignment vertical="center" wrapText="1"/>
    </xf>
    <xf numFmtId="0" fontId="91" fillId="2" borderId="151" xfId="0" applyFont="1" applyFill="1" applyBorder="1" applyAlignment="1" applyProtection="1">
      <alignment vertical="center" wrapText="1"/>
    </xf>
    <xf numFmtId="0" fontId="91" fillId="2" borderId="7" xfId="0" applyFont="1" applyFill="1" applyBorder="1" applyAlignment="1" applyProtection="1">
      <alignment horizontal="left" vertical="center" wrapText="1"/>
    </xf>
    <xf numFmtId="0" fontId="91" fillId="2" borderId="8" xfId="0" applyFont="1" applyFill="1" applyBorder="1" applyAlignment="1" applyProtection="1">
      <alignment horizontal="left" vertical="center" wrapText="1"/>
    </xf>
    <xf numFmtId="0" fontId="74" fillId="2" borderId="71" xfId="0" applyFont="1" applyFill="1" applyBorder="1" applyAlignment="1" applyProtection="1">
      <alignment horizontal="left" vertical="center" wrapText="1"/>
    </xf>
    <xf numFmtId="0" fontId="74" fillId="2" borderId="14" xfId="0" applyFont="1" applyFill="1" applyBorder="1" applyAlignment="1" applyProtection="1">
      <alignment horizontal="left" vertical="center" wrapText="1"/>
    </xf>
    <xf numFmtId="0" fontId="74" fillId="2" borderId="15" xfId="0" applyFont="1" applyFill="1" applyBorder="1" applyAlignment="1" applyProtection="1">
      <alignment horizontal="left" vertical="center" wrapText="1"/>
    </xf>
    <xf numFmtId="0" fontId="18" fillId="0" borderId="6" xfId="0" applyFont="1" applyFill="1" applyBorder="1" applyAlignment="1" applyProtection="1">
      <alignment horizontal="left" vertical="center" wrapText="1"/>
      <protection locked="0"/>
    </xf>
    <xf numFmtId="0" fontId="109" fillId="2" borderId="7" xfId="0" applyFont="1" applyFill="1" applyBorder="1" applyAlignment="1" applyProtection="1">
      <alignment horizontal="left" vertical="center" wrapText="1"/>
    </xf>
    <xf numFmtId="0" fontId="109" fillId="2" borderId="8" xfId="0" applyFont="1" applyFill="1" applyBorder="1" applyAlignment="1" applyProtection="1">
      <alignment horizontal="left" vertical="center" wrapText="1"/>
    </xf>
    <xf numFmtId="0" fontId="74" fillId="0" borderId="71" xfId="0" applyFont="1" applyFill="1" applyBorder="1" applyAlignment="1" applyProtection="1">
      <alignment horizontal="left" vertical="center" wrapText="1"/>
      <protection locked="0"/>
    </xf>
    <xf numFmtId="0" fontId="74" fillId="0" borderId="14" xfId="0" applyFont="1" applyFill="1" applyBorder="1" applyAlignment="1" applyProtection="1">
      <alignment horizontal="left" vertical="center" wrapText="1"/>
      <protection locked="0"/>
    </xf>
    <xf numFmtId="0" fontId="74" fillId="2" borderId="13" xfId="0" applyFont="1" applyFill="1" applyBorder="1" applyAlignment="1" applyProtection="1">
      <alignment horizontal="left" vertical="center" wrapText="1"/>
    </xf>
    <xf numFmtId="0" fontId="109" fillId="2" borderId="12" xfId="0" applyFont="1" applyFill="1" applyBorder="1" applyAlignment="1" applyProtection="1">
      <alignment horizontal="left" vertical="center" wrapText="1"/>
    </xf>
    <xf numFmtId="0" fontId="109" fillId="2" borderId="61" xfId="0" applyFont="1" applyFill="1" applyBorder="1" applyAlignment="1" applyProtection="1">
      <alignment horizontal="left" vertical="center" wrapText="1"/>
    </xf>
    <xf numFmtId="0" fontId="18" fillId="2" borderId="7" xfId="0" applyFont="1" applyFill="1" applyBorder="1" applyAlignment="1" applyProtection="1">
      <alignment horizontal="left" vertical="center" shrinkToFit="1"/>
    </xf>
    <xf numFmtId="0" fontId="109" fillId="2" borderId="93" xfId="0" applyFont="1" applyFill="1" applyBorder="1" applyAlignment="1" applyProtection="1">
      <alignment horizontal="left" vertical="center" wrapText="1"/>
    </xf>
    <xf numFmtId="0" fontId="18" fillId="2" borderId="100" xfId="0" applyFont="1" applyFill="1" applyBorder="1" applyAlignment="1" applyProtection="1">
      <alignment horizontal="left" vertical="center" wrapText="1"/>
    </xf>
    <xf numFmtId="0" fontId="18" fillId="2" borderId="58" xfId="0" applyFont="1" applyFill="1" applyBorder="1" applyAlignment="1" applyProtection="1">
      <alignment horizontal="left" vertical="center"/>
    </xf>
    <xf numFmtId="0" fontId="109" fillId="2" borderId="13" xfId="0" applyFont="1" applyFill="1" applyBorder="1" applyAlignment="1" applyProtection="1">
      <alignment horizontal="left" vertical="center" wrapText="1"/>
    </xf>
    <xf numFmtId="0" fontId="109" fillId="2" borderId="94" xfId="0" applyFont="1" applyFill="1" applyBorder="1" applyAlignment="1" applyProtection="1">
      <alignment horizontal="left" vertical="center" wrapText="1"/>
    </xf>
    <xf numFmtId="0" fontId="74" fillId="0" borderId="6" xfId="0" applyFont="1" applyFill="1" applyBorder="1" applyAlignment="1" applyProtection="1">
      <alignment horizontal="left" vertical="center" shrinkToFit="1"/>
      <protection locked="0"/>
    </xf>
    <xf numFmtId="0" fontId="74" fillId="0" borderId="7" xfId="0" applyFont="1" applyFill="1" applyBorder="1" applyAlignment="1" applyProtection="1">
      <alignment horizontal="left" vertical="center" shrinkToFit="1"/>
      <protection locked="0"/>
    </xf>
    <xf numFmtId="0" fontId="109" fillId="2" borderId="7" xfId="0" applyFont="1" applyFill="1" applyBorder="1" applyAlignment="1" applyProtection="1">
      <alignment horizontal="left" vertical="center" shrinkToFit="1"/>
    </xf>
    <xf numFmtId="0" fontId="18" fillId="2" borderId="56" xfId="0" applyFont="1" applyFill="1" applyBorder="1" applyAlignment="1" applyProtection="1">
      <alignment horizontal="left" vertical="center"/>
    </xf>
    <xf numFmtId="0" fontId="109" fillId="2" borderId="56" xfId="0" applyFont="1" applyFill="1" applyBorder="1" applyAlignment="1" applyProtection="1">
      <alignment horizontal="left" vertical="center" wrapText="1"/>
    </xf>
    <xf numFmtId="0" fontId="109" fillId="2" borderId="97" xfId="0" applyFont="1" applyFill="1" applyBorder="1" applyAlignment="1" applyProtection="1">
      <alignment horizontal="left" vertical="center" wrapText="1"/>
    </xf>
    <xf numFmtId="0" fontId="49" fillId="2" borderId="71" xfId="0" applyFont="1" applyFill="1" applyBorder="1" applyAlignment="1" applyProtection="1">
      <alignment horizontal="left" vertical="center" shrinkToFit="1"/>
    </xf>
    <xf numFmtId="0" fontId="49" fillId="2" borderId="14" xfId="0" applyFont="1" applyFill="1" applyBorder="1" applyAlignment="1" applyProtection="1">
      <alignment horizontal="left" vertical="center" shrinkToFit="1"/>
    </xf>
    <xf numFmtId="0" fontId="64" fillId="2" borderId="103" xfId="0" applyFont="1" applyFill="1" applyBorder="1" applyAlignment="1" applyProtection="1">
      <alignment horizontal="center" vertical="center" wrapText="1"/>
    </xf>
    <xf numFmtId="0" fontId="64" fillId="2" borderId="39" xfId="0" applyFont="1" applyFill="1" applyBorder="1" applyAlignment="1" applyProtection="1">
      <alignment horizontal="center" vertical="center" wrapText="1"/>
    </xf>
    <xf numFmtId="0" fontId="64" fillId="2" borderId="95" xfId="0" applyFont="1" applyFill="1" applyBorder="1" applyAlignment="1" applyProtection="1">
      <alignment horizontal="center" vertical="center" wrapText="1"/>
    </xf>
    <xf numFmtId="0" fontId="74" fillId="2" borderId="8" xfId="0" applyFont="1" applyFill="1" applyBorder="1" applyAlignment="1" applyProtection="1">
      <alignment horizontal="left" vertical="center" wrapText="1"/>
    </xf>
    <xf numFmtId="0" fontId="74" fillId="0" borderId="71" xfId="0" applyFont="1" applyFill="1" applyBorder="1" applyAlignment="1" applyProtection="1">
      <alignment horizontal="left" vertical="center" shrinkToFit="1"/>
      <protection locked="0"/>
    </xf>
    <xf numFmtId="0" fontId="74" fillId="0" borderId="14" xfId="0" applyFont="1" applyFill="1" applyBorder="1" applyAlignment="1" applyProtection="1">
      <alignment horizontal="left" vertical="center" shrinkToFit="1"/>
      <protection locked="0"/>
    </xf>
    <xf numFmtId="0" fontId="74" fillId="2" borderId="118" xfId="0" applyFont="1" applyFill="1" applyBorder="1" applyAlignment="1" applyProtection="1">
      <alignment horizontal="left" vertical="center" wrapText="1"/>
    </xf>
    <xf numFmtId="0" fontId="74" fillId="2" borderId="103" xfId="0" applyFont="1" applyFill="1" applyBorder="1" applyAlignment="1" applyProtection="1">
      <alignment horizontal="left" vertical="center" wrapText="1"/>
    </xf>
    <xf numFmtId="0" fontId="74" fillId="2" borderId="98" xfId="0" applyFont="1" applyFill="1" applyBorder="1" applyAlignment="1" applyProtection="1">
      <alignment horizontal="left" vertical="center" wrapText="1"/>
    </xf>
    <xf numFmtId="0" fontId="74" fillId="2" borderId="104" xfId="0" applyFont="1" applyFill="1" applyBorder="1" applyAlignment="1" applyProtection="1">
      <alignment horizontal="left" vertical="center" wrapText="1"/>
    </xf>
    <xf numFmtId="0" fontId="18" fillId="2" borderId="10" xfId="0" applyFont="1" applyFill="1" applyBorder="1" applyAlignment="1" applyProtection="1">
      <alignment horizontal="left" vertical="center" shrinkToFit="1"/>
    </xf>
    <xf numFmtId="0" fontId="75" fillId="2" borderId="0" xfId="0" applyFont="1" applyFill="1" applyBorder="1" applyAlignment="1" applyProtection="1">
      <alignment horizontal="center" vertical="center" wrapText="1"/>
    </xf>
    <xf numFmtId="0" fontId="90" fillId="2" borderId="0" xfId="0" applyFont="1" applyFill="1" applyBorder="1" applyAlignment="1" applyProtection="1">
      <alignment horizontal="center" vertical="center" shrinkToFit="1"/>
    </xf>
    <xf numFmtId="0" fontId="74" fillId="2" borderId="9" xfId="0" applyFont="1" applyFill="1" applyBorder="1" applyAlignment="1" applyProtection="1">
      <alignment horizontal="left" vertical="center" wrapText="1"/>
    </xf>
    <xf numFmtId="0" fontId="49" fillId="2" borderId="11" xfId="0" applyFont="1" applyFill="1" applyBorder="1" applyAlignment="1" applyProtection="1">
      <alignment horizontal="left" vertical="center" wrapText="1"/>
    </xf>
    <xf numFmtId="0" fontId="64" fillId="2" borderId="66" xfId="0" applyFont="1" applyFill="1" applyBorder="1" applyAlignment="1" applyProtection="1">
      <alignment horizontal="center" vertical="center"/>
    </xf>
    <xf numFmtId="0" fontId="64" fillId="2" borderId="67" xfId="0" applyFont="1" applyFill="1" applyBorder="1" applyAlignment="1" applyProtection="1">
      <alignment horizontal="center" vertical="center"/>
    </xf>
    <xf numFmtId="0" fontId="49" fillId="3" borderId="13" xfId="0" applyFont="1" applyFill="1" applyBorder="1" applyAlignment="1" applyProtection="1">
      <alignment horizontal="left" vertical="center" wrapText="1"/>
      <protection locked="0"/>
    </xf>
    <xf numFmtId="0" fontId="49" fillId="3" borderId="14" xfId="0" applyFont="1" applyFill="1" applyBorder="1" applyAlignment="1" applyProtection="1">
      <alignment horizontal="left" vertical="center" wrapText="1"/>
      <protection locked="0"/>
    </xf>
    <xf numFmtId="0" fontId="49" fillId="0" borderId="7" xfId="0" applyFont="1" applyFill="1" applyBorder="1" applyAlignment="1" applyProtection="1">
      <alignment horizontal="left" vertical="center" wrapText="1"/>
      <protection locked="0"/>
    </xf>
    <xf numFmtId="194" fontId="49" fillId="2" borderId="13" xfId="0" applyNumberFormat="1" applyFont="1" applyFill="1" applyBorder="1" applyAlignment="1" applyProtection="1">
      <alignment horizontal="left" vertical="center" shrinkToFit="1"/>
    </xf>
    <xf numFmtId="194" fontId="49" fillId="2" borderId="14" xfId="0" applyNumberFormat="1" applyFont="1" applyFill="1" applyBorder="1" applyAlignment="1" applyProtection="1">
      <alignment horizontal="left" vertical="center" shrinkToFit="1"/>
    </xf>
    <xf numFmtId="0" fontId="49" fillId="2" borderId="71" xfId="0" applyFont="1" applyFill="1" applyBorder="1" applyAlignment="1" applyProtection="1">
      <alignment horizontal="left" vertical="center" wrapText="1"/>
    </xf>
    <xf numFmtId="194" fontId="49" fillId="2" borderId="13" xfId="0" applyNumberFormat="1" applyFont="1" applyFill="1" applyBorder="1" applyAlignment="1" applyProtection="1">
      <alignment horizontal="left" vertical="center" wrapText="1"/>
    </xf>
    <xf numFmtId="194" fontId="49" fillId="2" borderId="15" xfId="0" applyNumberFormat="1" applyFont="1" applyFill="1" applyBorder="1" applyAlignment="1" applyProtection="1">
      <alignment horizontal="left" vertical="center" wrapText="1"/>
    </xf>
    <xf numFmtId="0" fontId="49" fillId="10" borderId="0" xfId="0" applyFont="1" applyFill="1" applyAlignment="1" applyProtection="1">
      <alignment horizontal="left" vertical="center"/>
    </xf>
    <xf numFmtId="187" fontId="49" fillId="2" borderId="0" xfId="0" applyNumberFormat="1" applyFont="1" applyFill="1" applyAlignment="1" applyProtection="1">
      <alignment horizontal="left" vertical="center"/>
    </xf>
    <xf numFmtId="0" fontId="49" fillId="2" borderId="0" xfId="58" applyFont="1" applyFill="1" applyBorder="1" applyAlignment="1" applyProtection="1">
      <alignment horizontal="left" vertical="center" wrapText="1"/>
    </xf>
    <xf numFmtId="0" fontId="49" fillId="16" borderId="0" xfId="58" applyFont="1" applyFill="1" applyBorder="1" applyAlignment="1" applyProtection="1">
      <alignment horizontal="left" vertical="center" wrapText="1"/>
    </xf>
    <xf numFmtId="0" fontId="23" fillId="2" borderId="0" xfId="58" applyFont="1" applyFill="1" applyAlignment="1" applyProtection="1">
      <alignment horizontal="left" vertical="center" wrapText="1"/>
    </xf>
    <xf numFmtId="0" fontId="23" fillId="16" borderId="0" xfId="58" applyFont="1" applyFill="1" applyAlignment="1" applyProtection="1">
      <alignment horizontal="left" vertical="center" wrapText="1"/>
    </xf>
    <xf numFmtId="0" fontId="23" fillId="16" borderId="0" xfId="0" applyFont="1" applyFill="1" applyAlignment="1" applyProtection="1">
      <alignment horizontal="left" vertical="center"/>
    </xf>
    <xf numFmtId="0" fontId="23" fillId="16" borderId="0" xfId="58" applyFont="1" applyFill="1" applyAlignment="1" applyProtection="1">
      <alignment horizontal="left"/>
    </xf>
    <xf numFmtId="0" fontId="110" fillId="10" borderId="0" xfId="0" applyFont="1" applyFill="1" applyProtection="1">
      <alignment vertical="center"/>
    </xf>
    <xf numFmtId="0" fontId="23" fillId="10" borderId="0" xfId="0" applyFont="1" applyFill="1" applyProtection="1">
      <alignment vertical="center"/>
    </xf>
    <xf numFmtId="0" fontId="23" fillId="0" borderId="6" xfId="0" applyFont="1" applyFill="1" applyBorder="1" applyAlignment="1" applyProtection="1">
      <alignment horizontal="left" vertical="center"/>
      <protection locked="0"/>
    </xf>
    <xf numFmtId="0" fontId="23" fillId="16" borderId="0" xfId="0" applyFont="1" applyFill="1" applyBorder="1" applyAlignment="1" applyProtection="1">
      <alignment horizontal="left" vertical="center"/>
      <protection locked="0"/>
    </xf>
    <xf numFmtId="0" fontId="71" fillId="10" borderId="0" xfId="0" applyFont="1" applyFill="1" applyProtection="1">
      <alignment vertical="center"/>
    </xf>
    <xf numFmtId="0" fontId="23" fillId="2" borderId="0" xfId="0" applyFont="1" applyFill="1" applyProtection="1">
      <alignment vertical="center"/>
    </xf>
    <xf numFmtId="0" fontId="23" fillId="16" borderId="0" xfId="0" applyFont="1" applyFill="1" applyProtection="1">
      <alignment vertical="center"/>
    </xf>
    <xf numFmtId="0" fontId="64" fillId="2" borderId="5" xfId="0" applyFont="1" applyFill="1" applyBorder="1" applyAlignment="1" applyProtection="1">
      <alignment horizontal="center" vertical="center" wrapText="1"/>
    </xf>
    <xf numFmtId="0" fontId="64" fillId="16" borderId="0" xfId="0" applyFont="1" applyFill="1" applyBorder="1" applyAlignment="1" applyProtection="1">
      <alignment horizontal="center" vertical="center" wrapText="1"/>
    </xf>
    <xf numFmtId="0" fontId="74" fillId="2" borderId="93" xfId="0" applyFont="1" applyFill="1" applyBorder="1" applyAlignment="1" applyProtection="1">
      <alignment horizontal="left" vertical="center" wrapText="1"/>
    </xf>
    <xf numFmtId="0" fontId="74" fillId="16" borderId="0" xfId="0" applyFont="1" applyFill="1" applyBorder="1" applyAlignment="1" applyProtection="1">
      <alignment horizontal="left" vertical="center" wrapText="1"/>
    </xf>
    <xf numFmtId="0" fontId="18" fillId="2" borderId="8" xfId="0" applyFont="1" applyFill="1" applyBorder="1" applyAlignment="1" applyProtection="1">
      <alignment horizontal="left" vertical="center" shrinkToFit="1"/>
    </xf>
    <xf numFmtId="0" fontId="18" fillId="16" borderId="0" xfId="0" applyFont="1" applyFill="1" applyBorder="1" applyAlignment="1" applyProtection="1">
      <alignment horizontal="left" vertical="center" shrinkToFit="1"/>
    </xf>
    <xf numFmtId="0" fontId="49" fillId="11" borderId="8" xfId="0" applyFont="1" applyFill="1" applyBorder="1" applyAlignment="1" applyProtection="1">
      <alignment horizontal="left" vertical="center" wrapText="1"/>
    </xf>
    <xf numFmtId="0" fontId="42" fillId="2" borderId="0" xfId="0" applyFont="1" applyFill="1" applyProtection="1">
      <alignment vertical="center"/>
    </xf>
    <xf numFmtId="0" fontId="18" fillId="2" borderId="8" xfId="0" applyFont="1" applyFill="1" applyBorder="1" applyAlignment="1" applyProtection="1">
      <alignment horizontal="left" vertical="center" wrapText="1"/>
    </xf>
    <xf numFmtId="0" fontId="18" fillId="16" borderId="0" xfId="0" applyFont="1" applyFill="1" applyBorder="1" applyAlignment="1" applyProtection="1">
      <alignment horizontal="left" vertical="center" wrapText="1"/>
    </xf>
    <xf numFmtId="0" fontId="49" fillId="2" borderId="8" xfId="0" applyFont="1" applyFill="1" applyBorder="1" applyAlignment="1" applyProtection="1">
      <alignment horizontal="left" vertical="center" shrinkToFit="1"/>
    </xf>
    <xf numFmtId="0" fontId="49" fillId="16" borderId="0" xfId="0" applyFont="1" applyFill="1" applyBorder="1" applyAlignment="1" applyProtection="1">
      <alignment horizontal="left" vertical="center" shrinkToFit="1"/>
    </xf>
    <xf numFmtId="0" fontId="90" fillId="16" borderId="0" xfId="0" applyFont="1" applyFill="1" applyBorder="1" applyAlignment="1" applyProtection="1">
      <alignment horizontal="center" vertical="center" shrinkToFit="1"/>
    </xf>
    <xf numFmtId="0" fontId="18" fillId="16" borderId="0" xfId="0" applyFont="1" applyFill="1" applyBorder="1" applyAlignment="1" applyProtection="1">
      <alignment horizontal="left" vertical="center"/>
    </xf>
    <xf numFmtId="0" fontId="64" fillId="16" borderId="0" xfId="0" applyFont="1" applyFill="1" applyBorder="1" applyAlignment="1" applyProtection="1">
      <alignment horizontal="center" vertical="center"/>
    </xf>
    <xf numFmtId="194" fontId="49" fillId="2" borderId="93" xfId="0" applyNumberFormat="1" applyFont="1" applyFill="1" applyBorder="1" applyAlignment="1" applyProtection="1">
      <alignment horizontal="left" vertical="center" shrinkToFit="1"/>
    </xf>
    <xf numFmtId="194" fontId="49" fillId="16" borderId="0" xfId="0" applyNumberFormat="1" applyFont="1" applyFill="1" applyBorder="1" applyAlignment="1" applyProtection="1">
      <alignment horizontal="left" vertical="center" shrinkToFit="1"/>
    </xf>
    <xf numFmtId="194" fontId="49" fillId="2" borderId="93" xfId="0" applyNumberFormat="1" applyFont="1" applyFill="1" applyBorder="1" applyAlignment="1" applyProtection="1">
      <alignment horizontal="left" vertical="center" wrapText="1"/>
    </xf>
    <xf numFmtId="194" fontId="49" fillId="16" borderId="0" xfId="0" applyNumberFormat="1" applyFont="1" applyFill="1" applyBorder="1" applyAlignment="1" applyProtection="1">
      <alignment horizontal="left" vertical="center" wrapText="1"/>
    </xf>
    <xf numFmtId="194" fontId="49" fillId="2" borderId="152" xfId="0" applyNumberFormat="1" applyFont="1" applyFill="1" applyBorder="1" applyAlignment="1" applyProtection="1">
      <alignment horizontal="left" vertical="center" wrapText="1"/>
    </xf>
    <xf numFmtId="0" fontId="74" fillId="2" borderId="152" xfId="0" applyFont="1" applyFill="1" applyBorder="1" applyAlignment="1" applyProtection="1">
      <alignment horizontal="left" vertical="center" wrapText="1"/>
    </xf>
    <xf numFmtId="194" fontId="49" fillId="2" borderId="88" xfId="0" applyNumberFormat="1" applyFont="1" applyFill="1" applyBorder="1" applyAlignment="1" applyProtection="1">
      <alignment horizontal="left" vertical="center" wrapText="1"/>
    </xf>
    <xf numFmtId="194" fontId="49" fillId="2" borderId="18" xfId="0" applyNumberFormat="1" applyFont="1" applyFill="1" applyBorder="1" applyAlignment="1" applyProtection="1">
      <alignment horizontal="left" vertical="center" wrapText="1"/>
    </xf>
    <xf numFmtId="0" fontId="18" fillId="2" borderId="18" xfId="0" applyFont="1" applyFill="1" applyBorder="1" applyAlignment="1" applyProtection="1">
      <alignment horizontal="left" vertical="center" wrapText="1"/>
    </xf>
    <xf numFmtId="0" fontId="89" fillId="0" borderId="69" xfId="0" applyFont="1" applyBorder="1" applyAlignment="1" applyProtection="1">
      <alignment horizontal="left" vertical="center"/>
      <protection locked="0"/>
    </xf>
    <xf numFmtId="0" fontId="49" fillId="0" borderId="0" xfId="0" applyFont="1" applyBorder="1" applyAlignment="1" applyProtection="1">
      <alignment horizontal="left" vertical="center" wrapText="1"/>
      <protection locked="0"/>
    </xf>
    <xf numFmtId="0" fontId="68" fillId="3" borderId="0" xfId="0" applyFont="1" applyFill="1" applyBorder="1" applyAlignment="1" applyProtection="1">
      <alignment horizontal="left" vertical="center" wrapText="1"/>
      <protection locked="0"/>
    </xf>
    <xf numFmtId="0" fontId="49" fillId="10" borderId="0" xfId="0" applyFont="1" applyFill="1" applyBorder="1" applyAlignment="1" applyProtection="1">
      <alignment horizontal="center" vertical="center" wrapText="1"/>
      <protection locked="0"/>
    </xf>
    <xf numFmtId="0" fontId="49" fillId="10" borderId="0" xfId="0" applyFont="1" applyFill="1" applyBorder="1" applyAlignment="1" applyProtection="1">
      <alignment horizontal="center" vertical="center"/>
      <protection locked="0"/>
    </xf>
    <xf numFmtId="0" fontId="49" fillId="10" borderId="69" xfId="0" applyFont="1" applyFill="1" applyBorder="1" applyAlignment="1" applyProtection="1">
      <alignment horizontal="left" vertical="center" wrapText="1"/>
      <protection locked="0"/>
    </xf>
    <xf numFmtId="0" fontId="49" fillId="10" borderId="0" xfId="0" applyFont="1" applyFill="1" applyBorder="1" applyAlignment="1" applyProtection="1">
      <alignment horizontal="left" vertical="center" wrapText="1"/>
      <protection locked="0"/>
    </xf>
    <xf numFmtId="0" fontId="49" fillId="10" borderId="58" xfId="0" applyFont="1" applyFill="1" applyBorder="1" applyAlignment="1" applyProtection="1">
      <alignment horizontal="left" vertical="center" wrapText="1"/>
      <protection locked="0"/>
    </xf>
    <xf numFmtId="0" fontId="49" fillId="10" borderId="39" xfId="0" applyFont="1" applyFill="1" applyBorder="1" applyAlignment="1" applyProtection="1">
      <alignment horizontal="left" vertical="center" wrapText="1"/>
      <protection locked="0"/>
    </xf>
    <xf numFmtId="0" fontId="49" fillId="10" borderId="39" xfId="0" applyFont="1" applyFill="1" applyBorder="1" applyAlignment="1" applyProtection="1">
      <alignment horizontal="center" vertical="center" wrapText="1"/>
      <protection locked="0"/>
    </xf>
    <xf numFmtId="0" fontId="49" fillId="10" borderId="39" xfId="0" applyFont="1" applyFill="1" applyBorder="1" applyAlignment="1" applyProtection="1">
      <alignment horizontal="center" vertical="center"/>
      <protection locked="0"/>
    </xf>
    <xf numFmtId="0" fontId="74" fillId="10" borderId="39" xfId="0" applyFont="1" applyFill="1" applyBorder="1" applyAlignment="1" applyProtection="1">
      <alignment horizontal="left" vertical="center"/>
      <protection locked="0"/>
    </xf>
    <xf numFmtId="0" fontId="49" fillId="10" borderId="39" xfId="0" applyFont="1" applyFill="1" applyBorder="1" applyProtection="1">
      <alignment vertical="center"/>
      <protection locked="0"/>
    </xf>
    <xf numFmtId="0" fontId="74" fillId="10" borderId="0" xfId="0" applyFont="1" applyFill="1" applyAlignment="1" applyProtection="1">
      <alignment horizontal="left" vertical="center"/>
      <protection locked="0"/>
    </xf>
    <xf numFmtId="2" fontId="49" fillId="10" borderId="0" xfId="0" applyNumberFormat="1" applyFont="1" applyFill="1" applyAlignment="1" applyProtection="1">
      <alignment vertical="center" wrapText="1"/>
      <protection locked="0"/>
    </xf>
    <xf numFmtId="0" fontId="74" fillId="10" borderId="0" xfId="0" applyFont="1" applyFill="1" applyAlignment="1" applyProtection="1">
      <alignment vertical="center" wrapText="1"/>
      <protection locked="0"/>
    </xf>
    <xf numFmtId="0" fontId="49" fillId="10" borderId="0" xfId="0" applyFont="1" applyFill="1" applyAlignment="1" applyProtection="1">
      <alignment vertical="center" wrapText="1"/>
      <protection locked="0"/>
    </xf>
    <xf numFmtId="0" fontId="74" fillId="2" borderId="94" xfId="0" applyFont="1" applyFill="1" applyBorder="1" applyAlignment="1" applyProtection="1">
      <alignment horizontal="left" vertical="center" wrapText="1"/>
    </xf>
    <xf numFmtId="194" fontId="49" fillId="2" borderId="74" xfId="0" applyNumberFormat="1" applyFont="1" applyFill="1" applyBorder="1" applyAlignment="1" applyProtection="1">
      <alignment horizontal="left" vertical="center" wrapText="1"/>
    </xf>
    <xf numFmtId="0" fontId="49" fillId="16" borderId="0" xfId="0" applyFont="1" applyFill="1" applyBorder="1" applyAlignment="1" applyProtection="1">
      <alignment horizontal="left" vertical="center"/>
    </xf>
    <xf numFmtId="0" fontId="49" fillId="10" borderId="102" xfId="0" applyFont="1" applyFill="1" applyBorder="1" applyProtection="1">
      <alignment vertical="center"/>
      <protection locked="0"/>
    </xf>
    <xf numFmtId="0" fontId="49" fillId="16" borderId="0" xfId="0" applyFont="1" applyFill="1" applyBorder="1" applyProtection="1">
      <alignment vertical="center"/>
      <protection locked="0"/>
    </xf>
    <xf numFmtId="0" fontId="49" fillId="16" borderId="0" xfId="0" applyFont="1" applyFill="1" applyProtection="1">
      <alignment vertical="center"/>
      <protection locked="0"/>
    </xf>
    <xf numFmtId="0" fontId="49" fillId="10" borderId="59" xfId="0" applyFont="1" applyFill="1" applyBorder="1" applyProtection="1">
      <alignment vertical="center"/>
      <protection locked="0"/>
    </xf>
    <xf numFmtId="0" fontId="49" fillId="10" borderId="39" xfId="0" applyFont="1" applyFill="1" applyBorder="1" applyAlignment="1" applyProtection="1">
      <alignment horizontal="right" vertical="center"/>
      <protection locked="0"/>
    </xf>
    <xf numFmtId="0" fontId="49" fillId="16" borderId="0" xfId="0" applyFont="1" applyFill="1" applyBorder="1" applyAlignment="1" applyProtection="1">
      <alignment horizontal="right" vertical="center"/>
      <protection locked="0"/>
    </xf>
    <xf numFmtId="0" fontId="49" fillId="0" borderId="153" xfId="0" applyFont="1" applyBorder="1" applyProtection="1">
      <alignment vertical="center"/>
    </xf>
    <xf numFmtId="0" fontId="111" fillId="2" borderId="0" xfId="0" applyFont="1" applyFill="1" applyAlignment="1" applyProtection="1">
      <alignment horizontal="center" vertical="center"/>
    </xf>
    <xf numFmtId="0" fontId="64" fillId="2" borderId="154" xfId="0" applyFont="1" applyFill="1" applyBorder="1" applyAlignment="1" applyProtection="1">
      <alignment horizontal="left" vertical="center"/>
    </xf>
    <xf numFmtId="0" fontId="64" fillId="2" borderId="155" xfId="0" applyFont="1" applyFill="1" applyBorder="1" applyAlignment="1" applyProtection="1">
      <alignment horizontal="left" vertical="center"/>
    </xf>
    <xf numFmtId="0" fontId="42" fillId="2" borderId="155" xfId="0" applyFont="1" applyFill="1" applyBorder="1" applyAlignment="1" applyProtection="1">
      <alignment horizontal="left" vertical="center"/>
    </xf>
    <xf numFmtId="0" fontId="49" fillId="2" borderId="153" xfId="0" applyFont="1" applyFill="1" applyBorder="1" applyAlignment="1" applyProtection="1">
      <alignment horizontal="left" vertical="center"/>
    </xf>
    <xf numFmtId="0" fontId="49" fillId="2" borderId="153" xfId="0" applyFont="1" applyFill="1" applyBorder="1" applyAlignment="1" applyProtection="1">
      <alignment horizontal="left" vertical="center"/>
      <protection locked="0"/>
    </xf>
    <xf numFmtId="0" fontId="64" fillId="2" borderId="100" xfId="0" applyFont="1" applyFill="1" applyBorder="1" applyAlignment="1" applyProtection="1">
      <alignment horizontal="left" vertical="center"/>
    </xf>
    <xf numFmtId="0" fontId="49" fillId="3" borderId="58" xfId="0" applyFont="1" applyFill="1" applyBorder="1" applyAlignment="1" applyProtection="1">
      <alignment horizontal="left" vertical="center"/>
    </xf>
    <xf numFmtId="0" fontId="64" fillId="3" borderId="7" xfId="0" applyFont="1" applyFill="1" applyBorder="1" applyAlignment="1" applyProtection="1">
      <alignment horizontal="left" vertical="center"/>
      <protection locked="0"/>
    </xf>
    <xf numFmtId="0" fontId="49" fillId="2" borderId="90" xfId="0" applyFont="1" applyFill="1" applyBorder="1" applyAlignment="1" applyProtection="1">
      <alignment horizontal="left" vertical="center"/>
    </xf>
    <xf numFmtId="0" fontId="49" fillId="2" borderId="5" xfId="0" applyFont="1" applyFill="1" applyBorder="1" applyAlignment="1" applyProtection="1">
      <alignment horizontal="left" vertical="center"/>
    </xf>
    <xf numFmtId="0" fontId="64" fillId="2" borderId="103" xfId="0" applyFont="1" applyFill="1" applyBorder="1" applyAlignment="1" applyProtection="1">
      <alignment horizontal="left" vertical="center"/>
    </xf>
    <xf numFmtId="0" fontId="42" fillId="2" borderId="59" xfId="0" applyFont="1" applyFill="1" applyBorder="1" applyAlignment="1" applyProtection="1">
      <alignment horizontal="left" vertical="center"/>
    </xf>
    <xf numFmtId="0" fontId="64" fillId="2" borderId="58" xfId="0" applyFont="1" applyFill="1" applyBorder="1" applyAlignment="1" applyProtection="1">
      <alignment horizontal="left" vertical="center"/>
    </xf>
    <xf numFmtId="187" fontId="42" fillId="2" borderId="58" xfId="0" applyNumberFormat="1" applyFont="1" applyFill="1" applyBorder="1" applyAlignment="1" applyProtection="1">
      <alignment horizontal="left" vertical="center"/>
    </xf>
    <xf numFmtId="0" fontId="49" fillId="2" borderId="6" xfId="0" applyFont="1" applyFill="1" applyBorder="1" applyAlignment="1" applyProtection="1">
      <alignment horizontal="left" vertical="center"/>
    </xf>
    <xf numFmtId="0" fontId="49" fillId="0" borderId="8" xfId="0" applyFont="1" applyBorder="1" applyAlignment="1" applyProtection="1">
      <alignment horizontal="left" vertical="center"/>
      <protection locked="0"/>
    </xf>
    <xf numFmtId="0" fontId="42" fillId="2" borderId="91" xfId="0" applyFont="1" applyFill="1" applyBorder="1" applyAlignment="1" applyProtection="1">
      <alignment horizontal="left" vertical="center"/>
    </xf>
    <xf numFmtId="0" fontId="64" fillId="2" borderId="83" xfId="0" applyFont="1" applyFill="1" applyBorder="1" applyAlignment="1" applyProtection="1">
      <alignment horizontal="left" vertical="center"/>
    </xf>
    <xf numFmtId="187" fontId="42" fillId="2" borderId="83" xfId="0" applyNumberFormat="1" applyFont="1" applyFill="1" applyBorder="1" applyAlignment="1" applyProtection="1">
      <alignment horizontal="left" vertical="center"/>
    </xf>
    <xf numFmtId="0" fontId="49" fillId="2" borderId="9" xfId="0" applyFont="1" applyFill="1" applyBorder="1" applyAlignment="1" applyProtection="1">
      <alignment horizontal="left" vertical="center"/>
    </xf>
    <xf numFmtId="0" fontId="19" fillId="2" borderId="0" xfId="0" applyFont="1" applyFill="1" applyBorder="1" applyAlignment="1" applyProtection="1">
      <alignment horizontal="left" vertical="center"/>
      <protection locked="0"/>
    </xf>
    <xf numFmtId="0" fontId="104" fillId="2" borderId="0" xfId="0" applyFont="1" applyFill="1" applyBorder="1" applyAlignment="1" applyProtection="1">
      <alignment vertical="center"/>
    </xf>
    <xf numFmtId="0" fontId="104" fillId="2" borderId="0" xfId="0" applyFont="1" applyFill="1" applyBorder="1" applyAlignment="1" applyProtection="1">
      <alignment horizontal="center" vertical="center"/>
    </xf>
    <xf numFmtId="0" fontId="49" fillId="11" borderId="56" xfId="0" applyFont="1" applyFill="1" applyBorder="1" applyAlignment="1" applyProtection="1">
      <alignment horizontal="left" vertical="center"/>
    </xf>
    <xf numFmtId="10" fontId="49" fillId="11" borderId="10" xfId="0" applyNumberFormat="1" applyFont="1" applyFill="1" applyBorder="1" applyAlignment="1" applyProtection="1">
      <alignment horizontal="left" vertical="center"/>
    </xf>
    <xf numFmtId="0" fontId="49" fillId="2" borderId="0" xfId="0" applyFont="1" applyFill="1" applyBorder="1" applyAlignment="1" applyProtection="1">
      <alignment horizontal="center" vertical="center" wrapText="1"/>
      <protection locked="0"/>
    </xf>
    <xf numFmtId="0" fontId="105" fillId="2" borderId="0" xfId="0" applyFont="1" applyFill="1" applyBorder="1" applyAlignment="1" applyProtection="1">
      <alignment horizontal="left" vertical="center"/>
      <protection locked="0"/>
    </xf>
    <xf numFmtId="0" fontId="74" fillId="2" borderId="18" xfId="0" applyFont="1" applyFill="1" applyBorder="1" applyAlignment="1" applyProtection="1">
      <alignment horizontal="center" vertical="center"/>
    </xf>
    <xf numFmtId="0" fontId="49" fillId="2" borderId="0" xfId="0" applyFont="1" applyFill="1" applyBorder="1" applyAlignment="1" applyProtection="1">
      <alignment horizontal="center" vertical="center"/>
      <protection locked="0"/>
    </xf>
    <xf numFmtId="0" fontId="111" fillId="16" borderId="0" xfId="0" applyFont="1" applyFill="1" applyAlignment="1" applyProtection="1">
      <alignment horizontal="center" vertical="center"/>
    </xf>
    <xf numFmtId="0" fontId="105" fillId="2" borderId="0" xfId="0" applyFont="1" applyFill="1" applyAlignment="1" applyProtection="1">
      <alignment horizontal="left" vertical="center"/>
    </xf>
    <xf numFmtId="0" fontId="105" fillId="16" borderId="0" xfId="0" applyFont="1" applyFill="1" applyAlignment="1" applyProtection="1">
      <alignment horizontal="left" vertical="center"/>
    </xf>
    <xf numFmtId="0" fontId="49" fillId="16" borderId="153" xfId="0" applyFont="1" applyFill="1" applyBorder="1" applyAlignment="1" applyProtection="1">
      <alignment horizontal="left" vertical="center"/>
    </xf>
    <xf numFmtId="0" fontId="49" fillId="10" borderId="153" xfId="0" applyFont="1" applyFill="1" applyBorder="1" applyProtection="1">
      <alignment vertical="center"/>
      <protection locked="0"/>
    </xf>
    <xf numFmtId="0" fontId="19" fillId="2" borderId="0" xfId="0" applyFont="1" applyFill="1" applyAlignment="1" applyProtection="1">
      <alignment horizontal="left" vertical="center"/>
      <protection locked="0"/>
    </xf>
    <xf numFmtId="0" fontId="5" fillId="16" borderId="0" xfId="0" applyFont="1" applyFill="1" applyBorder="1" applyAlignment="1" applyProtection="1">
      <alignment horizontal="right" vertical="center"/>
    </xf>
    <xf numFmtId="0" fontId="31" fillId="10" borderId="7" xfId="0" applyFont="1" applyFill="1" applyBorder="1" applyAlignment="1" applyProtection="1">
      <alignment horizontal="center" vertical="center" wrapText="1"/>
    </xf>
    <xf numFmtId="0" fontId="30" fillId="10" borderId="7" xfId="0" applyFont="1" applyFill="1" applyBorder="1" applyAlignment="1" applyProtection="1">
      <alignment horizontal="left" vertical="center" wrapText="1"/>
    </xf>
    <xf numFmtId="0" fontId="31" fillId="10" borderId="7" xfId="0" applyFont="1" applyFill="1" applyBorder="1" applyAlignment="1" applyProtection="1">
      <alignment horizontal="left" vertical="center" wrapText="1"/>
    </xf>
    <xf numFmtId="0" fontId="112" fillId="10" borderId="7" xfId="0" applyFont="1" applyFill="1" applyBorder="1" applyAlignment="1" applyProtection="1">
      <alignment horizontal="left" vertical="center" wrapText="1"/>
    </xf>
    <xf numFmtId="179" fontId="112" fillId="10" borderId="7" xfId="0" applyNumberFormat="1" applyFont="1" applyFill="1" applyBorder="1" applyAlignment="1" applyProtection="1">
      <alignment horizontal="left" vertical="center" wrapText="1"/>
    </xf>
    <xf numFmtId="0" fontId="113" fillId="10" borderId="7" xfId="0" applyFont="1" applyFill="1" applyBorder="1" applyAlignment="1" applyProtection="1">
      <alignment horizontal="left" vertical="center" wrapText="1"/>
    </xf>
    <xf numFmtId="10" fontId="113" fillId="10" borderId="7" xfId="0" applyNumberFormat="1" applyFont="1" applyFill="1" applyBorder="1" applyAlignment="1" applyProtection="1">
      <alignment horizontal="left" vertical="center"/>
    </xf>
    <xf numFmtId="9" fontId="113" fillId="10" borderId="7" xfId="0" applyNumberFormat="1" applyFont="1" applyFill="1" applyBorder="1" applyAlignment="1" applyProtection="1">
      <alignment horizontal="left" vertical="center"/>
    </xf>
    <xf numFmtId="0" fontId="113" fillId="10" borderId="12" xfId="0" applyFont="1" applyFill="1" applyBorder="1" applyAlignment="1" applyProtection="1">
      <alignment horizontal="left" vertical="center" wrapText="1"/>
    </xf>
    <xf numFmtId="0" fontId="30" fillId="10" borderId="12" xfId="0" applyFont="1" applyFill="1" applyBorder="1" applyAlignment="1" applyProtection="1">
      <alignment horizontal="left" vertical="center" wrapText="1"/>
    </xf>
    <xf numFmtId="9" fontId="113" fillId="10" borderId="12" xfId="0" applyNumberFormat="1" applyFont="1" applyFill="1" applyBorder="1" applyAlignment="1" applyProtection="1">
      <alignment horizontal="left" vertical="center"/>
    </xf>
    <xf numFmtId="0" fontId="114" fillId="10" borderId="13" xfId="0" applyFont="1" applyFill="1" applyBorder="1" applyAlignment="1" applyProtection="1">
      <alignment horizontal="left" vertical="center"/>
    </xf>
    <xf numFmtId="0" fontId="114" fillId="10" borderId="15" xfId="0" applyFont="1" applyFill="1" applyBorder="1" applyAlignment="1" applyProtection="1">
      <alignment horizontal="left" vertical="center"/>
    </xf>
    <xf numFmtId="0" fontId="114" fillId="10" borderId="14" xfId="0" applyFont="1" applyFill="1" applyBorder="1" applyAlignment="1" applyProtection="1">
      <alignment horizontal="left" vertical="center"/>
    </xf>
    <xf numFmtId="0" fontId="30" fillId="10" borderId="13" xfId="0" applyFont="1" applyFill="1" applyBorder="1" applyAlignment="1" applyProtection="1">
      <alignment horizontal="left" vertical="center" wrapText="1"/>
    </xf>
    <xf numFmtId="0" fontId="113" fillId="10" borderId="83" xfId="0" applyFont="1" applyFill="1" applyBorder="1" applyAlignment="1" applyProtection="1">
      <alignment horizontal="left" vertical="center" wrapText="1"/>
    </xf>
    <xf numFmtId="0" fontId="113" fillId="10" borderId="38" xfId="0" applyFont="1" applyFill="1" applyBorder="1" applyAlignment="1" applyProtection="1">
      <alignment horizontal="left" vertical="center" wrapText="1"/>
    </xf>
    <xf numFmtId="0" fontId="113" fillId="10" borderId="91" xfId="0" applyFont="1" applyFill="1" applyBorder="1" applyAlignment="1" applyProtection="1">
      <alignment horizontal="left" vertical="center" wrapText="1"/>
    </xf>
    <xf numFmtId="0" fontId="113" fillId="10" borderId="13" xfId="0" applyFont="1" applyFill="1" applyBorder="1" applyAlignment="1" applyProtection="1">
      <alignment horizontal="left" vertical="center" wrapText="1"/>
    </xf>
    <xf numFmtId="0" fontId="113" fillId="10" borderId="15" xfId="0" applyFont="1" applyFill="1" applyBorder="1" applyAlignment="1" applyProtection="1">
      <alignment horizontal="left" vertical="center"/>
    </xf>
    <xf numFmtId="0" fontId="113" fillId="10" borderId="14" xfId="0" applyFont="1" applyFill="1" applyBorder="1" applyAlignment="1" applyProtection="1">
      <alignment horizontal="left" vertical="center" wrapText="1"/>
    </xf>
    <xf numFmtId="0" fontId="105" fillId="11" borderId="0" xfId="0" applyFont="1" applyFill="1" applyProtection="1">
      <alignment vertical="center"/>
    </xf>
    <xf numFmtId="0" fontId="113" fillId="10" borderId="69" xfId="0" applyFont="1" applyFill="1" applyBorder="1" applyAlignment="1" applyProtection="1">
      <alignment horizontal="left" vertical="center" wrapText="1"/>
    </xf>
    <xf numFmtId="0" fontId="113" fillId="10" borderId="0" xfId="0" applyFont="1" applyFill="1" applyBorder="1" applyAlignment="1" applyProtection="1">
      <alignment horizontal="left" vertical="center" wrapText="1"/>
    </xf>
    <xf numFmtId="0" fontId="113" fillId="10" borderId="102" xfId="0" applyFont="1" applyFill="1" applyBorder="1" applyAlignment="1" applyProtection="1">
      <alignment horizontal="left" vertical="center" wrapText="1"/>
    </xf>
    <xf numFmtId="0" fontId="30" fillId="10" borderId="16" xfId="0" applyFont="1" applyFill="1" applyBorder="1" applyAlignment="1" applyProtection="1">
      <alignment horizontal="left" vertical="center" wrapText="1"/>
    </xf>
    <xf numFmtId="0" fontId="113" fillId="10" borderId="58" xfId="0" applyFont="1" applyFill="1" applyBorder="1" applyAlignment="1" applyProtection="1">
      <alignment horizontal="left" vertical="center" wrapText="1"/>
    </xf>
    <xf numFmtId="0" fontId="113" fillId="10" borderId="39" xfId="0" applyFont="1" applyFill="1" applyBorder="1" applyAlignment="1" applyProtection="1">
      <alignment horizontal="left" vertical="center" wrapText="1"/>
    </xf>
    <xf numFmtId="0" fontId="113" fillId="10" borderId="59" xfId="0" applyFont="1" applyFill="1" applyBorder="1" applyAlignment="1" applyProtection="1">
      <alignment horizontal="left" vertical="center" wrapText="1"/>
    </xf>
    <xf numFmtId="0" fontId="114" fillId="10" borderId="0" xfId="0" applyFont="1" applyFill="1" applyAlignment="1" applyProtection="1">
      <alignment horizontal="left" vertical="center"/>
    </xf>
    <xf numFmtId="0" fontId="115" fillId="2" borderId="7" xfId="0" applyFont="1" applyFill="1" applyBorder="1" applyAlignment="1" applyProtection="1">
      <alignment horizontal="left" vertical="center" wrapText="1"/>
    </xf>
    <xf numFmtId="0" fontId="114" fillId="2" borderId="7" xfId="0" applyFont="1" applyFill="1" applyBorder="1" applyAlignment="1" applyProtection="1">
      <alignment horizontal="left" vertical="center"/>
    </xf>
    <xf numFmtId="0" fontId="49" fillId="10" borderId="153" xfId="0" applyFont="1" applyFill="1" applyBorder="1" applyProtection="1">
      <alignment vertical="center"/>
    </xf>
    <xf numFmtId="183" fontId="48" fillId="2" borderId="0" xfId="0" applyNumberFormat="1" applyFont="1" applyFill="1" applyBorder="1" applyAlignment="1" applyProtection="1">
      <alignment horizontal="center" vertical="center" wrapText="1"/>
    </xf>
    <xf numFmtId="10" fontId="24" fillId="2" borderId="0" xfId="0" applyNumberFormat="1" applyFont="1" applyFill="1" applyBorder="1" applyAlignment="1" applyProtection="1">
      <alignment horizontal="center" vertical="center" wrapText="1"/>
    </xf>
    <xf numFmtId="0" fontId="48" fillId="2" borderId="62" xfId="0" applyFont="1" applyFill="1" applyBorder="1" applyAlignment="1" applyProtection="1">
      <alignment horizontal="center" vertical="center" wrapText="1"/>
    </xf>
    <xf numFmtId="0" fontId="48" fillId="2" borderId="0" xfId="0" applyFont="1" applyFill="1" applyBorder="1" applyAlignment="1" applyProtection="1">
      <alignment horizontal="center" vertical="center" wrapText="1"/>
    </xf>
    <xf numFmtId="0" fontId="23" fillId="2" borderId="0" xfId="0" applyFont="1" applyFill="1" applyAlignment="1" applyProtection="1">
      <alignment vertical="center"/>
    </xf>
    <xf numFmtId="187" fontId="74" fillId="3" borderId="13" xfId="0" applyNumberFormat="1" applyFont="1" applyFill="1" applyBorder="1" applyAlignment="1" applyProtection="1">
      <alignment horizontal="left" vertical="center" wrapText="1"/>
      <protection locked="0"/>
    </xf>
    <xf numFmtId="0" fontId="75" fillId="2" borderId="3" xfId="0" applyFont="1" applyFill="1" applyBorder="1" applyAlignment="1" applyProtection="1">
      <alignment horizontal="center" vertical="center" wrapText="1"/>
    </xf>
    <xf numFmtId="0" fontId="75" fillId="2" borderId="4" xfId="0" applyFont="1" applyFill="1" applyBorder="1" applyAlignment="1" applyProtection="1">
      <alignment horizontal="center" vertical="center" wrapText="1"/>
    </xf>
    <xf numFmtId="0" fontId="49" fillId="0" borderId="0" xfId="0" applyFont="1" applyBorder="1" applyAlignment="1" applyProtection="1">
      <alignment horizontal="left" vertical="center"/>
    </xf>
    <xf numFmtId="0" fontId="18" fillId="2" borderId="18" xfId="0" applyFont="1" applyFill="1" applyBorder="1" applyAlignment="1" applyProtection="1">
      <alignment horizontal="left" vertical="center"/>
    </xf>
    <xf numFmtId="187" fontId="114" fillId="2" borderId="0" xfId="0" applyNumberFormat="1" applyFont="1" applyFill="1" applyAlignment="1" applyProtection="1">
      <alignment horizontal="left" vertical="center"/>
    </xf>
    <xf numFmtId="0" fontId="23" fillId="2" borderId="0" xfId="58" applyFont="1" applyFill="1" applyAlignment="1" applyProtection="1">
      <alignment vertical="center" wrapText="1"/>
    </xf>
    <xf numFmtId="0" fontId="23" fillId="16" borderId="0" xfId="58" applyFont="1" applyFill="1" applyAlignment="1" applyProtection="1">
      <alignment vertical="center" wrapText="1"/>
    </xf>
    <xf numFmtId="0" fontId="23" fillId="2" borderId="0" xfId="58" applyFont="1" applyFill="1" applyProtection="1"/>
    <xf numFmtId="0" fontId="23" fillId="16" borderId="0" xfId="58" applyFont="1" applyFill="1" applyProtection="1"/>
    <xf numFmtId="0" fontId="23" fillId="0" borderId="6" xfId="0" applyFont="1" applyFill="1" applyBorder="1" applyProtection="1">
      <alignment vertical="center"/>
      <protection locked="0"/>
    </xf>
    <xf numFmtId="0" fontId="23" fillId="16" borderId="0" xfId="0" applyFont="1" applyFill="1" applyBorder="1" applyProtection="1">
      <alignment vertical="center"/>
      <protection locked="0"/>
    </xf>
    <xf numFmtId="0" fontId="75" fillId="2" borderId="5" xfId="0" applyFont="1" applyFill="1" applyBorder="1" applyAlignment="1" applyProtection="1">
      <alignment horizontal="center" vertical="center" wrapText="1"/>
    </xf>
    <xf numFmtId="0" fontId="75" fillId="16" borderId="0" xfId="0" applyFont="1" applyFill="1" applyBorder="1" applyAlignment="1" applyProtection="1">
      <alignment horizontal="center" vertical="center" wrapText="1"/>
    </xf>
    <xf numFmtId="0" fontId="0" fillId="0" borderId="0" xfId="0" applyAlignment="1" applyProtection="1">
      <alignment horizontal="left" vertical="center"/>
      <protection locked="0"/>
    </xf>
    <xf numFmtId="0" fontId="116" fillId="2" borderId="7" xfId="23" applyFont="1" applyFill="1" applyBorder="1" applyAlignment="1" applyProtection="1">
      <alignment horizontal="left" vertical="center" wrapText="1"/>
    </xf>
    <xf numFmtId="0" fontId="116" fillId="0" borderId="0" xfId="23" applyFont="1" applyBorder="1" applyAlignment="1" applyProtection="1">
      <alignment horizontal="left" vertical="center" wrapText="1"/>
      <protection locked="0"/>
    </xf>
    <xf numFmtId="0" fontId="0" fillId="0" borderId="0" xfId="23" applyBorder="1" applyAlignment="1" applyProtection="1">
      <alignment horizontal="left"/>
      <protection locked="0"/>
    </xf>
    <xf numFmtId="14" fontId="116" fillId="2" borderId="7" xfId="23" applyNumberFormat="1" applyFont="1" applyFill="1" applyBorder="1" applyAlignment="1" applyProtection="1">
      <alignment horizontal="left" vertical="center" wrapText="1"/>
    </xf>
    <xf numFmtId="0" fontId="116" fillId="7" borderId="7" xfId="23" applyFont="1" applyFill="1" applyBorder="1" applyAlignment="1" applyProtection="1">
      <alignment horizontal="left" vertical="center" wrapText="1"/>
      <protection locked="0"/>
    </xf>
    <xf numFmtId="0" fontId="0" fillId="2" borderId="7" xfId="23" applyFill="1" applyBorder="1" applyAlignment="1" applyProtection="1">
      <alignment horizontal="left" vertical="center"/>
    </xf>
    <xf numFmtId="0" fontId="116" fillId="2" borderId="12" xfId="23" applyFont="1" applyFill="1" applyBorder="1" applyAlignment="1" applyProtection="1">
      <alignment horizontal="left" vertical="center" wrapText="1"/>
    </xf>
    <xf numFmtId="0" fontId="0" fillId="3" borderId="7" xfId="23" applyFont="1" applyFill="1" applyBorder="1" applyAlignment="1" applyProtection="1">
      <alignment horizontal="left"/>
      <protection locked="0"/>
    </xf>
    <xf numFmtId="0" fontId="116" fillId="0" borderId="12" xfId="23" applyFont="1" applyFill="1" applyBorder="1" applyAlignment="1" applyProtection="1">
      <alignment horizontal="left" vertical="center" wrapText="1"/>
      <protection locked="0"/>
    </xf>
    <xf numFmtId="0" fontId="0" fillId="0" borderId="7" xfId="23" applyFont="1" applyFill="1" applyBorder="1" applyAlignment="1" applyProtection="1">
      <alignment horizontal="left"/>
      <protection locked="0"/>
    </xf>
    <xf numFmtId="0" fontId="0" fillId="0" borderId="7" xfId="23" applyBorder="1" applyAlignment="1" applyProtection="1">
      <alignment horizontal="left"/>
      <protection locked="0"/>
    </xf>
    <xf numFmtId="0" fontId="116" fillId="0" borderId="7" xfId="23" applyFont="1" applyBorder="1" applyAlignment="1" applyProtection="1">
      <alignment horizontal="left" vertical="center" wrapText="1"/>
      <protection locked="0"/>
    </xf>
    <xf numFmtId="0" fontId="116" fillId="0" borderId="7" xfId="23" applyFont="1" applyFill="1" applyBorder="1" applyAlignment="1" applyProtection="1">
      <alignment horizontal="left" vertical="center" wrapText="1"/>
      <protection locked="0"/>
    </xf>
    <xf numFmtId="0" fontId="104" fillId="0" borderId="0" xfId="0" applyFont="1" applyAlignment="1" applyProtection="1">
      <alignment horizontal="left" vertical="center"/>
      <protection locked="0"/>
    </xf>
    <xf numFmtId="0" fontId="49" fillId="0" borderId="0" xfId="0" applyFont="1" applyAlignment="1" applyProtection="1">
      <alignment horizontal="left" vertical="center"/>
      <protection locked="0"/>
    </xf>
    <xf numFmtId="0" fontId="49" fillId="0" borderId="0" xfId="0" applyFont="1" applyFill="1" applyAlignment="1" applyProtection="1">
      <alignment horizontal="left" vertical="center"/>
      <protection locked="0"/>
    </xf>
    <xf numFmtId="0" fontId="49" fillId="10" borderId="0" xfId="0" applyFont="1" applyFill="1" applyAlignment="1" applyProtection="1">
      <alignment horizontal="left" vertical="center"/>
      <protection locked="0"/>
    </xf>
    <xf numFmtId="0" fontId="42" fillId="10" borderId="0" xfId="0" applyFont="1" applyFill="1" applyAlignment="1" applyProtection="1">
      <alignment horizontal="left" vertical="center"/>
      <protection locked="0"/>
    </xf>
    <xf numFmtId="0" fontId="42" fillId="0" borderId="0" xfId="0" applyFont="1" applyAlignment="1" applyProtection="1">
      <alignment horizontal="left" vertical="center"/>
      <protection locked="0"/>
    </xf>
    <xf numFmtId="0" fontId="42" fillId="0" borderId="0" xfId="0" applyFont="1" applyAlignment="1" applyProtection="1">
      <alignment horizontal="left" vertical="center" wrapText="1"/>
      <protection locked="0"/>
    </xf>
    <xf numFmtId="0" fontId="42" fillId="0" borderId="0" xfId="0" applyFont="1" applyFill="1" applyAlignment="1" applyProtection="1">
      <alignment horizontal="left" vertical="center" wrapText="1"/>
      <protection locked="0"/>
    </xf>
    <xf numFmtId="0" fontId="42" fillId="0" borderId="0" xfId="0" applyNumberFormat="1" applyFont="1" applyFill="1" applyAlignment="1" applyProtection="1">
      <alignment horizontal="left" vertical="center" wrapText="1"/>
      <protection locked="0"/>
    </xf>
    <xf numFmtId="0" fontId="42" fillId="10" borderId="0" xfId="0" applyFont="1" applyFill="1" applyAlignment="1" applyProtection="1">
      <alignment horizontal="left" vertical="center" wrapText="1"/>
      <protection locked="0"/>
    </xf>
    <xf numFmtId="0" fontId="42" fillId="10" borderId="0" xfId="0" applyNumberFormat="1" applyFont="1" applyFill="1" applyAlignment="1" applyProtection="1">
      <alignment horizontal="left" vertical="center" wrapText="1"/>
      <protection locked="0"/>
    </xf>
    <xf numFmtId="0" fontId="42" fillId="10" borderId="0" xfId="0" applyNumberFormat="1" applyFont="1" applyFill="1" applyAlignment="1" applyProtection="1">
      <alignment horizontal="left" vertical="center"/>
      <protection locked="0"/>
    </xf>
    <xf numFmtId="0" fontId="117" fillId="2" borderId="156" xfId="0" applyFont="1" applyFill="1" applyBorder="1" applyAlignment="1" applyProtection="1">
      <alignment horizontal="left" vertical="center"/>
    </xf>
    <xf numFmtId="0" fontId="117" fillId="2" borderId="157" xfId="0" applyFont="1" applyFill="1" applyBorder="1" applyAlignment="1" applyProtection="1">
      <alignment horizontal="left" vertical="center"/>
    </xf>
    <xf numFmtId="0" fontId="103" fillId="10" borderId="157" xfId="0" applyFont="1" applyFill="1" applyBorder="1" applyAlignment="1" applyProtection="1">
      <alignment horizontal="left" vertical="center" wrapText="1"/>
      <protection locked="0"/>
    </xf>
    <xf numFmtId="0" fontId="74" fillId="2" borderId="96" xfId="0" applyFont="1" applyFill="1" applyBorder="1" applyAlignment="1" applyProtection="1">
      <alignment horizontal="left" vertical="center" wrapText="1"/>
    </xf>
    <xf numFmtId="0" fontId="74" fillId="2" borderId="82" xfId="0" applyFont="1" applyFill="1" applyBorder="1" applyAlignment="1" applyProtection="1">
      <alignment horizontal="left" vertical="center" wrapText="1"/>
    </xf>
    <xf numFmtId="0" fontId="74" fillId="2" borderId="92" xfId="0" applyFont="1" applyFill="1" applyBorder="1" applyAlignment="1" applyProtection="1">
      <alignment horizontal="left" vertical="center"/>
    </xf>
    <xf numFmtId="0" fontId="74" fillId="2" borderId="0" xfId="0" applyFont="1" applyFill="1" applyBorder="1" applyAlignment="1" applyProtection="1">
      <alignment horizontal="left" vertical="center" wrapText="1"/>
    </xf>
    <xf numFmtId="0" fontId="49" fillId="2" borderId="77" xfId="0" applyFont="1" applyFill="1" applyBorder="1" applyAlignment="1" applyProtection="1">
      <alignment horizontal="left" vertical="center"/>
    </xf>
    <xf numFmtId="0" fontId="74" fillId="2" borderId="53" xfId="0" applyFont="1" applyFill="1" applyBorder="1" applyAlignment="1" applyProtection="1">
      <alignment horizontal="left" vertical="center" wrapText="1"/>
    </xf>
    <xf numFmtId="0" fontId="49" fillId="2" borderId="4" xfId="0" applyFont="1" applyFill="1" applyBorder="1" applyAlignment="1" applyProtection="1">
      <alignment horizontal="left" vertical="center" wrapText="1"/>
    </xf>
    <xf numFmtId="49" fontId="53" fillId="0" borderId="5" xfId="0" applyNumberFormat="1" applyFont="1" applyFill="1" applyBorder="1" applyAlignment="1" applyProtection="1">
      <alignment horizontal="left" vertical="center" wrapText="1"/>
      <protection locked="0"/>
    </xf>
    <xf numFmtId="49" fontId="49" fillId="2" borderId="0" xfId="0" applyNumberFormat="1" applyFont="1" applyFill="1" applyBorder="1" applyAlignment="1" applyProtection="1">
      <alignment horizontal="left" vertical="center" wrapText="1"/>
      <protection locked="0"/>
    </xf>
    <xf numFmtId="0" fontId="74" fillId="2" borderId="79" xfId="0" applyFont="1" applyFill="1" applyBorder="1" applyAlignment="1" applyProtection="1">
      <alignment horizontal="left" vertical="center" wrapText="1"/>
    </xf>
    <xf numFmtId="0" fontId="49" fillId="2" borderId="59" xfId="0" applyFont="1" applyFill="1" applyBorder="1" applyAlignment="1" applyProtection="1">
      <alignment horizontal="left" vertical="center" wrapText="1"/>
    </xf>
    <xf numFmtId="0" fontId="53" fillId="0" borderId="80" xfId="0" applyNumberFormat="1" applyFont="1" applyFill="1" applyBorder="1" applyAlignment="1" applyProtection="1">
      <alignment horizontal="left" vertical="center" wrapText="1"/>
      <protection locked="0"/>
    </xf>
    <xf numFmtId="49" fontId="53" fillId="0" borderId="8" xfId="0" applyNumberFormat="1" applyFont="1" applyFill="1" applyBorder="1" applyAlignment="1" applyProtection="1">
      <alignment horizontal="left" vertical="center" wrapText="1"/>
      <protection locked="0"/>
    </xf>
    <xf numFmtId="49" fontId="49" fillId="2" borderId="79" xfId="0" applyNumberFormat="1" applyFont="1" applyFill="1" applyBorder="1" applyAlignment="1" applyProtection="1">
      <alignment horizontal="left" vertical="center" wrapText="1"/>
    </xf>
    <xf numFmtId="0" fontId="53" fillId="0" borderId="8" xfId="0" applyFont="1" applyBorder="1" applyAlignment="1" applyProtection="1">
      <alignment horizontal="left" vertical="center" wrapText="1"/>
      <protection locked="0"/>
    </xf>
    <xf numFmtId="49" fontId="49" fillId="2" borderId="84" xfId="0" applyNumberFormat="1" applyFont="1" applyFill="1" applyBorder="1" applyAlignment="1" applyProtection="1">
      <alignment horizontal="left" vertical="center" wrapText="1"/>
    </xf>
    <xf numFmtId="0" fontId="49" fillId="2" borderId="87" xfId="0" applyFont="1" applyFill="1" applyBorder="1" applyAlignment="1" applyProtection="1">
      <alignment horizontal="left" vertical="center" wrapText="1"/>
    </xf>
    <xf numFmtId="0" fontId="53" fillId="0" borderId="11" xfId="0" applyNumberFormat="1" applyFont="1" applyFill="1" applyBorder="1" applyAlignment="1" applyProtection="1">
      <alignment horizontal="left" vertical="center" wrapText="1"/>
      <protection locked="0"/>
    </xf>
    <xf numFmtId="0" fontId="74" fillId="2" borderId="84" xfId="0" applyFont="1" applyFill="1" applyBorder="1" applyAlignment="1" applyProtection="1">
      <alignment horizontal="left" vertical="center" wrapText="1"/>
    </xf>
    <xf numFmtId="0" fontId="53" fillId="0" borderId="11" xfId="0" applyFont="1" applyBorder="1" applyAlignment="1" applyProtection="1">
      <alignment horizontal="left" vertical="center"/>
      <protection locked="0"/>
    </xf>
    <xf numFmtId="0" fontId="74" fillId="2" borderId="0" xfId="0" applyFont="1" applyFill="1" applyBorder="1" applyAlignment="1" applyProtection="1">
      <alignment horizontal="left" vertical="center" wrapText="1"/>
      <protection locked="0"/>
    </xf>
    <xf numFmtId="0" fontId="49" fillId="2" borderId="0" xfId="0" applyNumberFormat="1" applyFont="1" applyFill="1" applyBorder="1" applyAlignment="1" applyProtection="1">
      <alignment horizontal="left" vertical="center" wrapText="1"/>
      <protection locked="0"/>
    </xf>
    <xf numFmtId="0" fontId="64" fillId="2" borderId="0" xfId="0" applyFont="1" applyFill="1" applyBorder="1" applyAlignment="1" applyProtection="1">
      <alignment horizontal="left" vertical="center" wrapText="1"/>
      <protection locked="0"/>
    </xf>
    <xf numFmtId="0" fontId="42" fillId="2" borderId="0" xfId="0" applyFont="1" applyFill="1" applyBorder="1" applyAlignment="1" applyProtection="1">
      <alignment horizontal="left" vertical="center" wrapText="1"/>
      <protection locked="0"/>
    </xf>
    <xf numFmtId="49" fontId="42" fillId="2" borderId="0" xfId="0" applyNumberFormat="1" applyFont="1" applyFill="1" applyBorder="1" applyAlignment="1" applyProtection="1">
      <alignment horizontal="left" vertical="center" wrapText="1"/>
      <protection locked="0"/>
    </xf>
    <xf numFmtId="0" fontId="117" fillId="2" borderId="0" xfId="0" applyFont="1" applyFill="1" applyBorder="1" applyAlignment="1" applyProtection="1">
      <alignment horizontal="left" vertical="center"/>
    </xf>
    <xf numFmtId="0" fontId="103" fillId="10" borderId="0" xfId="0" applyFont="1" applyFill="1" applyBorder="1" applyAlignment="1" applyProtection="1">
      <alignment horizontal="left" vertical="center" wrapText="1"/>
      <protection locked="0"/>
    </xf>
    <xf numFmtId="0" fontId="117" fillId="2" borderId="158" xfId="0" applyFont="1" applyFill="1" applyBorder="1" applyAlignment="1" applyProtection="1">
      <alignment horizontal="left" vertical="center"/>
    </xf>
    <xf numFmtId="0" fontId="64" fillId="2" borderId="0" xfId="0" applyFont="1" applyFill="1" applyBorder="1" applyAlignment="1" applyProtection="1">
      <alignment horizontal="left" vertical="center" wrapText="1"/>
    </xf>
    <xf numFmtId="0" fontId="74" fillId="2" borderId="85" xfId="0" applyFont="1" applyFill="1" applyBorder="1" applyAlignment="1" applyProtection="1">
      <alignment horizontal="left" vertical="center" wrapText="1"/>
    </xf>
    <xf numFmtId="0" fontId="74" fillId="2" borderId="81" xfId="0" applyFont="1" applyFill="1" applyBorder="1" applyAlignment="1" applyProtection="1">
      <alignment horizontal="left" vertical="center" wrapText="1"/>
    </xf>
    <xf numFmtId="0" fontId="74" fillId="2" borderId="144" xfId="0" applyFont="1" applyFill="1" applyBorder="1" applyAlignment="1" applyProtection="1">
      <alignment horizontal="left" vertical="center" wrapText="1"/>
    </xf>
    <xf numFmtId="0" fontId="49" fillId="10" borderId="0" xfId="0" applyFont="1" applyFill="1" applyAlignment="1" applyProtection="1">
      <alignment horizontal="left" vertical="center" wrapText="1"/>
      <protection locked="0"/>
    </xf>
    <xf numFmtId="0" fontId="74" fillId="2" borderId="110" xfId="0" applyFont="1" applyFill="1" applyBorder="1" applyAlignment="1" applyProtection="1">
      <alignment horizontal="left" vertical="center" wrapText="1"/>
    </xf>
    <xf numFmtId="0" fontId="49" fillId="2" borderId="3" xfId="0" applyFont="1" applyFill="1" applyBorder="1" applyAlignment="1" applyProtection="1">
      <alignment horizontal="left" vertical="center" wrapText="1"/>
    </xf>
    <xf numFmtId="49" fontId="49" fillId="2" borderId="60" xfId="0" applyNumberFormat="1" applyFont="1" applyFill="1" applyBorder="1" applyAlignment="1" applyProtection="1">
      <alignment horizontal="left" vertical="center" wrapText="1"/>
    </xf>
    <xf numFmtId="49" fontId="74" fillId="2" borderId="110" xfId="0" applyNumberFormat="1" applyFont="1" applyFill="1" applyBorder="1" applyAlignment="1" applyProtection="1">
      <alignment horizontal="left" vertical="center" wrapText="1"/>
    </xf>
    <xf numFmtId="0" fontId="49" fillId="2" borderId="5" xfId="0" applyNumberFormat="1" applyFont="1" applyFill="1" applyBorder="1" applyAlignment="1" applyProtection="1">
      <alignment horizontal="left" vertical="center" wrapText="1"/>
    </xf>
    <xf numFmtId="0" fontId="74" fillId="2" borderId="111" xfId="0" applyFont="1" applyFill="1" applyBorder="1" applyAlignment="1" applyProtection="1">
      <alignment horizontal="left" vertical="center" wrapText="1"/>
    </xf>
    <xf numFmtId="49" fontId="49" fillId="2" borderId="8" xfId="0" applyNumberFormat="1" applyFont="1" applyFill="1" applyBorder="1" applyAlignment="1" applyProtection="1">
      <alignment horizontal="left" vertical="center" wrapText="1"/>
    </xf>
    <xf numFmtId="49" fontId="74" fillId="2" borderId="111" xfId="0" applyNumberFormat="1" applyFont="1" applyFill="1" applyBorder="1" applyAlignment="1" applyProtection="1">
      <alignment horizontal="left" vertical="center" wrapText="1"/>
    </xf>
    <xf numFmtId="0" fontId="49" fillId="2" borderId="8" xfId="0" applyNumberFormat="1" applyFont="1" applyFill="1" applyBorder="1" applyAlignment="1" applyProtection="1">
      <alignment horizontal="left" vertical="center" wrapText="1"/>
    </xf>
    <xf numFmtId="0" fontId="53" fillId="0" borderId="8" xfId="0" applyNumberFormat="1" applyFont="1" applyFill="1" applyBorder="1" applyAlignment="1" applyProtection="1">
      <alignment horizontal="left" vertical="center" wrapText="1"/>
      <protection locked="0"/>
    </xf>
    <xf numFmtId="0" fontId="49" fillId="3" borderId="8" xfId="0" applyNumberFormat="1" applyFont="1" applyFill="1" applyBorder="1" applyAlignment="1" applyProtection="1">
      <alignment horizontal="left" vertical="center" wrapText="1"/>
      <protection locked="0"/>
    </xf>
    <xf numFmtId="0" fontId="49" fillId="0" borderId="8" xfId="0" applyNumberFormat="1" applyFont="1" applyFill="1" applyBorder="1" applyAlignment="1" applyProtection="1">
      <alignment horizontal="left" vertical="center" wrapText="1"/>
      <protection locked="0"/>
    </xf>
    <xf numFmtId="49" fontId="74" fillId="2" borderId="119" xfId="0" applyNumberFormat="1" applyFont="1" applyFill="1" applyBorder="1" applyAlignment="1" applyProtection="1">
      <alignment horizontal="left" vertical="center" wrapText="1"/>
    </xf>
    <xf numFmtId="0" fontId="49" fillId="0" borderId="11" xfId="0" applyNumberFormat="1" applyFont="1" applyFill="1" applyBorder="1" applyAlignment="1" applyProtection="1">
      <alignment horizontal="left" vertical="center" wrapText="1"/>
      <protection locked="0"/>
    </xf>
    <xf numFmtId="0" fontId="74" fillId="2" borderId="119" xfId="0" applyFont="1" applyFill="1" applyBorder="1" applyAlignment="1" applyProtection="1">
      <alignment horizontal="left" vertical="center" wrapText="1"/>
    </xf>
    <xf numFmtId="0" fontId="49" fillId="2" borderId="11" xfId="0" applyNumberFormat="1" applyFont="1" applyFill="1" applyBorder="1" applyAlignment="1" applyProtection="1">
      <alignment horizontal="left" vertical="center" wrapText="1"/>
    </xf>
    <xf numFmtId="0" fontId="49" fillId="2" borderId="0" xfId="0" applyFont="1" applyFill="1" applyAlignment="1" applyProtection="1">
      <alignment horizontal="left" vertical="center" wrapText="1"/>
      <protection locked="0"/>
    </xf>
    <xf numFmtId="0" fontId="49" fillId="2" borderId="0" xfId="0" applyNumberFormat="1" applyFont="1" applyFill="1" applyAlignment="1" applyProtection="1">
      <alignment horizontal="left" vertical="center" wrapText="1"/>
      <protection locked="0"/>
    </xf>
    <xf numFmtId="0" fontId="103" fillId="10" borderId="157" xfId="0" applyNumberFormat="1" applyFont="1" applyFill="1" applyBorder="1" applyAlignment="1" applyProtection="1">
      <alignment horizontal="left" vertical="center" wrapText="1"/>
      <protection locked="0"/>
    </xf>
    <xf numFmtId="0" fontId="49" fillId="10" borderId="0" xfId="0" applyNumberFormat="1" applyFont="1" applyFill="1" applyBorder="1" applyAlignment="1" applyProtection="1">
      <alignment horizontal="left" vertical="center" wrapText="1"/>
      <protection locked="0"/>
    </xf>
    <xf numFmtId="49" fontId="49" fillId="10" borderId="0" xfId="0" applyNumberFormat="1" applyFont="1" applyFill="1" applyBorder="1" applyAlignment="1" applyProtection="1">
      <alignment horizontal="left" vertical="center" wrapText="1"/>
      <protection locked="0"/>
    </xf>
    <xf numFmtId="0" fontId="103" fillId="10" borderId="0" xfId="0" applyNumberFormat="1" applyFont="1" applyFill="1" applyBorder="1" applyAlignment="1" applyProtection="1">
      <alignment horizontal="left" vertical="center" wrapText="1"/>
      <protection locked="0"/>
    </xf>
    <xf numFmtId="0" fontId="103" fillId="10" borderId="102" xfId="0" applyNumberFormat="1" applyFont="1" applyFill="1" applyBorder="1" applyAlignment="1" applyProtection="1">
      <alignment horizontal="left" vertical="center" wrapText="1"/>
      <protection locked="0"/>
    </xf>
    <xf numFmtId="0" fontId="104" fillId="10" borderId="0" xfId="0" applyFont="1" applyFill="1" applyAlignment="1" applyProtection="1">
      <alignment horizontal="left" vertical="center" wrapText="1"/>
      <protection locked="0"/>
    </xf>
    <xf numFmtId="0" fontId="104" fillId="10" borderId="0" xfId="0" applyNumberFormat="1" applyFont="1" applyFill="1" applyAlignment="1" applyProtection="1">
      <alignment horizontal="left" vertical="center" wrapText="1"/>
      <protection locked="0"/>
    </xf>
    <xf numFmtId="0" fontId="49" fillId="10" borderId="0" xfId="0" applyNumberFormat="1" applyFont="1" applyFill="1" applyAlignment="1" applyProtection="1">
      <alignment horizontal="left" vertical="center" wrapText="1"/>
      <protection locked="0"/>
    </xf>
    <xf numFmtId="0" fontId="103" fillId="10" borderId="159" xfId="0" applyFont="1" applyFill="1" applyBorder="1" applyAlignment="1" applyProtection="1">
      <alignment horizontal="left" vertical="center" wrapText="1"/>
      <protection locked="0"/>
    </xf>
    <xf numFmtId="0" fontId="104" fillId="10" borderId="0" xfId="0" applyNumberFormat="1" applyFont="1" applyFill="1" applyAlignment="1" applyProtection="1">
      <alignment horizontal="left" vertical="center"/>
      <protection locked="0"/>
    </xf>
    <xf numFmtId="0" fontId="104" fillId="10" borderId="0" xfId="0" applyFont="1" applyFill="1" applyAlignment="1" applyProtection="1">
      <alignment horizontal="left" vertical="center"/>
      <protection locked="0"/>
    </xf>
    <xf numFmtId="0" fontId="49" fillId="10" borderId="0" xfId="0" applyNumberFormat="1" applyFont="1" applyFill="1" applyAlignment="1" applyProtection="1">
      <alignment horizontal="left" vertical="center"/>
      <protection locked="0"/>
    </xf>
    <xf numFmtId="0" fontId="49" fillId="0" borderId="0" xfId="0" applyFont="1" applyAlignment="1" applyProtection="1">
      <alignment horizontal="left" vertical="center" wrapText="1"/>
      <protection locked="0"/>
    </xf>
    <xf numFmtId="185" fontId="49" fillId="0" borderId="0" xfId="0" applyNumberFormat="1" applyFont="1" applyAlignment="1" applyProtection="1">
      <alignment horizontal="left" vertical="center"/>
      <protection locked="0"/>
    </xf>
    <xf numFmtId="185" fontId="49" fillId="2" borderId="0" xfId="0" applyNumberFormat="1" applyFont="1" applyFill="1" applyAlignment="1" applyProtection="1">
      <alignment horizontal="left" vertical="center"/>
      <protection locked="0"/>
    </xf>
    <xf numFmtId="185" fontId="49" fillId="0" borderId="0" xfId="0" applyNumberFormat="1" applyFont="1" applyFill="1" applyAlignment="1" applyProtection="1">
      <alignment horizontal="left" vertical="center"/>
      <protection locked="0"/>
    </xf>
    <xf numFmtId="0" fontId="99" fillId="2" borderId="0" xfId="0" applyFont="1" applyFill="1" applyAlignment="1" applyProtection="1">
      <alignment horizontal="left" vertical="center" wrapText="1"/>
      <protection locked="0"/>
    </xf>
    <xf numFmtId="0" fontId="64" fillId="2" borderId="65" xfId="0" applyFont="1" applyFill="1" applyBorder="1" applyAlignment="1" applyProtection="1">
      <alignment horizontal="left" vertical="center" wrapText="1"/>
      <protection locked="0"/>
    </xf>
    <xf numFmtId="14" fontId="42" fillId="2" borderId="78" xfId="0" applyNumberFormat="1" applyFont="1" applyFill="1" applyBorder="1" applyAlignment="1" applyProtection="1">
      <alignment horizontal="left" vertical="center"/>
      <protection locked="0"/>
    </xf>
    <xf numFmtId="185" fontId="64" fillId="2" borderId="53" xfId="0" applyNumberFormat="1" applyFont="1" applyFill="1" applyBorder="1" applyAlignment="1" applyProtection="1">
      <alignment horizontal="left" vertical="center" wrapText="1"/>
      <protection locked="0"/>
    </xf>
    <xf numFmtId="0" fontId="42" fillId="3" borderId="81" xfId="0" applyFont="1" applyFill="1" applyBorder="1" applyAlignment="1" applyProtection="1">
      <alignment horizontal="left" vertical="center"/>
      <protection locked="0"/>
    </xf>
    <xf numFmtId="185" fontId="42" fillId="2" borderId="0" xfId="0" applyNumberFormat="1" applyFont="1" applyFill="1" applyAlignment="1" applyProtection="1">
      <alignment horizontal="left" vertical="center"/>
      <protection locked="0"/>
    </xf>
    <xf numFmtId="185" fontId="42" fillId="0" borderId="0" xfId="0" applyNumberFormat="1" applyFont="1" applyFill="1" applyAlignment="1" applyProtection="1">
      <alignment horizontal="left" vertical="center"/>
      <protection locked="0"/>
    </xf>
    <xf numFmtId="0" fontId="64" fillId="2" borderId="96" xfId="0" applyFont="1" applyFill="1" applyBorder="1" applyAlignment="1" applyProtection="1">
      <alignment horizontal="left" vertical="center" wrapText="1"/>
      <protection locked="0"/>
    </xf>
    <xf numFmtId="0" fontId="42" fillId="3" borderId="78" xfId="0" applyNumberFormat="1" applyFont="1" applyFill="1" applyBorder="1" applyAlignment="1" applyProtection="1">
      <alignment horizontal="left" vertical="center"/>
      <protection locked="0"/>
    </xf>
    <xf numFmtId="185" fontId="64" fillId="2" borderId="79" xfId="0" applyNumberFormat="1" applyFont="1" applyFill="1" applyBorder="1" applyAlignment="1" applyProtection="1">
      <alignment horizontal="left" vertical="center" wrapText="1"/>
      <protection locked="0"/>
    </xf>
    <xf numFmtId="0" fontId="42" fillId="3" borderId="75" xfId="0" applyNumberFormat="1" applyFont="1" applyFill="1" applyBorder="1" applyAlignment="1" applyProtection="1">
      <alignment horizontal="left" vertical="center"/>
      <protection locked="0"/>
    </xf>
    <xf numFmtId="0" fontId="64" fillId="2" borderId="98" xfId="0" applyFont="1" applyFill="1" applyBorder="1" applyAlignment="1" applyProtection="1">
      <alignment horizontal="left" vertical="center" wrapText="1"/>
      <protection locked="0"/>
    </xf>
    <xf numFmtId="0" fontId="42" fillId="2" borderId="78" xfId="0" applyFont="1" applyFill="1" applyBorder="1" applyAlignment="1" applyProtection="1">
      <alignment horizontal="left" vertical="center"/>
      <protection locked="0"/>
    </xf>
    <xf numFmtId="185" fontId="64" fillId="2" borderId="7" xfId="0" applyNumberFormat="1" applyFont="1" applyFill="1" applyBorder="1" applyAlignment="1" applyProtection="1">
      <alignment horizontal="left" vertical="center"/>
      <protection locked="0"/>
    </xf>
    <xf numFmtId="0" fontId="42" fillId="0" borderId="7" xfId="0" applyNumberFormat="1" applyFont="1" applyFill="1" applyBorder="1" applyAlignment="1" applyProtection="1">
      <alignment horizontal="left" vertical="center"/>
      <protection locked="0"/>
    </xf>
    <xf numFmtId="0" fontId="42" fillId="2" borderId="72" xfId="0" applyFont="1" applyFill="1" applyBorder="1" applyAlignment="1" applyProtection="1">
      <alignment horizontal="left" vertical="center"/>
      <protection locked="0"/>
    </xf>
    <xf numFmtId="0" fontId="64" fillId="0" borderId="0" xfId="0" applyFont="1" applyFill="1" applyBorder="1" applyAlignment="1" applyProtection="1">
      <alignment horizontal="left" vertical="center" wrapText="1"/>
      <protection locked="0"/>
    </xf>
    <xf numFmtId="185" fontId="64" fillId="0" borderId="0" xfId="0" applyNumberFormat="1" applyFont="1" applyFill="1" applyBorder="1" applyAlignment="1" applyProtection="1">
      <alignment horizontal="left" vertical="center"/>
      <protection locked="0"/>
    </xf>
    <xf numFmtId="0" fontId="118" fillId="0" borderId="0" xfId="0" applyFont="1" applyFill="1" applyAlignment="1" applyProtection="1">
      <alignment horizontal="left" vertical="center"/>
      <protection locked="0"/>
    </xf>
    <xf numFmtId="0" fontId="42" fillId="2" borderId="3" xfId="57" applyFont="1" applyFill="1" applyBorder="1" applyAlignment="1" applyProtection="1">
      <alignment horizontal="left" vertical="center" wrapText="1"/>
      <protection locked="0"/>
    </xf>
    <xf numFmtId="183" fontId="42" fillId="12" borderId="5" xfId="57" applyNumberFormat="1" applyFont="1" applyFill="1" applyBorder="1" applyAlignment="1" applyProtection="1">
      <alignment horizontal="left" vertical="center"/>
      <protection locked="0"/>
    </xf>
    <xf numFmtId="0" fontId="42" fillId="2" borderId="82" xfId="0" applyFont="1" applyFill="1" applyBorder="1" applyAlignment="1" applyProtection="1">
      <alignment horizontal="left" vertical="center"/>
      <protection locked="0"/>
    </xf>
    <xf numFmtId="0" fontId="118" fillId="2" borderId="78" xfId="0" applyFont="1" applyFill="1" applyBorder="1" applyAlignment="1" applyProtection="1">
      <alignment horizontal="left" vertical="center"/>
      <protection locked="0"/>
    </xf>
    <xf numFmtId="186" fontId="43" fillId="2" borderId="6" xfId="57" applyNumberFormat="1" applyFont="1" applyFill="1" applyBorder="1" applyAlignment="1" applyProtection="1">
      <alignment horizontal="left" vertical="center" wrapText="1"/>
      <protection locked="0"/>
    </xf>
    <xf numFmtId="183" fontId="49" fillId="3" borderId="8" xfId="57" applyNumberFormat="1" applyFont="1" applyFill="1" applyBorder="1" applyAlignment="1" applyProtection="1">
      <alignment horizontal="left" vertical="center"/>
      <protection locked="0"/>
    </xf>
    <xf numFmtId="0" fontId="42" fillId="2" borderId="3" xfId="0" applyFont="1" applyFill="1" applyBorder="1" applyAlignment="1" applyProtection="1">
      <alignment horizontal="left" vertical="center" wrapText="1"/>
      <protection locked="0"/>
    </xf>
    <xf numFmtId="0" fontId="24" fillId="0" borderId="5" xfId="57" applyNumberFormat="1" applyFont="1" applyFill="1" applyBorder="1" applyAlignment="1" applyProtection="1">
      <alignment horizontal="left" vertical="center"/>
      <protection locked="0"/>
    </xf>
    <xf numFmtId="0" fontId="58" fillId="2" borderId="0" xfId="0" applyFont="1" applyFill="1" applyAlignment="1" applyProtection="1">
      <alignment horizontal="left" vertical="center"/>
      <protection locked="0"/>
    </xf>
    <xf numFmtId="0" fontId="42" fillId="2" borderId="6" xfId="0" applyFont="1" applyFill="1" applyBorder="1" applyAlignment="1" applyProtection="1">
      <alignment horizontal="left" vertical="center" wrapText="1"/>
      <protection locked="0"/>
    </xf>
    <xf numFmtId="177" fontId="69" fillId="0" borderId="7" xfId="0" applyNumberFormat="1" applyFont="1" applyFill="1" applyBorder="1" applyAlignment="1" applyProtection="1">
      <alignment horizontal="left" vertical="center" shrinkToFit="1"/>
      <protection locked="0"/>
    </xf>
    <xf numFmtId="0" fontId="24" fillId="0" borderId="8" xfId="57" applyNumberFormat="1" applyFont="1" applyFill="1" applyBorder="1" applyAlignment="1" applyProtection="1">
      <alignment horizontal="left" vertical="center"/>
      <protection locked="0"/>
    </xf>
    <xf numFmtId="185" fontId="42" fillId="2" borderId="6" xfId="0" applyNumberFormat="1" applyFont="1" applyFill="1" applyBorder="1" applyAlignment="1" applyProtection="1">
      <alignment horizontal="left" vertical="center" wrapText="1"/>
      <protection locked="0"/>
    </xf>
    <xf numFmtId="185" fontId="43" fillId="2" borderId="8" xfId="57" applyNumberFormat="1" applyFont="1" applyFill="1" applyBorder="1" applyAlignment="1" applyProtection="1">
      <alignment horizontal="left" vertical="center"/>
      <protection locked="0"/>
    </xf>
    <xf numFmtId="14" fontId="42" fillId="0" borderId="0" xfId="0" applyNumberFormat="1" applyFont="1" applyFill="1" applyAlignment="1" applyProtection="1">
      <alignment horizontal="left" vertical="center"/>
      <protection locked="0"/>
    </xf>
    <xf numFmtId="0" fontId="42" fillId="2" borderId="9" xfId="0" applyFont="1" applyFill="1" applyBorder="1" applyAlignment="1" applyProtection="1">
      <alignment horizontal="left" vertical="center" wrapText="1"/>
      <protection locked="0"/>
    </xf>
    <xf numFmtId="0" fontId="24" fillId="0" borderId="11" xfId="57" applyNumberFormat="1" applyFont="1" applyFill="1" applyBorder="1" applyAlignment="1" applyProtection="1">
      <alignment horizontal="left" vertical="center"/>
      <protection locked="0"/>
    </xf>
    <xf numFmtId="186" fontId="43" fillId="2" borderId="8" xfId="57" applyNumberFormat="1" applyFont="1" applyFill="1" applyBorder="1" applyAlignment="1" applyProtection="1">
      <alignment horizontal="left" vertical="center"/>
      <protection locked="0"/>
    </xf>
    <xf numFmtId="0" fontId="42" fillId="2" borderId="100" xfId="0" applyFont="1" applyFill="1" applyBorder="1" applyAlignment="1" applyProtection="1">
      <alignment horizontal="left" vertical="center" wrapText="1"/>
      <protection locked="0"/>
    </xf>
    <xf numFmtId="0" fontId="24" fillId="0" borderId="80" xfId="57" applyNumberFormat="1" applyFont="1" applyFill="1" applyBorder="1" applyAlignment="1" applyProtection="1">
      <alignment horizontal="left" vertical="center"/>
      <protection locked="0"/>
    </xf>
    <xf numFmtId="187" fontId="42" fillId="0" borderId="8" xfId="0" applyNumberFormat="1" applyFont="1" applyFill="1" applyBorder="1" applyAlignment="1" applyProtection="1">
      <alignment horizontal="left" vertical="center"/>
      <protection locked="0"/>
    </xf>
    <xf numFmtId="0" fontId="43" fillId="2" borderId="8" xfId="57" applyNumberFormat="1" applyFont="1" applyFill="1" applyBorder="1" applyAlignment="1" applyProtection="1">
      <alignment horizontal="left" vertical="center"/>
      <protection locked="0"/>
    </xf>
    <xf numFmtId="0" fontId="42" fillId="2" borderId="57" xfId="0" applyFont="1" applyFill="1" applyBorder="1" applyAlignment="1" applyProtection="1">
      <alignment horizontal="left" vertical="center" wrapText="1"/>
      <protection locked="0"/>
    </xf>
    <xf numFmtId="0" fontId="24" fillId="0" borderId="61" xfId="57" applyNumberFormat="1" applyFont="1" applyFill="1" applyBorder="1" applyAlignment="1" applyProtection="1">
      <alignment horizontal="left" vertical="center"/>
      <protection locked="0"/>
    </xf>
    <xf numFmtId="187" fontId="42" fillId="0" borderId="61" xfId="0" applyNumberFormat="1" applyFont="1" applyFill="1" applyBorder="1" applyAlignment="1" applyProtection="1">
      <alignment horizontal="left" vertical="center"/>
      <protection locked="0"/>
    </xf>
    <xf numFmtId="183" fontId="49" fillId="0" borderId="5" xfId="57" applyNumberFormat="1" applyFont="1" applyFill="1" applyBorder="1" applyAlignment="1" applyProtection="1">
      <alignment horizontal="left" vertical="center"/>
      <protection locked="0"/>
    </xf>
    <xf numFmtId="0" fontId="23" fillId="2" borderId="9" xfId="0" applyFont="1" applyFill="1" applyBorder="1" applyAlignment="1" applyProtection="1">
      <alignment horizontal="left" vertical="center" wrapText="1"/>
      <protection locked="0"/>
    </xf>
    <xf numFmtId="191" fontId="42" fillId="0" borderId="11" xfId="0" applyNumberFormat="1" applyFont="1" applyFill="1" applyBorder="1" applyAlignment="1" applyProtection="1">
      <alignment horizontal="left" vertical="center"/>
      <protection locked="0"/>
    </xf>
    <xf numFmtId="185" fontId="42" fillId="2" borderId="6" xfId="57" applyNumberFormat="1" applyFont="1" applyFill="1" applyBorder="1" applyAlignment="1" applyProtection="1">
      <alignment horizontal="left" vertical="center" wrapText="1"/>
      <protection locked="0"/>
    </xf>
    <xf numFmtId="0" fontId="42" fillId="2" borderId="8" xfId="57" applyNumberFormat="1" applyFont="1" applyFill="1" applyBorder="1" applyAlignment="1" applyProtection="1">
      <alignment horizontal="left" vertical="center"/>
      <protection locked="0"/>
    </xf>
    <xf numFmtId="0" fontId="49" fillId="2" borderId="144" xfId="0" applyFont="1" applyFill="1" applyBorder="1" applyAlignment="1" applyProtection="1">
      <alignment horizontal="left" vertical="center"/>
      <protection locked="0"/>
    </xf>
    <xf numFmtId="0" fontId="64" fillId="2" borderId="110" xfId="0" applyFont="1" applyFill="1" applyBorder="1" applyAlignment="1" applyProtection="1">
      <alignment horizontal="left" vertical="center" wrapText="1"/>
      <protection locked="0"/>
    </xf>
    <xf numFmtId="0" fontId="42" fillId="2" borderId="6" xfId="0" applyFont="1" applyFill="1" applyBorder="1" applyAlignment="1" applyProtection="1">
      <alignment horizontal="left" vertical="center"/>
      <protection locked="0"/>
    </xf>
    <xf numFmtId="10" fontId="49" fillId="0" borderId="8" xfId="57" applyNumberFormat="1" applyFont="1" applyFill="1" applyBorder="1" applyAlignment="1" applyProtection="1">
      <alignment horizontal="left" vertical="center"/>
      <protection locked="0"/>
    </xf>
    <xf numFmtId="189" fontId="43" fillId="2" borderId="3" xfId="57" applyNumberFormat="1" applyFont="1" applyFill="1" applyBorder="1" applyAlignment="1" applyProtection="1">
      <alignment horizontal="left" vertical="center" wrapText="1"/>
      <protection locked="0"/>
    </xf>
    <xf numFmtId="189" fontId="43" fillId="0" borderId="5" xfId="57" applyNumberFormat="1" applyFont="1" applyFill="1" applyBorder="1" applyAlignment="1" applyProtection="1">
      <alignment horizontal="left" vertical="center"/>
      <protection locked="0"/>
    </xf>
    <xf numFmtId="187" fontId="49" fillId="0" borderId="5" xfId="0" applyNumberFormat="1" applyFont="1" applyFill="1" applyBorder="1" applyAlignment="1" applyProtection="1">
      <alignment horizontal="left" vertical="center"/>
      <protection locked="0"/>
    </xf>
    <xf numFmtId="0" fontId="18" fillId="2" borderId="0" xfId="0" applyFont="1" applyFill="1" applyAlignment="1" applyProtection="1">
      <alignment horizontal="left" vertical="center"/>
      <protection locked="0"/>
    </xf>
    <xf numFmtId="189" fontId="43" fillId="2" borderId="6" xfId="57" applyNumberFormat="1" applyFont="1" applyFill="1" applyBorder="1" applyAlignment="1" applyProtection="1">
      <alignment horizontal="left" vertical="center" wrapText="1"/>
      <protection locked="0"/>
    </xf>
    <xf numFmtId="189" fontId="42" fillId="0" borderId="8" xfId="57" applyNumberFormat="1" applyFont="1" applyFill="1" applyBorder="1" applyAlignment="1" applyProtection="1">
      <alignment horizontal="left" vertical="center"/>
      <protection locked="0"/>
    </xf>
    <xf numFmtId="187" fontId="49" fillId="0" borderId="8" xfId="0" applyNumberFormat="1" applyFont="1" applyFill="1" applyBorder="1" applyAlignment="1" applyProtection="1">
      <alignment horizontal="left" vertical="center"/>
      <protection locked="0"/>
    </xf>
    <xf numFmtId="189" fontId="43" fillId="2" borderId="57" xfId="57" applyNumberFormat="1" applyFont="1" applyFill="1" applyBorder="1" applyAlignment="1" applyProtection="1">
      <alignment horizontal="left" vertical="center" wrapText="1"/>
      <protection locked="0"/>
    </xf>
    <xf numFmtId="189" fontId="42" fillId="0" borderId="61" xfId="57" applyNumberFormat="1" applyFont="1" applyFill="1" applyBorder="1" applyAlignment="1" applyProtection="1">
      <alignment horizontal="left" vertical="center"/>
      <protection locked="0"/>
    </xf>
    <xf numFmtId="189" fontId="43" fillId="2" borderId="9" xfId="57" applyNumberFormat="1" applyFont="1" applyFill="1" applyBorder="1" applyAlignment="1" applyProtection="1">
      <alignment horizontal="left" vertical="center" wrapText="1"/>
      <protection locked="0"/>
    </xf>
    <xf numFmtId="189" fontId="43" fillId="2" borderId="11" xfId="57" applyNumberFormat="1" applyFont="1" applyFill="1" applyBorder="1" applyAlignment="1" applyProtection="1">
      <alignment horizontal="left" vertical="center"/>
      <protection locked="0"/>
    </xf>
    <xf numFmtId="187" fontId="49" fillId="0" borderId="11" xfId="0" applyNumberFormat="1" applyFont="1" applyFill="1" applyBorder="1" applyAlignment="1" applyProtection="1">
      <alignment horizontal="left" vertical="center"/>
      <protection locked="0"/>
    </xf>
    <xf numFmtId="189" fontId="42" fillId="2" borderId="6" xfId="57" applyNumberFormat="1" applyFont="1" applyFill="1" applyBorder="1" applyAlignment="1" applyProtection="1">
      <alignment horizontal="left" vertical="center" wrapText="1"/>
      <protection locked="0"/>
    </xf>
    <xf numFmtId="189" fontId="43" fillId="2" borderId="5" xfId="57" applyNumberFormat="1" applyFont="1" applyFill="1" applyBorder="1" applyAlignment="1" applyProtection="1">
      <alignment horizontal="left" vertical="center"/>
      <protection locked="0"/>
    </xf>
    <xf numFmtId="189" fontId="43" fillId="2" borderId="72" xfId="57" applyNumberFormat="1" applyFont="1" applyFill="1" applyBorder="1" applyAlignment="1" applyProtection="1">
      <alignment horizontal="left" vertical="center"/>
      <protection locked="0"/>
    </xf>
    <xf numFmtId="185" fontId="64" fillId="2" borderId="65" xfId="0" applyNumberFormat="1" applyFont="1" applyFill="1" applyBorder="1" applyAlignment="1" applyProtection="1">
      <alignment horizontal="left" vertical="center"/>
      <protection locked="0"/>
    </xf>
    <xf numFmtId="0" fontId="42" fillId="0" borderId="78" xfId="0" applyNumberFormat="1" applyFont="1" applyFill="1" applyBorder="1" applyAlignment="1" applyProtection="1">
      <alignment horizontal="left" vertical="center"/>
      <protection locked="0"/>
    </xf>
    <xf numFmtId="0" fontId="42" fillId="3" borderId="6" xfId="0" applyFont="1" applyFill="1" applyBorder="1" applyAlignment="1" applyProtection="1">
      <alignment horizontal="left" vertical="center" wrapText="1"/>
      <protection locked="0"/>
    </xf>
    <xf numFmtId="10" fontId="49" fillId="2" borderId="8" xfId="0" applyNumberFormat="1" applyFont="1" applyFill="1" applyBorder="1" applyAlignment="1" applyProtection="1">
      <alignment horizontal="left" vertical="center"/>
      <protection locked="0"/>
    </xf>
    <xf numFmtId="10" fontId="19" fillId="0" borderId="0" xfId="0" applyNumberFormat="1" applyFont="1" applyFill="1" applyAlignment="1" applyProtection="1">
      <alignment horizontal="left" vertical="center"/>
      <protection locked="0"/>
    </xf>
    <xf numFmtId="9" fontId="49" fillId="0" borderId="11" xfId="0" applyNumberFormat="1" applyFont="1" applyFill="1" applyBorder="1" applyAlignment="1" applyProtection="1">
      <alignment horizontal="left" vertical="center"/>
      <protection locked="0"/>
    </xf>
    <xf numFmtId="0" fontId="42" fillId="2" borderId="85" xfId="0" applyFont="1" applyFill="1" applyBorder="1" applyAlignment="1" applyProtection="1">
      <alignment horizontal="left" vertical="center"/>
      <protection locked="0"/>
    </xf>
    <xf numFmtId="0" fontId="49" fillId="3" borderId="5" xfId="0" applyFont="1" applyFill="1" applyBorder="1" applyAlignment="1" applyProtection="1">
      <alignment horizontal="left" vertical="center"/>
      <protection locked="0"/>
    </xf>
    <xf numFmtId="10" fontId="42" fillId="2" borderId="80" xfId="0" applyNumberFormat="1" applyFont="1" applyFill="1" applyBorder="1" applyAlignment="1" applyProtection="1">
      <alignment horizontal="left" vertical="center"/>
      <protection locked="0"/>
    </xf>
    <xf numFmtId="0" fontId="42" fillId="0" borderId="8" xfId="0" applyFont="1" applyBorder="1" applyAlignment="1" applyProtection="1">
      <alignment horizontal="left" vertical="center"/>
      <protection locked="0"/>
    </xf>
    <xf numFmtId="10" fontId="42" fillId="0" borderId="61" xfId="0" applyNumberFormat="1" applyFont="1" applyFill="1" applyBorder="1" applyAlignment="1" applyProtection="1">
      <alignment horizontal="left" vertical="center"/>
      <protection locked="0"/>
    </xf>
    <xf numFmtId="187" fontId="71" fillId="2" borderId="0" xfId="0" applyNumberFormat="1" applyFont="1" applyFill="1" applyAlignment="1" applyProtection="1">
      <alignment horizontal="left" vertical="center"/>
      <protection locked="0"/>
    </xf>
    <xf numFmtId="10" fontId="42" fillId="2" borderId="8" xfId="0" applyNumberFormat="1" applyFont="1" applyFill="1" applyBorder="1" applyAlignment="1" applyProtection="1">
      <alignment horizontal="left" vertical="center"/>
      <protection locked="0"/>
    </xf>
    <xf numFmtId="191" fontId="42" fillId="2" borderId="61" xfId="0" applyNumberFormat="1" applyFont="1" applyFill="1" applyBorder="1" applyAlignment="1" applyProtection="1">
      <alignment horizontal="left" vertical="center"/>
      <protection locked="0"/>
    </xf>
    <xf numFmtId="10" fontId="42" fillId="12" borderId="61" xfId="0" applyNumberFormat="1" applyFont="1" applyFill="1" applyBorder="1" applyAlignment="1" applyProtection="1">
      <alignment horizontal="left" vertical="center"/>
      <protection locked="0"/>
    </xf>
    <xf numFmtId="0" fontId="23" fillId="2" borderId="0" xfId="0" applyFont="1" applyFill="1" applyAlignment="1" applyProtection="1">
      <alignment horizontal="left" vertical="center"/>
      <protection locked="0"/>
    </xf>
    <xf numFmtId="185" fontId="42" fillId="2" borderId="8" xfId="0" applyNumberFormat="1" applyFont="1" applyFill="1" applyBorder="1" applyAlignment="1" applyProtection="1">
      <alignment horizontal="left" vertical="center"/>
      <protection locked="0"/>
    </xf>
    <xf numFmtId="0" fontId="42" fillId="0" borderId="61" xfId="0" applyFont="1" applyFill="1" applyBorder="1" applyAlignment="1" applyProtection="1">
      <alignment horizontal="left" vertical="center"/>
      <protection locked="0"/>
    </xf>
    <xf numFmtId="10" fontId="42" fillId="0" borderId="11" xfId="0" applyNumberFormat="1" applyFont="1" applyFill="1" applyBorder="1" applyAlignment="1" applyProtection="1">
      <alignment horizontal="left" vertical="center"/>
      <protection locked="0"/>
    </xf>
    <xf numFmtId="0" fontId="39" fillId="2" borderId="66" xfId="0" applyFont="1" applyFill="1" applyBorder="1" applyAlignment="1" applyProtection="1">
      <alignment horizontal="left" vertical="center"/>
      <protection locked="0"/>
    </xf>
    <xf numFmtId="0" fontId="42" fillId="2" borderId="68" xfId="0" applyFont="1" applyFill="1" applyBorder="1" applyAlignment="1" applyProtection="1">
      <alignment horizontal="left" vertical="center"/>
      <protection locked="0"/>
    </xf>
    <xf numFmtId="0" fontId="42" fillId="2" borderId="79" xfId="0" applyFont="1" applyFill="1" applyBorder="1" applyAlignment="1" applyProtection="1">
      <alignment horizontal="left" vertical="center" wrapText="1"/>
      <protection locked="0"/>
    </xf>
    <xf numFmtId="9" fontId="42" fillId="0" borderId="70" xfId="0" applyNumberFormat="1" applyFont="1" applyFill="1" applyBorder="1" applyAlignment="1" applyProtection="1">
      <alignment horizontal="left" vertical="center"/>
      <protection locked="0"/>
    </xf>
    <xf numFmtId="0" fontId="42" fillId="0" borderId="80" xfId="0" applyFont="1" applyFill="1" applyBorder="1" applyAlignment="1" applyProtection="1">
      <alignment horizontal="left" vertical="center"/>
      <protection locked="0"/>
    </xf>
    <xf numFmtId="0" fontId="42" fillId="2" borderId="53" xfId="0" applyFont="1" applyFill="1" applyBorder="1" applyAlignment="1" applyProtection="1">
      <alignment horizontal="left" vertical="center" wrapText="1"/>
      <protection locked="0"/>
    </xf>
    <xf numFmtId="10" fontId="42" fillId="2" borderId="60" xfId="0" applyNumberFormat="1" applyFont="1" applyFill="1" applyBorder="1" applyAlignment="1" applyProtection="1">
      <alignment horizontal="left" vertical="center"/>
      <protection locked="0"/>
    </xf>
    <xf numFmtId="10" fontId="42" fillId="2" borderId="11" xfId="0" applyNumberFormat="1" applyFont="1" applyFill="1" applyBorder="1" applyAlignment="1" applyProtection="1">
      <alignment horizontal="left" vertical="center"/>
      <protection locked="0"/>
    </xf>
    <xf numFmtId="180" fontId="42" fillId="2" borderId="60" xfId="0" applyNumberFormat="1" applyFont="1" applyFill="1" applyBorder="1" applyAlignment="1" applyProtection="1">
      <alignment horizontal="left" vertical="center"/>
      <protection locked="0"/>
    </xf>
    <xf numFmtId="185" fontId="42" fillId="2" borderId="61" xfId="0" applyNumberFormat="1" applyFont="1" applyFill="1" applyBorder="1" applyAlignment="1" applyProtection="1">
      <alignment horizontal="left" vertical="center"/>
      <protection locked="0"/>
    </xf>
    <xf numFmtId="0" fontId="42" fillId="12" borderId="8" xfId="0" applyFont="1" applyFill="1" applyBorder="1" applyAlignment="1" applyProtection="1">
      <alignment horizontal="left" vertical="center"/>
      <protection locked="0"/>
    </xf>
    <xf numFmtId="0" fontId="42" fillId="0" borderId="5" xfId="0" applyFont="1" applyBorder="1" applyAlignment="1" applyProtection="1">
      <alignment horizontal="left" vertical="center"/>
      <protection locked="0"/>
    </xf>
    <xf numFmtId="0" fontId="42" fillId="0" borderId="6" xfId="0" applyFont="1" applyBorder="1" applyAlignment="1" applyProtection="1">
      <alignment horizontal="left" vertical="center" wrapText="1"/>
      <protection locked="0"/>
    </xf>
    <xf numFmtId="0" fontId="42" fillId="3" borderId="8" xfId="0" applyFont="1" applyFill="1" applyBorder="1" applyAlignment="1" applyProtection="1">
      <alignment horizontal="left" vertical="center"/>
      <protection locked="0"/>
    </xf>
    <xf numFmtId="10" fontId="42" fillId="0" borderId="8" xfId="0" applyNumberFormat="1" applyFont="1" applyBorder="1" applyAlignment="1" applyProtection="1">
      <alignment horizontal="left" vertical="center"/>
      <protection locked="0"/>
    </xf>
    <xf numFmtId="191" fontId="42" fillId="0" borderId="8" xfId="0" applyNumberFormat="1" applyFont="1" applyBorder="1" applyAlignment="1" applyProtection="1">
      <alignment horizontal="left" vertical="center"/>
      <protection locked="0"/>
    </xf>
    <xf numFmtId="187" fontId="42" fillId="0" borderId="11" xfId="0" applyNumberFormat="1" applyFont="1" applyBorder="1" applyAlignment="1" applyProtection="1">
      <alignment horizontal="left" vertical="center"/>
      <protection locked="0"/>
    </xf>
    <xf numFmtId="0" fontId="42" fillId="0" borderId="9" xfId="0" applyFont="1" applyBorder="1" applyAlignment="1" applyProtection="1">
      <alignment horizontal="left" vertical="center" wrapText="1"/>
      <protection locked="0"/>
    </xf>
    <xf numFmtId="0" fontId="42" fillId="0" borderId="11" xfId="0" applyFont="1" applyBorder="1" applyAlignment="1" applyProtection="1">
      <alignment horizontal="left" vertical="center"/>
      <protection locked="0"/>
    </xf>
    <xf numFmtId="0" fontId="49" fillId="0" borderId="0" xfId="0" applyFont="1" applyFill="1" applyAlignment="1" applyProtection="1">
      <alignment horizontal="left" vertical="center" wrapText="1"/>
      <protection locked="0"/>
    </xf>
    <xf numFmtId="0" fontId="0" fillId="0" borderId="0" xfId="0" applyAlignment="1">
      <alignment vertical="center" wrapText="1"/>
    </xf>
    <xf numFmtId="0" fontId="119" fillId="0" borderId="7" xfId="0" applyFont="1" applyFill="1" applyBorder="1" applyAlignment="1" applyProtection="1">
      <alignment horizontal="center" vertical="center" wrapText="1"/>
    </xf>
    <xf numFmtId="0" fontId="120" fillId="0" borderId="7" xfId="0" applyFont="1" applyBorder="1" applyAlignment="1">
      <alignment horizontal="center" vertical="center" wrapText="1"/>
    </xf>
    <xf numFmtId="0" fontId="120" fillId="0" borderId="7" xfId="0" applyFont="1" applyBorder="1" applyAlignment="1">
      <alignment vertical="center" wrapText="1"/>
    </xf>
    <xf numFmtId="0" fontId="49" fillId="0" borderId="0" xfId="0" applyFont="1" applyBorder="1" applyAlignment="1" applyProtection="1">
      <alignment vertical="center" wrapText="1"/>
    </xf>
    <xf numFmtId="0" fontId="75" fillId="0" borderId="160" xfId="0" applyFont="1" applyBorder="1" applyAlignment="1" applyProtection="1">
      <alignment vertical="center" wrapText="1"/>
    </xf>
    <xf numFmtId="0" fontId="74" fillId="0" borderId="0" xfId="0" applyFont="1" applyAlignment="1" applyProtection="1">
      <alignment vertical="center" wrapText="1"/>
    </xf>
    <xf numFmtId="0" fontId="49" fillId="0" borderId="0" xfId="0" applyFont="1" applyAlignment="1" applyProtection="1">
      <alignment vertical="center"/>
    </xf>
    <xf numFmtId="0" fontId="49" fillId="0" borderId="0" xfId="0" applyFont="1" applyAlignment="1" applyProtection="1">
      <alignment vertical="center" wrapText="1"/>
    </xf>
    <xf numFmtId="0" fontId="49" fillId="0" borderId="0" xfId="0" applyFont="1" applyAlignment="1" applyProtection="1">
      <alignment vertical="center" wrapText="1"/>
      <protection locked="0"/>
    </xf>
    <xf numFmtId="49" fontId="49" fillId="0" borderId="0" xfId="0" applyNumberFormat="1" applyFont="1" applyAlignment="1" applyProtection="1">
      <alignment vertical="center" wrapText="1"/>
      <protection locked="0"/>
    </xf>
    <xf numFmtId="0" fontId="74" fillId="2" borderId="161" xfId="0" applyFont="1" applyFill="1" applyBorder="1" applyAlignment="1" applyProtection="1">
      <alignment vertical="center"/>
    </xf>
    <xf numFmtId="0" fontId="74" fillId="2" borderId="162" xfId="0" applyFont="1" applyFill="1" applyBorder="1" applyAlignment="1" applyProtection="1">
      <alignment vertical="center"/>
    </xf>
    <xf numFmtId="0" fontId="49" fillId="2" borderId="120" xfId="0" applyFont="1" applyFill="1" applyBorder="1" applyAlignment="1" applyProtection="1">
      <alignment vertical="center" wrapText="1"/>
    </xf>
    <xf numFmtId="0" fontId="74" fillId="2" borderId="162" xfId="0" applyFont="1" applyFill="1" applyBorder="1" applyAlignment="1" applyProtection="1">
      <alignment vertical="center" wrapText="1"/>
    </xf>
    <xf numFmtId="17" fontId="74" fillId="0" borderId="163" xfId="0" applyNumberFormat="1" applyFont="1" applyFill="1" applyBorder="1" applyAlignment="1" applyProtection="1">
      <alignment vertical="center" wrapText="1"/>
      <protection locked="0"/>
    </xf>
    <xf numFmtId="0" fontId="49" fillId="2" borderId="164" xfId="0" applyFont="1" applyFill="1" applyBorder="1" applyAlignment="1" applyProtection="1">
      <alignment vertical="center"/>
    </xf>
    <xf numFmtId="14" fontId="49" fillId="0" borderId="106" xfId="0" applyNumberFormat="1" applyFont="1" applyFill="1" applyBorder="1" applyAlignment="1" applyProtection="1">
      <alignment vertical="center"/>
      <protection locked="0"/>
    </xf>
    <xf numFmtId="0" fontId="49" fillId="17" borderId="106" xfId="0" applyFont="1" applyFill="1" applyBorder="1" applyAlignment="1" applyProtection="1">
      <alignment vertical="center" wrapText="1"/>
    </xf>
    <xf numFmtId="0" fontId="49" fillId="2" borderId="123" xfId="0" applyFont="1" applyFill="1" applyBorder="1" applyAlignment="1" applyProtection="1">
      <alignment vertical="center" wrapText="1"/>
    </xf>
    <xf numFmtId="0" fontId="49" fillId="2" borderId="165" xfId="0" applyFont="1" applyFill="1" applyBorder="1" applyAlignment="1" applyProtection="1">
      <alignment vertical="center" wrapText="1"/>
    </xf>
    <xf numFmtId="0" fontId="49" fillId="0" borderId="0" xfId="0" applyFont="1" applyAlignment="1" applyProtection="1">
      <alignment vertical="center"/>
      <protection locked="0"/>
    </xf>
    <xf numFmtId="0" fontId="49" fillId="2" borderId="142" xfId="0" applyFont="1" applyFill="1" applyBorder="1" applyAlignment="1" applyProtection="1">
      <alignment vertical="center"/>
    </xf>
    <xf numFmtId="14" fontId="49" fillId="3" borderId="2" xfId="0" applyNumberFormat="1" applyFont="1" applyFill="1" applyBorder="1" applyAlignment="1" applyProtection="1">
      <alignment vertical="center"/>
      <protection locked="0"/>
    </xf>
    <xf numFmtId="0" fontId="49" fillId="2" borderId="2" xfId="0" applyFont="1" applyFill="1" applyBorder="1" applyAlignment="1" applyProtection="1">
      <alignment vertical="center" wrapText="1"/>
    </xf>
    <xf numFmtId="0" fontId="49" fillId="2" borderId="2" xfId="0" applyNumberFormat="1" applyFont="1" applyFill="1" applyBorder="1" applyAlignment="1" applyProtection="1">
      <alignment vertical="center"/>
    </xf>
    <xf numFmtId="0" fontId="49" fillId="2" borderId="1" xfId="0" applyFont="1" applyFill="1" applyBorder="1" applyAlignment="1" applyProtection="1">
      <alignment vertical="center" wrapText="1"/>
    </xf>
    <xf numFmtId="0" fontId="49" fillId="2" borderId="166" xfId="0" applyFont="1" applyFill="1" applyBorder="1" applyAlignment="1" applyProtection="1">
      <alignment vertical="center" wrapText="1"/>
    </xf>
    <xf numFmtId="0" fontId="49" fillId="0" borderId="107" xfId="0" applyFont="1" applyBorder="1" applyAlignment="1" applyProtection="1">
      <alignment vertical="center" wrapText="1"/>
      <protection locked="0"/>
    </xf>
    <xf numFmtId="0" fontId="49" fillId="17" borderId="107" xfId="0" applyFont="1" applyFill="1" applyBorder="1" applyAlignment="1" applyProtection="1">
      <alignment vertical="center" wrapText="1"/>
    </xf>
    <xf numFmtId="0" fontId="49" fillId="3" borderId="107" xfId="0" applyFont="1" applyFill="1" applyBorder="1" applyAlignment="1" applyProtection="1">
      <alignment vertical="center" wrapText="1"/>
      <protection locked="0"/>
    </xf>
    <xf numFmtId="0" fontId="49" fillId="2" borderId="6" xfId="0" applyFont="1" applyFill="1" applyBorder="1" applyAlignment="1" applyProtection="1">
      <alignment vertical="center"/>
    </xf>
    <xf numFmtId="0" fontId="49" fillId="0" borderId="7" xfId="0" applyFont="1" applyBorder="1" applyAlignment="1" applyProtection="1">
      <alignment vertical="center" wrapText="1"/>
      <protection locked="0"/>
    </xf>
    <xf numFmtId="0" fontId="49" fillId="17" borderId="7" xfId="0" applyFont="1" applyFill="1" applyBorder="1" applyAlignment="1" applyProtection="1">
      <alignment vertical="center"/>
    </xf>
    <xf numFmtId="0" fontId="49" fillId="3" borderId="7" xfId="0" applyFont="1" applyFill="1" applyBorder="1" applyAlignment="1" applyProtection="1">
      <alignment vertical="center"/>
      <protection locked="0"/>
    </xf>
    <xf numFmtId="0" fontId="49" fillId="17" borderId="7" xfId="0" applyFont="1" applyFill="1" applyBorder="1" applyAlignment="1" applyProtection="1">
      <alignment vertical="center" wrapText="1"/>
    </xf>
    <xf numFmtId="0" fontId="49" fillId="3" borderId="8" xfId="0" applyFont="1" applyFill="1" applyBorder="1" applyAlignment="1" applyProtection="1">
      <alignment vertical="center" wrapText="1"/>
      <protection locked="0"/>
    </xf>
    <xf numFmtId="0" fontId="49" fillId="17" borderId="6" xfId="0" applyFont="1" applyFill="1" applyBorder="1" applyAlignment="1" applyProtection="1">
      <alignment vertical="center"/>
    </xf>
    <xf numFmtId="0" fontId="49" fillId="12" borderId="7" xfId="0" applyFont="1" applyFill="1" applyBorder="1" applyAlignment="1" applyProtection="1">
      <alignment vertical="center" wrapText="1"/>
      <protection locked="0"/>
    </xf>
    <xf numFmtId="0" fontId="49" fillId="0" borderId="14" xfId="0" applyFont="1" applyFill="1" applyBorder="1" applyAlignment="1" applyProtection="1">
      <alignment vertical="center" wrapText="1"/>
      <protection locked="0"/>
    </xf>
    <xf numFmtId="0" fontId="19" fillId="2" borderId="0" xfId="0" applyFont="1" applyFill="1" applyBorder="1" applyAlignment="1" applyProtection="1">
      <alignment vertical="center"/>
    </xf>
    <xf numFmtId="0" fontId="49" fillId="2" borderId="0" xfId="0" applyFont="1" applyFill="1" applyBorder="1" applyAlignment="1" applyProtection="1">
      <alignment vertical="center" wrapText="1"/>
    </xf>
    <xf numFmtId="0" fontId="49" fillId="2" borderId="75" xfId="0" applyFont="1" applyFill="1" applyBorder="1" applyAlignment="1" applyProtection="1">
      <alignment vertical="center" wrapText="1"/>
    </xf>
    <xf numFmtId="0" fontId="49" fillId="17" borderId="142" xfId="0" applyFont="1" applyFill="1" applyBorder="1" applyAlignment="1" applyProtection="1">
      <alignment vertical="center"/>
    </xf>
    <xf numFmtId="0" fontId="49" fillId="12" borderId="2" xfId="0" applyFont="1" applyFill="1" applyBorder="1" applyAlignment="1" applyProtection="1">
      <alignment vertical="center" wrapText="1"/>
      <protection locked="0"/>
    </xf>
    <xf numFmtId="0" fontId="49" fillId="0" borderId="2" xfId="0" applyFont="1" applyFill="1" applyBorder="1" applyAlignment="1" applyProtection="1">
      <alignment vertical="center" wrapText="1"/>
      <protection locked="0"/>
    </xf>
    <xf numFmtId="0" fontId="49" fillId="2" borderId="79" xfId="0" applyFont="1" applyFill="1" applyBorder="1" applyAlignment="1" applyProtection="1">
      <alignment vertical="center" wrapText="1"/>
    </xf>
    <xf numFmtId="0" fontId="49" fillId="2" borderId="16" xfId="0" applyFont="1" applyFill="1" applyBorder="1" applyAlignment="1" applyProtection="1">
      <alignment vertical="center" wrapText="1"/>
    </xf>
    <xf numFmtId="0" fontId="49" fillId="0" borderId="58" xfId="0" applyFont="1" applyFill="1" applyBorder="1" applyAlignment="1" applyProtection="1">
      <alignment vertical="center" wrapText="1"/>
      <protection locked="0"/>
    </xf>
    <xf numFmtId="0" fontId="49" fillId="0" borderId="95" xfId="0" applyFont="1" applyFill="1" applyBorder="1" applyAlignment="1" applyProtection="1">
      <alignment vertical="center" wrapText="1"/>
      <protection locked="0"/>
    </xf>
    <xf numFmtId="0" fontId="49" fillId="2" borderId="53" xfId="0" applyFont="1" applyFill="1" applyBorder="1" applyAlignment="1" applyProtection="1">
      <alignment vertical="center" wrapText="1"/>
    </xf>
    <xf numFmtId="49" fontId="49" fillId="2" borderId="90" xfId="0" applyNumberFormat="1" applyFont="1" applyFill="1" applyBorder="1" applyAlignment="1" applyProtection="1">
      <alignment vertical="center" wrapText="1"/>
    </xf>
    <xf numFmtId="0" fontId="49" fillId="2" borderId="5" xfId="0" applyNumberFormat="1" applyFont="1" applyFill="1" applyBorder="1" applyAlignment="1" applyProtection="1">
      <alignment vertical="center" wrapText="1"/>
    </xf>
    <xf numFmtId="0" fontId="49" fillId="3" borderId="93" xfId="0" applyFont="1" applyFill="1" applyBorder="1" applyAlignment="1" applyProtection="1">
      <alignment vertical="center" wrapText="1"/>
      <protection locked="0"/>
    </xf>
    <xf numFmtId="0" fontId="49" fillId="17" borderId="100" xfId="0" applyFont="1" applyFill="1" applyBorder="1" applyAlignment="1" applyProtection="1">
      <alignment vertical="center" wrapText="1"/>
    </xf>
    <xf numFmtId="49" fontId="49" fillId="3" borderId="14" xfId="0" applyNumberFormat="1" applyFont="1" applyFill="1" applyBorder="1" applyAlignment="1" applyProtection="1">
      <alignment vertical="center" wrapText="1"/>
      <protection locked="0"/>
    </xf>
    <xf numFmtId="49" fontId="49" fillId="0" borderId="8" xfId="0" applyNumberFormat="1" applyFont="1" applyFill="1" applyBorder="1" applyAlignment="1" applyProtection="1">
      <alignment vertical="center" wrapText="1"/>
      <protection locked="0"/>
    </xf>
    <xf numFmtId="0" fontId="49" fillId="0" borderId="13" xfId="0" applyFont="1" applyFill="1" applyBorder="1" applyAlignment="1" applyProtection="1">
      <alignment vertical="center" wrapText="1"/>
      <protection locked="0"/>
    </xf>
    <xf numFmtId="0" fontId="49" fillId="0" borderId="93" xfId="0" applyFont="1" applyFill="1" applyBorder="1" applyAlignment="1" applyProtection="1">
      <alignment vertical="center" wrapText="1"/>
      <protection locked="0"/>
    </xf>
    <xf numFmtId="0" fontId="49" fillId="17" borderId="84" xfId="0" applyFont="1" applyFill="1" applyBorder="1" applyAlignment="1" applyProtection="1">
      <alignment vertical="center" wrapText="1"/>
    </xf>
    <xf numFmtId="49" fontId="49" fillId="3" borderId="10" xfId="0" applyNumberFormat="1" applyFont="1" applyFill="1" applyBorder="1" applyAlignment="1" applyProtection="1">
      <alignment vertical="center" wrapText="1"/>
      <protection locked="0"/>
    </xf>
    <xf numFmtId="49" fontId="49" fillId="0" borderId="11" xfId="0" applyNumberFormat="1" applyFont="1" applyFill="1" applyBorder="1" applyAlignment="1" applyProtection="1">
      <alignment vertical="center" wrapText="1"/>
      <protection locked="0"/>
    </xf>
    <xf numFmtId="0" fontId="49" fillId="0" borderId="83" xfId="0" applyFont="1" applyFill="1" applyBorder="1" applyAlignment="1" applyProtection="1">
      <alignment vertical="center" wrapText="1"/>
      <protection locked="0"/>
    </xf>
    <xf numFmtId="0" fontId="49" fillId="0" borderId="94" xfId="0" applyFont="1" applyFill="1" applyBorder="1" applyAlignment="1" applyProtection="1">
      <alignment vertical="center" wrapText="1"/>
      <protection locked="0"/>
    </xf>
    <xf numFmtId="0" fontId="105" fillId="2" borderId="53" xfId="0" applyFont="1" applyFill="1" applyBorder="1" applyAlignment="1" applyProtection="1">
      <alignment vertical="center" wrapText="1"/>
    </xf>
    <xf numFmtId="0" fontId="49" fillId="17" borderId="4" xfId="0" applyFont="1" applyFill="1" applyBorder="1" applyAlignment="1" applyProtection="1">
      <alignment vertical="center" wrapText="1"/>
    </xf>
    <xf numFmtId="0" fontId="49" fillId="0" borderId="4" xfId="0" applyFont="1" applyFill="1" applyBorder="1" applyAlignment="1" applyProtection="1">
      <alignment vertical="center" wrapText="1"/>
      <protection locked="0"/>
    </xf>
    <xf numFmtId="0" fontId="49" fillId="2" borderId="4" xfId="0" applyFont="1" applyFill="1" applyBorder="1" applyAlignment="1" applyProtection="1">
      <alignment vertical="center" wrapText="1"/>
    </xf>
    <xf numFmtId="0" fontId="49" fillId="3" borderId="5" xfId="0" applyFont="1" applyFill="1" applyBorder="1" applyAlignment="1" applyProtection="1">
      <alignment vertical="center" wrapText="1"/>
      <protection locked="0"/>
    </xf>
    <xf numFmtId="0" fontId="49" fillId="3" borderId="144" xfId="0" applyFont="1" applyFill="1" applyBorder="1" applyAlignment="1" applyProtection="1">
      <alignment vertical="center" wrapText="1"/>
      <protection locked="0"/>
    </xf>
    <xf numFmtId="0" fontId="49" fillId="2" borderId="84" xfId="0" applyFont="1" applyFill="1" applyBorder="1" applyAlignment="1" applyProtection="1">
      <alignment vertical="center" wrapText="1"/>
    </xf>
    <xf numFmtId="0" fontId="49" fillId="17" borderId="10" xfId="0" applyFont="1" applyFill="1" applyBorder="1" applyAlignment="1" applyProtection="1">
      <alignment vertical="center" wrapText="1"/>
    </xf>
    <xf numFmtId="0" fontId="49" fillId="0" borderId="10" xfId="0" applyFont="1" applyFill="1" applyBorder="1" applyAlignment="1" applyProtection="1">
      <alignment vertical="center" wrapText="1"/>
      <protection locked="0"/>
    </xf>
    <xf numFmtId="0" fontId="49" fillId="2" borderId="10" xfId="0" applyFont="1" applyFill="1" applyBorder="1" applyAlignment="1" applyProtection="1">
      <alignment vertical="center" wrapText="1"/>
    </xf>
    <xf numFmtId="0" fontId="49" fillId="3" borderId="11" xfId="0" applyFont="1" applyFill="1" applyBorder="1" applyAlignment="1" applyProtection="1">
      <alignment vertical="center" wrapText="1"/>
      <protection locked="0"/>
    </xf>
    <xf numFmtId="0" fontId="49" fillId="2" borderId="98" xfId="0" applyFont="1" applyFill="1" applyBorder="1" applyAlignment="1" applyProtection="1">
      <alignment vertical="center" wrapText="1"/>
    </xf>
    <xf numFmtId="0" fontId="49" fillId="0" borderId="72" xfId="0" applyFont="1" applyFill="1" applyBorder="1" applyAlignment="1" applyProtection="1">
      <alignment vertical="center" wrapText="1"/>
      <protection locked="0"/>
    </xf>
    <xf numFmtId="0" fontId="49" fillId="2" borderId="167" xfId="0" applyFont="1" applyFill="1" applyBorder="1" applyAlignment="1" applyProtection="1">
      <alignment vertical="center" wrapText="1"/>
    </xf>
    <xf numFmtId="0" fontId="49" fillId="17" borderId="168" xfId="0" applyFont="1" applyFill="1" applyBorder="1" applyAlignment="1" applyProtection="1">
      <alignment vertical="center" wrapText="1"/>
    </xf>
    <xf numFmtId="0" fontId="49" fillId="0" borderId="163" xfId="0" applyFont="1" applyFill="1" applyBorder="1" applyAlignment="1" applyProtection="1">
      <alignment vertical="center" wrapText="1"/>
      <protection locked="0"/>
    </xf>
    <xf numFmtId="0" fontId="49" fillId="2" borderId="98" xfId="0" applyFont="1" applyFill="1" applyBorder="1" applyAlignment="1" applyProtection="1">
      <alignment vertical="center"/>
    </xf>
    <xf numFmtId="0" fontId="49" fillId="3" borderId="18" xfId="0" applyFont="1" applyFill="1" applyBorder="1" applyAlignment="1" applyProtection="1">
      <alignment vertical="center" wrapText="1"/>
      <protection locked="0"/>
    </xf>
    <xf numFmtId="0" fontId="49" fillId="3" borderId="72" xfId="0" applyFont="1" applyFill="1" applyBorder="1" applyAlignment="1" applyProtection="1">
      <alignment vertical="center" wrapText="1"/>
      <protection locked="0"/>
    </xf>
    <xf numFmtId="0" fontId="19" fillId="2" borderId="0" xfId="0" applyFont="1" applyFill="1" applyBorder="1" applyAlignment="1" applyProtection="1">
      <alignment vertical="center" wrapText="1"/>
    </xf>
    <xf numFmtId="0" fontId="49" fillId="2" borderId="62" xfId="0" applyFont="1" applyFill="1" applyBorder="1" applyAlignment="1" applyProtection="1">
      <alignment vertical="center" wrapText="1"/>
    </xf>
    <xf numFmtId="0" fontId="49" fillId="2" borderId="55" xfId="0" applyFont="1" applyFill="1" applyBorder="1" applyAlignment="1" applyProtection="1">
      <alignment vertical="center"/>
    </xf>
    <xf numFmtId="0" fontId="49" fillId="2" borderId="68" xfId="0" applyFont="1" applyFill="1" applyBorder="1" applyAlignment="1" applyProtection="1">
      <alignment vertical="center"/>
    </xf>
    <xf numFmtId="0" fontId="49" fillId="2" borderId="66" xfId="0" applyFont="1" applyFill="1" applyBorder="1" applyAlignment="1" applyProtection="1">
      <alignment vertical="center"/>
    </xf>
    <xf numFmtId="0" fontId="49" fillId="2" borderId="67" xfId="0" applyFont="1" applyFill="1" applyBorder="1" applyAlignment="1" applyProtection="1">
      <alignment vertical="center"/>
    </xf>
    <xf numFmtId="0" fontId="49" fillId="2" borderId="85" xfId="0" applyFont="1" applyFill="1" applyBorder="1" applyAlignment="1" applyProtection="1">
      <alignment vertical="center"/>
    </xf>
    <xf numFmtId="0" fontId="49" fillId="2" borderId="110" xfId="0" applyFont="1" applyFill="1" applyBorder="1" applyAlignment="1" applyProtection="1">
      <alignment vertical="center" wrapText="1"/>
    </xf>
    <xf numFmtId="0" fontId="108" fillId="3" borderId="7" xfId="0" applyFont="1" applyFill="1" applyBorder="1" applyAlignment="1" applyProtection="1">
      <alignment vertical="center" wrapText="1"/>
      <protection locked="0"/>
    </xf>
    <xf numFmtId="0" fontId="49" fillId="0" borderId="6" xfId="0" applyFont="1" applyBorder="1" applyAlignment="1" applyProtection="1">
      <alignment vertical="center" wrapText="1"/>
      <protection locked="0"/>
    </xf>
    <xf numFmtId="0" fontId="49" fillId="3" borderId="13" xfId="0" applyFont="1" applyFill="1" applyBorder="1" applyAlignment="1" applyProtection="1">
      <alignment vertical="center" wrapText="1"/>
      <protection locked="0"/>
    </xf>
    <xf numFmtId="0" fontId="49" fillId="0" borderId="71" xfId="0" applyFont="1" applyBorder="1" applyAlignment="1" applyProtection="1">
      <alignment vertical="center" wrapText="1"/>
      <protection locked="0"/>
    </xf>
    <xf numFmtId="0" fontId="49" fillId="2" borderId="111" xfId="0" applyFont="1" applyFill="1" applyBorder="1" applyAlignment="1" applyProtection="1">
      <alignment vertical="center" wrapText="1"/>
    </xf>
    <xf numFmtId="0" fontId="108" fillId="3" borderId="7" xfId="0" applyFont="1" applyFill="1" applyBorder="1" applyAlignment="1" applyProtection="1">
      <alignment vertical="center" wrapText="1" shrinkToFit="1"/>
      <protection locked="0"/>
    </xf>
    <xf numFmtId="0" fontId="49" fillId="2" borderId="86" xfId="0" applyFont="1" applyFill="1" applyBorder="1" applyAlignment="1" applyProtection="1">
      <alignment vertical="center" wrapText="1"/>
    </xf>
    <xf numFmtId="177" fontId="49" fillId="0" borderId="68" xfId="0" applyNumberFormat="1" applyFont="1" applyFill="1" applyBorder="1" applyAlignment="1" applyProtection="1">
      <alignment vertical="center" wrapText="1"/>
      <protection locked="0"/>
    </xf>
    <xf numFmtId="0" fontId="49" fillId="2" borderId="85" xfId="0" applyFont="1" applyFill="1" applyBorder="1" applyAlignment="1" applyProtection="1">
      <alignment vertical="center" wrapText="1"/>
    </xf>
    <xf numFmtId="0" fontId="49" fillId="2" borderId="102" xfId="0" applyFont="1" applyFill="1" applyBorder="1" applyAlignment="1" applyProtection="1">
      <alignment vertical="center" wrapText="1"/>
    </xf>
    <xf numFmtId="0" fontId="49" fillId="0" borderId="8" xfId="0" applyFont="1" applyFill="1" applyBorder="1" applyAlignment="1" applyProtection="1">
      <alignment vertical="center" wrapText="1"/>
      <protection locked="0"/>
    </xf>
    <xf numFmtId="0" fontId="49" fillId="0" borderId="7" xfId="0" applyFont="1" applyFill="1" applyBorder="1" applyAlignment="1" applyProtection="1">
      <alignment vertical="center" wrapText="1"/>
      <protection locked="0"/>
    </xf>
    <xf numFmtId="0" fontId="49" fillId="2" borderId="119" xfId="0" applyFont="1" applyFill="1" applyBorder="1" applyAlignment="1" applyProtection="1">
      <alignment vertical="center" wrapText="1"/>
    </xf>
    <xf numFmtId="0" fontId="49" fillId="2" borderId="18" xfId="0" applyFont="1" applyFill="1" applyBorder="1" applyAlignment="1" applyProtection="1">
      <alignment vertical="center" wrapText="1"/>
    </xf>
    <xf numFmtId="0" fontId="49" fillId="0" borderId="11" xfId="0" applyFont="1" applyFill="1" applyBorder="1" applyAlignment="1" applyProtection="1">
      <alignment vertical="center" wrapText="1"/>
      <protection locked="0"/>
    </xf>
    <xf numFmtId="0" fontId="49" fillId="0" borderId="0" xfId="0" applyFont="1" applyBorder="1" applyAlignment="1" applyProtection="1">
      <alignment vertical="center" wrapText="1"/>
      <protection locked="0"/>
    </xf>
    <xf numFmtId="0" fontId="89" fillId="2" borderId="160" xfId="0" applyFont="1" applyFill="1" applyBorder="1" applyAlignment="1" applyProtection="1">
      <alignment horizontal="center" vertical="center" wrapText="1"/>
    </xf>
    <xf numFmtId="0" fontId="12" fillId="0" borderId="160" xfId="0" applyFont="1" applyBorder="1" applyAlignment="1" applyProtection="1">
      <alignment horizontal="center" vertical="center"/>
      <protection locked="0"/>
    </xf>
    <xf numFmtId="0" fontId="74" fillId="2" borderId="119" xfId="0" applyFont="1" applyFill="1" applyBorder="1" applyAlignment="1" applyProtection="1">
      <alignment vertical="center"/>
    </xf>
    <xf numFmtId="0" fontId="74" fillId="2" borderId="85" xfId="0" applyFont="1" applyFill="1" applyBorder="1" applyAlignment="1" applyProtection="1">
      <alignment vertical="center" wrapText="1"/>
    </xf>
    <xf numFmtId="0" fontId="74" fillId="2" borderId="63" xfId="0" applyFont="1" applyFill="1" applyBorder="1" applyAlignment="1" applyProtection="1">
      <alignment vertical="center" wrapText="1"/>
    </xf>
    <xf numFmtId="0" fontId="74" fillId="2" borderId="63" xfId="0" applyFont="1" applyFill="1" applyBorder="1" applyAlignment="1" applyProtection="1">
      <alignment vertical="center"/>
    </xf>
    <xf numFmtId="0" fontId="74" fillId="2" borderId="81" xfId="0" applyFont="1" applyFill="1" applyBorder="1" applyAlignment="1" applyProtection="1">
      <alignment vertical="center" wrapText="1"/>
    </xf>
    <xf numFmtId="0" fontId="74" fillId="0" borderId="0" xfId="0" applyFont="1" applyAlignment="1" applyProtection="1">
      <alignment vertical="center" wrapText="1"/>
      <protection locked="0"/>
    </xf>
    <xf numFmtId="0" fontId="74" fillId="3" borderId="63" xfId="0" applyFont="1" applyFill="1" applyBorder="1" applyAlignment="1" applyProtection="1">
      <alignment vertical="center" wrapText="1"/>
      <protection locked="0"/>
    </xf>
    <xf numFmtId="0" fontId="74" fillId="3" borderId="81" xfId="0" applyFont="1" applyFill="1" applyBorder="1" applyAlignment="1" applyProtection="1">
      <alignment vertical="center" wrapText="1"/>
      <protection locked="0"/>
    </xf>
    <xf numFmtId="0" fontId="49" fillId="2" borderId="3" xfId="0" applyFont="1" applyFill="1" applyBorder="1" applyAlignment="1" applyProtection="1">
      <alignment vertical="center" wrapText="1"/>
    </xf>
    <xf numFmtId="0" fontId="49" fillId="0" borderId="5" xfId="0" applyFont="1" applyBorder="1" applyAlignment="1" applyProtection="1">
      <alignment vertical="center" wrapText="1"/>
      <protection locked="0"/>
    </xf>
    <xf numFmtId="0" fontId="49" fillId="2" borderId="66" xfId="0" applyFont="1" applyFill="1" applyBorder="1" applyAlignment="1" applyProtection="1">
      <alignment vertical="center" wrapText="1"/>
    </xf>
    <xf numFmtId="0" fontId="49" fillId="2" borderId="90" xfId="0" applyFont="1" applyFill="1" applyBorder="1" applyAlignment="1" applyProtection="1">
      <alignment vertical="center" wrapText="1"/>
    </xf>
    <xf numFmtId="0" fontId="49" fillId="2" borderId="6" xfId="0" applyFont="1" applyFill="1" applyBorder="1" applyAlignment="1" applyProtection="1">
      <alignment vertical="center" wrapText="1"/>
    </xf>
    <xf numFmtId="0" fontId="49" fillId="0" borderId="8" xfId="0" applyFont="1" applyBorder="1" applyAlignment="1" applyProtection="1">
      <alignment vertical="center" wrapText="1"/>
      <protection locked="0"/>
    </xf>
    <xf numFmtId="0" fontId="49" fillId="2" borderId="71" xfId="0" applyFont="1" applyFill="1" applyBorder="1" applyAlignment="1" applyProtection="1">
      <alignment vertical="center" wrapText="1"/>
    </xf>
    <xf numFmtId="0" fontId="49" fillId="2" borderId="14" xfId="0" applyFont="1" applyFill="1" applyBorder="1" applyAlignment="1" applyProtection="1">
      <alignment vertical="center" wrapText="1"/>
    </xf>
    <xf numFmtId="0" fontId="49" fillId="2" borderId="118" xfId="0" applyFont="1" applyFill="1" applyBorder="1" applyAlignment="1" applyProtection="1">
      <alignment vertical="top" wrapText="1"/>
    </xf>
    <xf numFmtId="0" fontId="49" fillId="2" borderId="8" xfId="0" applyFont="1" applyFill="1" applyBorder="1" applyAlignment="1" applyProtection="1">
      <alignment vertical="center" wrapText="1"/>
      <protection locked="0"/>
    </xf>
    <xf numFmtId="0" fontId="49" fillId="2" borderId="62" xfId="0" applyFont="1" applyFill="1" applyBorder="1" applyAlignment="1" applyProtection="1">
      <alignment vertical="top" wrapText="1"/>
    </xf>
    <xf numFmtId="0" fontId="49" fillId="2" borderId="9" xfId="0" applyFont="1" applyFill="1" applyBorder="1" applyAlignment="1" applyProtection="1">
      <alignment vertical="center" wrapText="1"/>
    </xf>
    <xf numFmtId="0" fontId="49" fillId="0" borderId="11" xfId="0" applyFont="1" applyBorder="1" applyAlignment="1" applyProtection="1">
      <alignment vertical="center" wrapText="1"/>
      <protection locked="0"/>
    </xf>
    <xf numFmtId="0" fontId="49" fillId="2" borderId="103" xfId="0" applyFont="1" applyFill="1" applyBorder="1" applyAlignment="1" applyProtection="1">
      <alignment vertical="top" wrapText="1"/>
    </xf>
    <xf numFmtId="177" fontId="49" fillId="0" borderId="11" xfId="0" applyNumberFormat="1" applyFont="1" applyFill="1" applyBorder="1" applyAlignment="1" applyProtection="1">
      <alignment vertical="center"/>
      <protection locked="0"/>
    </xf>
    <xf numFmtId="0" fontId="49" fillId="2" borderId="101" xfId="0" applyFont="1" applyFill="1" applyBorder="1" applyAlignment="1" applyProtection="1">
      <alignment vertical="center" wrapText="1"/>
    </xf>
    <xf numFmtId="0" fontId="49" fillId="2" borderId="87" xfId="0" applyFont="1" applyFill="1" applyBorder="1" applyAlignment="1" applyProtection="1">
      <alignment vertical="center" wrapText="1"/>
    </xf>
    <xf numFmtId="0" fontId="49" fillId="2" borderId="100" xfId="0" applyFont="1" applyFill="1" applyBorder="1" applyAlignment="1" applyProtection="1">
      <alignment vertical="center" wrapText="1"/>
    </xf>
    <xf numFmtId="0" fontId="49" fillId="3" borderId="80" xfId="0" applyFont="1" applyFill="1" applyBorder="1" applyAlignment="1" applyProtection="1">
      <alignment vertical="center" wrapText="1"/>
      <protection locked="0"/>
    </xf>
    <xf numFmtId="0" fontId="49" fillId="2" borderId="103" xfId="0" applyFont="1" applyFill="1" applyBorder="1" applyAlignment="1" applyProtection="1">
      <alignment vertical="center" wrapText="1"/>
    </xf>
    <xf numFmtId="0" fontId="49" fillId="2" borderId="59" xfId="0" applyFont="1" applyFill="1" applyBorder="1" applyAlignment="1" applyProtection="1">
      <alignment vertical="center" wrapText="1"/>
    </xf>
    <xf numFmtId="0" fontId="49" fillId="3" borderId="70" xfId="0" applyFont="1" applyFill="1" applyBorder="1" applyAlignment="1" applyProtection="1">
      <alignment vertical="center" wrapText="1"/>
      <protection locked="0"/>
    </xf>
    <xf numFmtId="0" fontId="49" fillId="0" borderId="70" xfId="0" applyFont="1" applyBorder="1" applyAlignment="1" applyProtection="1">
      <alignment vertical="center" wrapText="1"/>
      <protection locked="0"/>
    </xf>
    <xf numFmtId="0" fontId="49" fillId="2" borderId="118" xfId="0" applyFont="1" applyFill="1" applyBorder="1" applyAlignment="1" applyProtection="1">
      <alignment vertical="center" wrapText="1"/>
    </xf>
    <xf numFmtId="0" fontId="49" fillId="0" borderId="61" xfId="0" applyFont="1" applyBorder="1" applyAlignment="1" applyProtection="1">
      <alignment vertical="center" wrapText="1"/>
      <protection locked="0"/>
    </xf>
    <xf numFmtId="0" fontId="49" fillId="0" borderId="13" xfId="0" applyFont="1" applyBorder="1" applyAlignment="1" applyProtection="1">
      <alignment vertical="center" wrapText="1"/>
      <protection locked="0"/>
    </xf>
    <xf numFmtId="177" fontId="49" fillId="0" borderId="5" xfId="0" applyNumberFormat="1" applyFont="1" applyFill="1" applyBorder="1" applyAlignment="1" applyProtection="1">
      <alignment vertical="center"/>
      <protection locked="0"/>
    </xf>
    <xf numFmtId="0" fontId="49" fillId="2" borderId="63" xfId="0" applyFont="1" applyFill="1" applyBorder="1" applyAlignment="1" applyProtection="1">
      <alignment vertical="center" wrapText="1"/>
    </xf>
    <xf numFmtId="0" fontId="49" fillId="2" borderId="81" xfId="0" applyFont="1" applyFill="1" applyBorder="1" applyAlignment="1" applyProtection="1">
      <alignment vertical="center" wrapText="1"/>
    </xf>
    <xf numFmtId="0" fontId="49" fillId="2" borderId="74" xfId="0" applyFont="1" applyFill="1" applyBorder="1" applyAlignment="1" applyProtection="1">
      <alignment vertical="center" wrapText="1"/>
    </xf>
    <xf numFmtId="0" fontId="49" fillId="2" borderId="0" xfId="0" applyFont="1" applyFill="1" applyAlignment="1" applyProtection="1">
      <alignment vertical="center"/>
    </xf>
    <xf numFmtId="0" fontId="49" fillId="2" borderId="0" xfId="0" applyFont="1" applyFill="1" applyAlignment="1" applyProtection="1">
      <alignment vertical="center" wrapText="1"/>
    </xf>
    <xf numFmtId="49" fontId="49" fillId="2" borderId="0" xfId="0" applyNumberFormat="1" applyFont="1" applyFill="1" applyAlignment="1" applyProtection="1">
      <alignment vertical="center" wrapText="1"/>
    </xf>
    <xf numFmtId="0" fontId="49" fillId="2" borderId="0" xfId="0" applyFont="1" applyFill="1" applyBorder="1" applyAlignment="1" applyProtection="1">
      <alignment vertical="center"/>
    </xf>
    <xf numFmtId="0" fontId="89" fillId="0" borderId="0" xfId="0" applyFont="1" applyBorder="1" applyAlignment="1" applyProtection="1">
      <alignment vertical="center"/>
      <protection locked="0"/>
    </xf>
    <xf numFmtId="0" fontId="89" fillId="0" borderId="160" xfId="0" applyFont="1" applyBorder="1" applyAlignment="1" applyProtection="1">
      <alignment vertical="center"/>
      <protection locked="0"/>
    </xf>
    <xf numFmtId="49" fontId="74" fillId="0" borderId="0" xfId="0" applyNumberFormat="1" applyFont="1" applyAlignment="1" applyProtection="1">
      <alignment vertical="center" wrapText="1"/>
      <protection locked="0"/>
    </xf>
    <xf numFmtId="49" fontId="49" fillId="0" borderId="0" xfId="0" applyNumberFormat="1" applyFont="1" applyAlignment="1" applyProtection="1">
      <alignment vertical="center"/>
      <protection locked="0"/>
    </xf>
    <xf numFmtId="0" fontId="75" fillId="0" borderId="160" xfId="0" applyFont="1" applyBorder="1" applyAlignment="1" applyProtection="1">
      <alignment vertical="center" wrapText="1"/>
      <protection locked="0"/>
    </xf>
    <xf numFmtId="0" fontId="23" fillId="0" borderId="0" xfId="0" applyFont="1" applyAlignment="1" applyProtection="1">
      <alignment horizontal="center" vertical="center" wrapText="1"/>
    </xf>
    <xf numFmtId="0" fontId="23" fillId="0" borderId="0" xfId="0" applyFont="1" applyBorder="1" applyAlignment="1" applyProtection="1">
      <alignment horizontal="center" vertical="center"/>
    </xf>
    <xf numFmtId="0" fontId="23" fillId="0" borderId="0" xfId="0" applyFont="1" applyProtection="1">
      <alignment vertical="center"/>
    </xf>
    <xf numFmtId="0" fontId="23" fillId="2" borderId="0" xfId="0" applyFont="1" applyFill="1" applyAlignment="1" applyProtection="1">
      <alignment horizontal="center" vertical="center"/>
    </xf>
    <xf numFmtId="0" fontId="42" fillId="2" borderId="102" xfId="0" applyFont="1" applyFill="1" applyBorder="1" applyAlignment="1" applyProtection="1">
      <alignment horizontal="center" vertical="center" wrapText="1"/>
    </xf>
    <xf numFmtId="0" fontId="23" fillId="2" borderId="52" xfId="0" applyFont="1" applyFill="1" applyBorder="1" applyAlignment="1" applyProtection="1">
      <alignment horizontal="center" vertical="center" wrapText="1"/>
    </xf>
    <xf numFmtId="0" fontId="23" fillId="2" borderId="0" xfId="0" applyFont="1" applyFill="1" applyBorder="1" applyAlignment="1" applyProtection="1">
      <alignment horizontal="center" vertical="center" wrapText="1"/>
    </xf>
    <xf numFmtId="0" fontId="23" fillId="2" borderId="0" xfId="0" applyFont="1" applyFill="1" applyAlignment="1" applyProtection="1">
      <alignment horizontal="center" vertical="center" wrapText="1"/>
    </xf>
    <xf numFmtId="0" fontId="23" fillId="2" borderId="0" xfId="0" applyFont="1" applyFill="1" applyBorder="1" applyAlignment="1" applyProtection="1">
      <alignment horizontal="center" vertical="center"/>
      <protection locked="0"/>
    </xf>
    <xf numFmtId="0" fontId="42" fillId="2" borderId="0" xfId="0" applyFont="1" applyFill="1" applyBorder="1" applyAlignment="1" applyProtection="1">
      <alignment horizontal="center" vertical="center"/>
      <protection locked="0"/>
    </xf>
    <xf numFmtId="0" fontId="23" fillId="2" borderId="0" xfId="0" applyFont="1" applyFill="1" applyBorder="1" applyAlignment="1" applyProtection="1">
      <alignment horizontal="left" vertical="center"/>
    </xf>
    <xf numFmtId="0" fontId="23" fillId="2" borderId="0" xfId="0" applyFont="1" applyFill="1" applyBorder="1" applyAlignment="1" applyProtection="1">
      <alignment vertical="center" wrapText="1"/>
    </xf>
    <xf numFmtId="0" fontId="23" fillId="2" borderId="0" xfId="0" applyFont="1" applyFill="1">
      <alignment vertical="center"/>
    </xf>
    <xf numFmtId="0" fontId="23" fillId="2" borderId="0" xfId="0" applyFont="1" applyFill="1" applyBorder="1" applyAlignment="1" applyProtection="1">
      <alignment horizontal="center" vertical="center"/>
    </xf>
    <xf numFmtId="0" fontId="42" fillId="2" borderId="0" xfId="0" applyFont="1" applyFill="1" applyAlignment="1" applyProtection="1">
      <alignment horizontal="center" vertical="center" wrapText="1"/>
    </xf>
    <xf numFmtId="0" fontId="42" fillId="2" borderId="0" xfId="0" applyNumberFormat="1" applyFont="1" applyFill="1" applyBorder="1" applyAlignment="1" applyProtection="1">
      <alignment horizontal="center" vertical="center" wrapText="1"/>
    </xf>
    <xf numFmtId="0" fontId="121" fillId="0" borderId="0" xfId="60" applyFont="1" applyFill="1" applyAlignment="1">
      <alignment horizontal="left" vertical="center"/>
    </xf>
    <xf numFmtId="0" fontId="122" fillId="0" borderId="0" xfId="60" applyFont="1" applyAlignment="1">
      <alignment horizontal="left" vertical="center"/>
    </xf>
    <xf numFmtId="0" fontId="121" fillId="0" borderId="0" xfId="60" applyFont="1" applyAlignment="1">
      <alignment horizontal="left" vertical="center"/>
    </xf>
    <xf numFmtId="0" fontId="123" fillId="0" borderId="0" xfId="60" applyFont="1" applyAlignment="1">
      <alignment horizontal="left" vertical="center"/>
    </xf>
    <xf numFmtId="0" fontId="124" fillId="0" borderId="0" xfId="60" applyFont="1" applyAlignment="1">
      <alignment horizontal="left" vertical="center"/>
    </xf>
    <xf numFmtId="14" fontId="124" fillId="0" borderId="0" xfId="60" applyNumberFormat="1" applyFont="1" applyAlignment="1">
      <alignment horizontal="left" vertical="center"/>
    </xf>
    <xf numFmtId="0" fontId="125" fillId="0" borderId="0" xfId="60" applyFont="1" applyAlignment="1">
      <alignment horizontal="left" vertical="center"/>
    </xf>
    <xf numFmtId="0" fontId="126" fillId="3" borderId="12" xfId="60" applyFont="1" applyFill="1" applyBorder="1" applyAlignment="1">
      <alignment horizontal="left" vertical="center"/>
    </xf>
    <xf numFmtId="0" fontId="127" fillId="0" borderId="7" xfId="60" applyFont="1" applyBorder="1" applyAlignment="1">
      <alignment horizontal="left" vertical="center"/>
    </xf>
    <xf numFmtId="0" fontId="127" fillId="0" borderId="13" xfId="60" applyFont="1" applyBorder="1" applyAlignment="1">
      <alignment horizontal="left" vertical="center"/>
    </xf>
    <xf numFmtId="0" fontId="126" fillId="3" borderId="169" xfId="60" applyFont="1" applyFill="1" applyBorder="1" applyAlignment="1">
      <alignment horizontal="left" vertical="center"/>
    </xf>
    <xf numFmtId="0" fontId="127" fillId="0" borderId="7" xfId="60" applyFont="1" applyFill="1" applyBorder="1" applyAlignment="1">
      <alignment horizontal="left" vertical="center"/>
    </xf>
    <xf numFmtId="179" fontId="127" fillId="0" borderId="7" xfId="60" applyNumberFormat="1" applyFont="1" applyFill="1" applyBorder="1" applyAlignment="1">
      <alignment horizontal="left" vertical="center"/>
    </xf>
    <xf numFmtId="179" fontId="128" fillId="0" borderId="13" xfId="60" applyNumberFormat="1" applyFont="1" applyFill="1" applyBorder="1" applyAlignment="1">
      <alignment horizontal="left" vertical="center"/>
    </xf>
    <xf numFmtId="0" fontId="127" fillId="0" borderId="170" xfId="60" applyFont="1" applyFill="1" applyBorder="1" applyAlignment="1">
      <alignment horizontal="left" vertical="center"/>
    </xf>
    <xf numFmtId="177" fontId="127" fillId="0" borderId="7" xfId="60" applyNumberFormat="1" applyFont="1" applyFill="1" applyBorder="1" applyAlignment="1">
      <alignment horizontal="left" vertical="center"/>
    </xf>
    <xf numFmtId="0" fontId="128" fillId="0" borderId="7" xfId="60" applyFont="1" applyFill="1" applyBorder="1" applyAlignment="1">
      <alignment horizontal="left" vertical="center"/>
    </xf>
    <xf numFmtId="179" fontId="127" fillId="0" borderId="13" xfId="60" applyNumberFormat="1" applyFont="1" applyFill="1" applyBorder="1" applyAlignment="1">
      <alignment horizontal="left" vertical="center"/>
    </xf>
    <xf numFmtId="0" fontId="128" fillId="0" borderId="0" xfId="60" applyFont="1" applyFill="1" applyAlignment="1">
      <alignment horizontal="left" vertical="center"/>
    </xf>
    <xf numFmtId="0" fontId="126" fillId="3" borderId="7" xfId="60" applyFont="1" applyFill="1" applyBorder="1" applyAlignment="1">
      <alignment horizontal="left" vertical="center"/>
    </xf>
    <xf numFmtId="0" fontId="127" fillId="0" borderId="170" xfId="60" applyFont="1" applyBorder="1" applyAlignment="1">
      <alignment horizontal="left" vertical="center"/>
    </xf>
    <xf numFmtId="0" fontId="126" fillId="0" borderId="7" xfId="60" applyFont="1" applyFill="1" applyBorder="1" applyAlignment="1">
      <alignment horizontal="left" vertical="center"/>
    </xf>
    <xf numFmtId="0" fontId="124" fillId="0" borderId="7" xfId="60" applyFont="1" applyBorder="1" applyAlignment="1">
      <alignment horizontal="left" vertical="center"/>
    </xf>
    <xf numFmtId="177" fontId="127" fillId="0" borderId="13" xfId="60" applyNumberFormat="1" applyFont="1" applyFill="1" applyBorder="1" applyAlignment="1">
      <alignment horizontal="left" vertical="center"/>
    </xf>
    <xf numFmtId="0" fontId="124" fillId="0" borderId="170" xfId="60" applyFont="1" applyBorder="1" applyAlignment="1">
      <alignment horizontal="left" vertical="center"/>
    </xf>
    <xf numFmtId="177" fontId="127" fillId="0" borderId="7" xfId="0" applyNumberFormat="1" applyFont="1" applyFill="1" applyBorder="1" applyAlignment="1">
      <alignment horizontal="left" vertical="center"/>
    </xf>
    <xf numFmtId="14" fontId="124" fillId="0" borderId="7" xfId="60" applyNumberFormat="1" applyFont="1" applyBorder="1" applyAlignment="1">
      <alignment horizontal="left" vertical="center"/>
    </xf>
    <xf numFmtId="14" fontId="124" fillId="0" borderId="13" xfId="60" applyNumberFormat="1" applyFont="1" applyBorder="1" applyAlignment="1">
      <alignment horizontal="left" vertical="center"/>
    </xf>
    <xf numFmtId="0" fontId="129" fillId="0" borderId="7" xfId="60" applyFont="1" applyBorder="1" applyAlignment="1">
      <alignment horizontal="left" vertical="center"/>
    </xf>
    <xf numFmtId="177" fontId="129" fillId="0" borderId="7" xfId="0" applyNumberFormat="1" applyFont="1" applyFill="1" applyBorder="1" applyAlignment="1">
      <alignment horizontal="left" vertical="center"/>
    </xf>
    <xf numFmtId="14" fontId="121" fillId="0" borderId="0" xfId="60" applyNumberFormat="1" applyFont="1" applyAlignment="1">
      <alignment horizontal="left" vertical="center"/>
    </xf>
    <xf numFmtId="14" fontId="121" fillId="0" borderId="171" xfId="60" applyNumberFormat="1" applyFont="1" applyBorder="1" applyAlignment="1">
      <alignment horizontal="left" vertical="center"/>
    </xf>
    <xf numFmtId="0" fontId="121" fillId="0" borderId="0" xfId="60" applyFont="1" applyBorder="1" applyAlignment="1">
      <alignment horizontal="left" vertical="center"/>
    </xf>
    <xf numFmtId="0" fontId="130" fillId="0" borderId="0" xfId="60" applyFont="1" applyBorder="1" applyAlignment="1">
      <alignment horizontal="left" vertical="center"/>
    </xf>
    <xf numFmtId="0" fontId="92" fillId="0" borderId="0" xfId="0" applyFont="1" applyProtection="1">
      <alignment vertical="center"/>
    </xf>
    <xf numFmtId="0" fontId="75" fillId="0" borderId="0" xfId="0" applyFont="1" applyProtection="1">
      <alignment vertical="center"/>
    </xf>
    <xf numFmtId="0" fontId="99" fillId="0" borderId="0" xfId="0" applyFont="1" applyProtection="1">
      <alignment vertical="center"/>
    </xf>
    <xf numFmtId="0" fontId="75" fillId="0" borderId="7" xfId="0" applyFont="1" applyBorder="1" applyAlignment="1" applyProtection="1">
      <alignment horizontal="center" vertical="center" wrapText="1"/>
    </xf>
    <xf numFmtId="0" fontId="23" fillId="0" borderId="0" xfId="0" applyFont="1" applyAlignment="1" applyProtection="1">
      <alignment horizontal="left" vertical="center"/>
    </xf>
    <xf numFmtId="0" fontId="75" fillId="12" borderId="7" xfId="0" applyFont="1" applyFill="1" applyBorder="1" applyAlignment="1" applyProtection="1">
      <alignment horizontal="center" vertical="center" wrapText="1"/>
    </xf>
    <xf numFmtId="0" fontId="75" fillId="2" borderId="7" xfId="0" applyFont="1" applyFill="1" applyBorder="1" applyAlignment="1" applyProtection="1">
      <alignment horizontal="center" vertical="center" wrapText="1"/>
    </xf>
    <xf numFmtId="0" fontId="131" fillId="18" borderId="7" xfId="0" applyFont="1" applyFill="1" applyBorder="1" applyAlignment="1" applyProtection="1">
      <alignment horizontal="center" vertical="center"/>
    </xf>
    <xf numFmtId="0" fontId="93" fillId="0" borderId="7" xfId="0" applyFont="1" applyFill="1" applyBorder="1" applyAlignment="1" applyProtection="1">
      <alignment horizontal="center" vertical="center"/>
    </xf>
    <xf numFmtId="0" fontId="42" fillId="0" borderId="0" xfId="0" applyFont="1" applyProtection="1">
      <alignment vertical="center"/>
    </xf>
    <xf numFmtId="0" fontId="72" fillId="0" borderId="7" xfId="0" applyFont="1" applyBorder="1" applyAlignment="1" applyProtection="1">
      <alignment horizontal="center" vertical="center"/>
    </xf>
    <xf numFmtId="0" fontId="23" fillId="3" borderId="12" xfId="0" applyFont="1" applyFill="1" applyBorder="1" applyAlignment="1" applyProtection="1">
      <alignment horizontal="left" vertical="center"/>
    </xf>
    <xf numFmtId="0" fontId="42" fillId="0" borderId="13" xfId="0" applyFont="1" applyBorder="1" applyAlignment="1" applyProtection="1">
      <alignment horizontal="left" vertical="center"/>
    </xf>
    <xf numFmtId="0" fontId="23" fillId="0" borderId="14" xfId="0" applyFont="1" applyBorder="1" applyAlignment="1" applyProtection="1">
      <alignment horizontal="left" vertical="center"/>
    </xf>
    <xf numFmtId="0" fontId="23" fillId="3" borderId="52" xfId="0" applyFont="1" applyFill="1" applyBorder="1" applyAlignment="1" applyProtection="1">
      <alignment horizontal="left" vertical="center"/>
    </xf>
    <xf numFmtId="0" fontId="23" fillId="3" borderId="16" xfId="0" applyFont="1" applyFill="1" applyBorder="1" applyAlignment="1" applyProtection="1">
      <alignment horizontal="left" vertical="center"/>
    </xf>
    <xf numFmtId="0" fontId="23" fillId="0" borderId="13" xfId="0" applyFont="1" applyBorder="1" applyAlignment="1" applyProtection="1">
      <alignment horizontal="left" vertical="center"/>
    </xf>
    <xf numFmtId="0" fontId="23" fillId="19" borderId="13" xfId="0" applyFont="1" applyFill="1" applyBorder="1" applyAlignment="1" applyProtection="1">
      <alignment vertical="center"/>
    </xf>
    <xf numFmtId="0" fontId="23" fillId="10" borderId="15" xfId="0" applyFont="1" applyFill="1" applyBorder="1" applyAlignment="1" applyProtection="1">
      <alignment vertical="center"/>
    </xf>
    <xf numFmtId="0" fontId="23" fillId="10" borderId="14" xfId="0" applyFont="1" applyFill="1" applyBorder="1" applyAlignment="1" applyProtection="1">
      <alignment vertical="center"/>
    </xf>
    <xf numFmtId="0" fontId="23" fillId="20" borderId="7" xfId="0" applyFont="1" applyFill="1" applyBorder="1" applyAlignment="1" applyProtection="1">
      <alignment horizontal="left" vertical="center"/>
    </xf>
    <xf numFmtId="0" fontId="23" fillId="0" borderId="7" xfId="0" applyFont="1" applyBorder="1" applyAlignment="1" applyProtection="1">
      <alignment horizontal="left" vertical="center"/>
    </xf>
    <xf numFmtId="0" fontId="89" fillId="0" borderId="0" xfId="0" applyFont="1" applyProtection="1">
      <alignment vertical="center"/>
    </xf>
    <xf numFmtId="0" fontId="23" fillId="0" borderId="0" xfId="0" applyFont="1">
      <alignment vertical="center"/>
    </xf>
    <xf numFmtId="0" fontId="132" fillId="0" borderId="0" xfId="0" applyFont="1" applyBorder="1" applyAlignment="1">
      <alignment horizontal="left" vertical="center"/>
    </xf>
    <xf numFmtId="0" fontId="132" fillId="0" borderId="0" xfId="0" applyFont="1" applyBorder="1" applyAlignment="1">
      <alignment horizontal="justify" vertical="center" wrapText="1"/>
    </xf>
    <xf numFmtId="0" fontId="133" fillId="0" borderId="0" xfId="0" applyFont="1" applyBorder="1" applyAlignment="1">
      <alignment horizontal="center" vertical="center" wrapText="1"/>
    </xf>
    <xf numFmtId="14" fontId="92" fillId="0" borderId="0" xfId="0" applyNumberFormat="1" applyFont="1" applyBorder="1" applyAlignment="1">
      <alignment horizontal="center" vertical="center" wrapText="1"/>
    </xf>
    <xf numFmtId="0" fontId="92" fillId="0" borderId="0" xfId="0" applyFont="1" applyBorder="1" applyAlignment="1">
      <alignment horizontal="center" vertical="center" wrapText="1"/>
    </xf>
    <xf numFmtId="0" fontId="133" fillId="0" borderId="39" xfId="0" applyFont="1" applyBorder="1" applyAlignment="1">
      <alignment horizontal="justify" vertical="center" wrapText="1"/>
    </xf>
    <xf numFmtId="0" fontId="133" fillId="0" borderId="0" xfId="0" applyFont="1" applyBorder="1" applyAlignment="1">
      <alignment horizontal="right" vertical="center" wrapText="1"/>
    </xf>
    <xf numFmtId="0" fontId="133" fillId="0" borderId="15" xfId="0" applyFont="1" applyBorder="1" applyAlignment="1">
      <alignment horizontal="justify" vertical="center" wrapText="1"/>
    </xf>
    <xf numFmtId="0" fontId="133" fillId="0" borderId="0" xfId="0" applyFont="1" applyBorder="1" applyAlignment="1">
      <alignment horizontal="justify" vertical="center" wrapText="1"/>
    </xf>
    <xf numFmtId="0" fontId="134" fillId="0" borderId="0" xfId="0" applyFont="1" applyBorder="1" applyAlignment="1">
      <alignment horizontal="center" vertical="center" wrapText="1"/>
    </xf>
    <xf numFmtId="0" fontId="90" fillId="0" borderId="0" xfId="0" applyFont="1" applyBorder="1" applyAlignment="1">
      <alignment horizontal="left" vertical="center" wrapText="1"/>
    </xf>
    <xf numFmtId="0" fontId="72" fillId="0" borderId="0" xfId="0" applyFont="1" applyBorder="1" applyAlignment="1">
      <alignment horizontal="left" vertical="center" wrapText="1"/>
    </xf>
    <xf numFmtId="0" fontId="135" fillId="0" borderId="0" xfId="0" applyFont="1" applyBorder="1" applyAlignment="1" applyProtection="1">
      <alignment horizontal="left" vertical="center" wrapText="1"/>
      <protection locked="0"/>
    </xf>
    <xf numFmtId="0" fontId="23" fillId="0" borderId="0" xfId="0" applyFont="1" applyAlignment="1" applyProtection="1">
      <alignment vertical="center" wrapText="1"/>
      <protection locked="0"/>
    </xf>
    <xf numFmtId="0" fontId="92" fillId="0" borderId="0" xfId="0" applyFont="1">
      <alignment vertical="center"/>
    </xf>
    <xf numFmtId="0" fontId="92" fillId="0" borderId="0" xfId="0" applyFont="1" applyAlignment="1">
      <alignment horizontal="right" vertical="center"/>
    </xf>
    <xf numFmtId="195" fontId="136" fillId="0" borderId="0" xfId="0" applyNumberFormat="1" applyFont="1" applyAlignment="1">
      <alignment vertical="center"/>
    </xf>
    <xf numFmtId="195" fontId="92" fillId="0" borderId="0" xfId="0" applyNumberFormat="1" applyFont="1" applyAlignment="1">
      <alignment horizontal="right" vertical="center" shrinkToFit="1"/>
    </xf>
    <xf numFmtId="0" fontId="75" fillId="0" borderId="0" xfId="0" applyFont="1" applyFill="1" applyBorder="1" applyAlignment="1" applyProtection="1">
      <alignment horizontal="center" vertical="center"/>
    </xf>
    <xf numFmtId="0" fontId="69" fillId="0" borderId="107" xfId="0" applyFont="1" applyFill="1" applyBorder="1" applyAlignment="1" applyProtection="1">
      <alignment horizontal="center" vertical="center" wrapText="1"/>
    </xf>
    <xf numFmtId="0" fontId="69" fillId="0" borderId="7" xfId="0" applyFont="1" applyFill="1" applyBorder="1" applyAlignment="1" applyProtection="1">
      <alignment horizontal="center" vertical="center" wrapText="1"/>
    </xf>
    <xf numFmtId="194" fontId="69" fillId="0" borderId="7" xfId="0" applyNumberFormat="1" applyFont="1" applyFill="1" applyBorder="1" applyAlignment="1" applyProtection="1">
      <alignment horizontal="center" vertical="center" wrapText="1"/>
    </xf>
    <xf numFmtId="0" fontId="75" fillId="0" borderId="7" xfId="0" applyFont="1" applyFill="1" applyBorder="1" applyAlignment="1" applyProtection="1">
      <alignment horizontal="center" vertical="center" wrapText="1"/>
    </xf>
    <xf numFmtId="194" fontId="69" fillId="0" borderId="13" xfId="0" applyNumberFormat="1" applyFont="1" applyFill="1" applyBorder="1" applyAlignment="1" applyProtection="1">
      <alignment horizontal="center" vertical="center" wrapText="1"/>
    </xf>
    <xf numFmtId="194" fontId="69" fillId="0" borderId="15" xfId="0" applyNumberFormat="1" applyFont="1" applyFill="1" applyBorder="1" applyAlignment="1" applyProtection="1">
      <alignment horizontal="center" vertical="center" wrapText="1"/>
    </xf>
    <xf numFmtId="0" fontId="69" fillId="0" borderId="2" xfId="0" applyFont="1" applyFill="1" applyBorder="1" applyAlignment="1" applyProtection="1">
      <alignment horizontal="center" vertical="center" wrapText="1"/>
    </xf>
    <xf numFmtId="194" fontId="69" fillId="0" borderId="2" xfId="0" applyNumberFormat="1" applyFont="1" applyFill="1" applyBorder="1" applyAlignment="1" applyProtection="1">
      <alignment horizontal="center" vertical="center" wrapText="1"/>
    </xf>
    <xf numFmtId="0" fontId="49" fillId="0" borderId="0" xfId="0" applyFont="1" applyFill="1" applyBorder="1" applyAlignment="1" applyProtection="1">
      <alignment horizontal="left" vertical="center"/>
    </xf>
    <xf numFmtId="194" fontId="69" fillId="0" borderId="14" xfId="0" applyNumberFormat="1" applyFont="1" applyFill="1" applyBorder="1" applyAlignment="1" applyProtection="1">
      <alignment horizontal="center" vertical="center" wrapText="1"/>
    </xf>
    <xf numFmtId="0" fontId="0" fillId="0" borderId="0" xfId="0" applyFont="1">
      <alignment vertical="center"/>
    </xf>
    <xf numFmtId="0" fontId="137" fillId="0" borderId="0" xfId="0" applyFont="1" applyProtection="1">
      <alignment vertical="center"/>
    </xf>
    <xf numFmtId="0" fontId="0" fillId="0" borderId="0" xfId="0" applyFont="1" applyProtection="1">
      <alignment vertical="center"/>
    </xf>
    <xf numFmtId="0" fontId="92" fillId="0" borderId="0" xfId="0" applyFont="1" applyAlignment="1" applyProtection="1">
      <alignment horizontal="left" vertical="center" wrapText="1"/>
    </xf>
    <xf numFmtId="0" fontId="138" fillId="0" borderId="0" xfId="0" applyFont="1" applyAlignment="1" applyProtection="1">
      <alignment horizontal="left" vertical="center" wrapText="1"/>
    </xf>
    <xf numFmtId="0" fontId="137" fillId="0" borderId="0" xfId="0" applyFont="1" applyAlignment="1" applyProtection="1">
      <alignment horizontal="center" vertical="center"/>
    </xf>
    <xf numFmtId="0" fontId="139" fillId="0" borderId="106" xfId="0" applyFont="1" applyFill="1" applyBorder="1" applyAlignment="1" applyProtection="1">
      <alignment horizontal="center" vertical="center" wrapText="1"/>
    </xf>
    <xf numFmtId="0" fontId="139" fillId="0" borderId="172" xfId="0" applyFont="1" applyFill="1" applyBorder="1" applyAlignment="1" applyProtection="1">
      <alignment horizontal="center" vertical="center" wrapText="1"/>
    </xf>
    <xf numFmtId="0" fontId="139" fillId="0" borderId="173" xfId="0" applyFont="1" applyFill="1" applyBorder="1" applyAlignment="1" applyProtection="1">
      <alignment horizontal="center" vertical="center" wrapText="1"/>
    </xf>
    <xf numFmtId="0" fontId="139" fillId="0" borderId="7" xfId="0" applyFont="1" applyFill="1" applyBorder="1" applyAlignment="1" applyProtection="1">
      <alignment vertical="center" wrapText="1"/>
    </xf>
    <xf numFmtId="0" fontId="139" fillId="0" borderId="7" xfId="0" applyFont="1" applyFill="1" applyBorder="1" applyAlignment="1" applyProtection="1">
      <alignment horizontal="center" vertical="center" wrapText="1"/>
    </xf>
    <xf numFmtId="0" fontId="139" fillId="0" borderId="7" xfId="0" applyFont="1" applyFill="1" applyBorder="1" applyAlignment="1" applyProtection="1">
      <alignment horizontal="left" vertical="center" wrapText="1"/>
    </xf>
    <xf numFmtId="0" fontId="122" fillId="0" borderId="7" xfId="0" applyFont="1" applyFill="1" applyBorder="1" applyAlignment="1" applyProtection="1">
      <alignment horizontal="left" vertical="center" wrapText="1"/>
    </xf>
    <xf numFmtId="0" fontId="121" fillId="0" borderId="7" xfId="0" applyFont="1" applyBorder="1" applyProtection="1">
      <alignment vertical="center"/>
    </xf>
    <xf numFmtId="0" fontId="122" fillId="0" borderId="7" xfId="0" applyFont="1" applyFill="1" applyBorder="1" applyAlignment="1" applyProtection="1">
      <alignment horizontal="center" vertical="center" wrapText="1"/>
    </xf>
    <xf numFmtId="0" fontId="121" fillId="0" borderId="7" xfId="0" applyFont="1" applyFill="1" applyBorder="1" applyAlignment="1" applyProtection="1">
      <alignment horizontal="left" vertical="center" wrapText="1"/>
    </xf>
    <xf numFmtId="0" fontId="140" fillId="0" borderId="7" xfId="0" applyFont="1" applyFill="1" applyBorder="1" applyAlignment="1" applyProtection="1">
      <alignment horizontal="left" vertical="center" wrapText="1"/>
    </xf>
    <xf numFmtId="0" fontId="141" fillId="0" borderId="7" xfId="0" applyFont="1" applyFill="1" applyBorder="1" applyAlignment="1" applyProtection="1">
      <alignment vertical="center" wrapText="1"/>
    </xf>
    <xf numFmtId="0" fontId="142" fillId="0" borderId="7" xfId="0" applyFont="1" applyFill="1" applyBorder="1" applyAlignment="1" applyProtection="1">
      <alignment horizontal="left" vertical="center" wrapText="1"/>
    </xf>
    <xf numFmtId="0" fontId="141" fillId="0" borderId="7" xfId="0" applyFont="1" applyFill="1" applyBorder="1" applyAlignment="1" applyProtection="1">
      <alignment horizontal="center" vertical="center" wrapText="1"/>
    </xf>
    <xf numFmtId="0" fontId="0" fillId="0" borderId="7" xfId="0" applyFont="1" applyBorder="1">
      <alignment vertical="center"/>
    </xf>
    <xf numFmtId="0" fontId="139" fillId="0" borderId="2" xfId="0" applyFont="1" applyFill="1" applyBorder="1" applyAlignment="1" applyProtection="1">
      <alignment horizontal="left" vertical="center" wrapText="1"/>
    </xf>
    <xf numFmtId="0" fontId="121" fillId="0" borderId="2" xfId="0" applyFont="1" applyFill="1" applyBorder="1" applyAlignment="1" applyProtection="1">
      <alignment horizontal="left" vertical="center" wrapText="1"/>
    </xf>
    <xf numFmtId="0" fontId="141" fillId="0" borderId="2" xfId="0" applyFont="1" applyFill="1" applyBorder="1" applyAlignment="1" applyProtection="1">
      <alignment horizontal="center" vertical="center" wrapText="1"/>
    </xf>
    <xf numFmtId="0" fontId="122" fillId="0" borderId="0" xfId="0" applyFont="1" applyBorder="1" applyAlignment="1" applyProtection="1">
      <alignment horizontal="center" vertical="center"/>
    </xf>
    <xf numFmtId="0" fontId="122" fillId="0" borderId="174" xfId="0" applyFont="1" applyBorder="1" applyAlignment="1" applyProtection="1">
      <alignment horizontal="left" vertical="center" wrapText="1"/>
    </xf>
    <xf numFmtId="0" fontId="122" fillId="0" borderId="175" xfId="0" applyFont="1" applyBorder="1" applyAlignment="1" applyProtection="1">
      <alignment horizontal="left" vertical="center" wrapText="1"/>
    </xf>
    <xf numFmtId="0" fontId="122" fillId="0" borderId="107" xfId="0" applyFont="1" applyBorder="1" applyAlignment="1" applyProtection="1">
      <alignment horizontal="center" vertical="center"/>
    </xf>
    <xf numFmtId="0" fontId="122" fillId="0" borderId="176" xfId="0" applyFont="1" applyBorder="1" applyAlignment="1" applyProtection="1">
      <alignment horizontal="left" vertical="center" wrapText="1"/>
    </xf>
    <xf numFmtId="0" fontId="122" fillId="0" borderId="177" xfId="0" applyFont="1" applyBorder="1" applyAlignment="1" applyProtection="1">
      <alignment horizontal="left" vertical="center" wrapText="1"/>
    </xf>
    <xf numFmtId="0" fontId="122" fillId="0" borderId="7" xfId="0" applyFont="1" applyBorder="1" applyAlignment="1" applyProtection="1">
      <alignment horizontal="center" vertical="center"/>
    </xf>
    <xf numFmtId="0" fontId="139" fillId="0" borderId="12" xfId="0" applyFont="1" applyFill="1" applyBorder="1" applyAlignment="1" applyProtection="1">
      <alignment horizontal="left" vertical="center" wrapText="1"/>
    </xf>
    <xf numFmtId="0" fontId="122" fillId="0" borderId="16" xfId="0" applyFont="1" applyBorder="1" applyProtection="1">
      <alignment vertical="center"/>
    </xf>
    <xf numFmtId="0" fontId="122" fillId="0" borderId="16" xfId="0" applyFont="1" applyBorder="1" applyAlignment="1" applyProtection="1">
      <alignment horizontal="center" vertical="center"/>
    </xf>
    <xf numFmtId="0" fontId="139" fillId="0" borderId="52" xfId="0" applyFont="1" applyFill="1" applyBorder="1" applyAlignment="1" applyProtection="1">
      <alignment horizontal="left" vertical="center" wrapText="1"/>
    </xf>
    <xf numFmtId="0" fontId="121" fillId="0" borderId="16" xfId="0" applyFont="1" applyBorder="1" applyProtection="1">
      <alignment vertical="center"/>
    </xf>
    <xf numFmtId="0" fontId="122" fillId="0" borderId="16" xfId="0" applyNumberFormat="1" applyFont="1" applyBorder="1" applyAlignment="1" applyProtection="1">
      <alignment horizontal="center" vertical="center" wrapText="1"/>
    </xf>
    <xf numFmtId="0" fontId="139" fillId="0" borderId="16" xfId="0" applyFont="1" applyFill="1" applyBorder="1" applyAlignment="1" applyProtection="1">
      <alignment horizontal="left" vertical="center" wrapText="1"/>
    </xf>
    <xf numFmtId="0" fontId="121" fillId="0" borderId="7" xfId="0" applyFont="1" applyBorder="1" applyAlignment="1" applyProtection="1">
      <alignment horizontal="center" vertical="center"/>
    </xf>
    <xf numFmtId="0" fontId="122" fillId="0" borderId="12" xfId="0" applyFont="1" applyBorder="1" applyProtection="1">
      <alignment vertical="center"/>
    </xf>
    <xf numFmtId="0" fontId="122" fillId="0" borderId="7" xfId="0" applyFont="1" applyBorder="1" applyProtection="1">
      <alignment vertical="center"/>
    </xf>
    <xf numFmtId="0" fontId="122" fillId="0" borderId="7" xfId="0" applyFont="1" applyBorder="1" applyAlignment="1" applyProtection="1">
      <alignment horizontal="center" vertical="center" wrapText="1"/>
    </xf>
    <xf numFmtId="0" fontId="122" fillId="0" borderId="7" xfId="0" applyFont="1" applyBorder="1" applyAlignment="1" applyProtection="1">
      <alignment vertical="center" wrapText="1"/>
    </xf>
    <xf numFmtId="0" fontId="122" fillId="0" borderId="12" xfId="0" applyFont="1" applyBorder="1" applyAlignment="1" applyProtection="1">
      <alignment horizontal="center" vertical="center" wrapText="1"/>
    </xf>
    <xf numFmtId="0" fontId="122" fillId="0" borderId="2" xfId="0" applyFont="1" applyBorder="1" applyProtection="1">
      <alignment vertical="center"/>
    </xf>
    <xf numFmtId="0" fontId="121" fillId="0" borderId="2" xfId="0" applyFont="1" applyBorder="1" applyAlignment="1" applyProtection="1">
      <alignment horizontal="center" vertical="center"/>
    </xf>
    <xf numFmtId="0" fontId="143" fillId="3" borderId="0" xfId="0" applyFont="1" applyFill="1" applyProtection="1">
      <alignment vertical="center"/>
      <protection locked="0"/>
    </xf>
    <xf numFmtId="0" fontId="52" fillId="0" borderId="0" xfId="0" applyFont="1">
      <alignment vertical="center"/>
    </xf>
    <xf numFmtId="0" fontId="23" fillId="0" borderId="0" xfId="0" applyFont="1" applyAlignment="1">
      <alignment vertical="center" wrapText="1"/>
    </xf>
    <xf numFmtId="0" fontId="144" fillId="0" borderId="0" xfId="0" applyFont="1" applyBorder="1" applyAlignment="1">
      <alignment horizontal="center" vertical="center"/>
    </xf>
    <xf numFmtId="0" fontId="144" fillId="0" borderId="0" xfId="0" applyFont="1" applyAlignment="1">
      <alignment vertical="center"/>
    </xf>
    <xf numFmtId="0" fontId="23" fillId="0" borderId="0" xfId="0" applyFont="1" applyBorder="1">
      <alignment vertical="center"/>
    </xf>
    <xf numFmtId="0" fontId="132" fillId="0" borderId="0" xfId="0" applyFont="1" applyAlignment="1">
      <alignment vertical="center"/>
    </xf>
    <xf numFmtId="0" fontId="132" fillId="0" borderId="0" xfId="0" applyFont="1">
      <alignment vertical="center"/>
    </xf>
    <xf numFmtId="0" fontId="92" fillId="0" borderId="0" xfId="0" applyFont="1" applyAlignment="1">
      <alignment vertical="center" wrapText="1"/>
    </xf>
    <xf numFmtId="0" fontId="145" fillId="0" borderId="0" xfId="0" applyFont="1">
      <alignment vertical="center"/>
    </xf>
    <xf numFmtId="0" fontId="92" fillId="0" borderId="0" xfId="0" applyFont="1" applyFill="1" applyAlignment="1">
      <alignment vertical="center" wrapText="1"/>
    </xf>
    <xf numFmtId="0" fontId="92" fillId="0" borderId="0" xfId="0" applyFont="1" applyAlignment="1">
      <alignment horizontal="left" vertical="center" wrapText="1"/>
    </xf>
    <xf numFmtId="0" fontId="23" fillId="0" borderId="0" xfId="0" applyFont="1" applyAlignment="1">
      <alignment horizontal="left" vertical="center"/>
    </xf>
    <xf numFmtId="177" fontId="92" fillId="0" borderId="0" xfId="0" applyNumberFormat="1" applyFont="1" applyAlignment="1">
      <alignment horizontal="left" vertical="center"/>
    </xf>
    <xf numFmtId="177" fontId="92" fillId="0" borderId="0" xfId="0" applyNumberFormat="1" applyFont="1" applyAlignment="1">
      <alignment vertical="center"/>
    </xf>
    <xf numFmtId="0" fontId="134" fillId="0" borderId="0" xfId="0" applyFont="1" applyAlignment="1">
      <alignment vertical="center" wrapText="1"/>
    </xf>
    <xf numFmtId="0" fontId="146" fillId="0" borderId="0" xfId="0" applyFont="1">
      <alignment vertical="center"/>
    </xf>
    <xf numFmtId="0" fontId="0" fillId="10" borderId="0" xfId="0" applyFill="1">
      <alignment vertical="center"/>
    </xf>
    <xf numFmtId="0" fontId="0" fillId="10" borderId="0" xfId="0" applyFill="1" applyProtection="1">
      <alignment vertical="center"/>
    </xf>
    <xf numFmtId="0" fontId="0" fillId="10" borderId="0" xfId="0" applyFont="1" applyFill="1">
      <alignment vertical="center"/>
    </xf>
    <xf numFmtId="0" fontId="147" fillId="10" borderId="0" xfId="0" applyFont="1" applyFill="1" applyProtection="1">
      <alignment vertical="center"/>
    </xf>
    <xf numFmtId="0" fontId="148" fillId="0" borderId="0" xfId="0" applyFont="1">
      <alignment vertical="center"/>
    </xf>
    <xf numFmtId="0" fontId="149" fillId="10" borderId="0" xfId="0" applyFont="1" applyFill="1" applyAlignment="1" applyProtection="1">
      <alignment vertical="top" wrapText="1"/>
    </xf>
    <xf numFmtId="0" fontId="148" fillId="0" borderId="0" xfId="0" applyFont="1" applyAlignment="1">
      <alignment vertical="top" wrapText="1"/>
    </xf>
    <xf numFmtId="0" fontId="0" fillId="0" borderId="0" xfId="0" applyAlignment="1">
      <alignment vertical="top" wrapText="1"/>
    </xf>
    <xf numFmtId="0" fontId="147" fillId="10" borderId="0" xfId="0" applyFont="1" applyFill="1" applyAlignment="1" applyProtection="1">
      <alignment vertical="top" wrapText="1"/>
    </xf>
    <xf numFmtId="0" fontId="149" fillId="10" borderId="0" xfId="0" applyFont="1" applyFill="1" applyProtection="1">
      <alignment vertical="center"/>
    </xf>
    <xf numFmtId="0" fontId="146" fillId="10" borderId="0" xfId="0" applyFont="1" applyFill="1">
      <alignment vertical="center"/>
    </xf>
    <xf numFmtId="0" fontId="147" fillId="0" borderId="0" xfId="0" applyFont="1" applyAlignment="1">
      <alignment horizontal="left" vertical="center"/>
    </xf>
    <xf numFmtId="0" fontId="0" fillId="0" borderId="0" xfId="0" applyBorder="1">
      <alignment vertical="center"/>
    </xf>
    <xf numFmtId="0" fontId="121" fillId="0" borderId="1" xfId="21" applyFont="1" applyBorder="1" applyProtection="1">
      <alignment vertical="center"/>
    </xf>
    <xf numFmtId="0" fontId="121" fillId="0" borderId="0" xfId="21" applyFont="1" applyBorder="1" applyProtection="1">
      <alignment vertical="center"/>
    </xf>
    <xf numFmtId="0" fontId="121" fillId="0" borderId="0" xfId="21" applyFont="1" applyBorder="1" applyAlignment="1" applyProtection="1">
      <alignment vertical="center" wrapText="1"/>
    </xf>
    <xf numFmtId="0" fontId="90" fillId="0" borderId="0" xfId="21" applyFont="1" applyAlignment="1" applyProtection="1">
      <alignment horizontal="left" vertical="center"/>
    </xf>
    <xf numFmtId="0" fontId="121" fillId="0" borderId="0" xfId="21" applyFont="1" applyProtection="1">
      <alignment vertical="center"/>
    </xf>
    <xf numFmtId="0" fontId="0" fillId="0" borderId="2" xfId="21" applyFont="1" applyBorder="1" applyAlignment="1" applyProtection="1">
      <alignment horizontal="left" vertical="center" wrapText="1"/>
    </xf>
    <xf numFmtId="0" fontId="72" fillId="0" borderId="12" xfId="0" applyFont="1" applyBorder="1" applyAlignment="1" applyProtection="1">
      <alignment horizontal="left" vertical="center"/>
    </xf>
    <xf numFmtId="0" fontId="0" fillId="0" borderId="16" xfId="21" applyFont="1" applyBorder="1" applyAlignment="1" applyProtection="1">
      <alignment vertical="center" wrapText="1"/>
    </xf>
    <xf numFmtId="0" fontId="90" fillId="0" borderId="107" xfId="21" applyFont="1" applyBorder="1" applyAlignment="1" applyProtection="1">
      <alignment horizontal="left" vertical="center"/>
    </xf>
    <xf numFmtId="0" fontId="0" fillId="0" borderId="7" xfId="21" applyFont="1" applyBorder="1" applyAlignment="1" applyProtection="1">
      <alignment vertical="center" wrapText="1"/>
    </xf>
    <xf numFmtId="0" fontId="90" fillId="0" borderId="16" xfId="21" applyFont="1" applyBorder="1" applyAlignment="1" applyProtection="1">
      <alignment horizontal="left" vertical="center"/>
    </xf>
    <xf numFmtId="0" fontId="0" fillId="0" borderId="2" xfId="21" applyFont="1" applyBorder="1" applyAlignment="1" applyProtection="1">
      <alignment vertical="center" wrapText="1"/>
    </xf>
    <xf numFmtId="0" fontId="90" fillId="0" borderId="52" xfId="21" applyFont="1" applyBorder="1" applyAlignment="1" applyProtection="1">
      <alignment horizontal="left" vertical="center"/>
    </xf>
    <xf numFmtId="0" fontId="90" fillId="0" borderId="7" xfId="21" applyFont="1" applyBorder="1" applyAlignment="1" applyProtection="1">
      <alignment horizontal="left" vertical="center"/>
    </xf>
    <xf numFmtId="0" fontId="90" fillId="0" borderId="2" xfId="21" applyFont="1" applyBorder="1" applyAlignment="1" applyProtection="1">
      <alignment horizontal="left" vertical="center"/>
    </xf>
    <xf numFmtId="0" fontId="90" fillId="0" borderId="105" xfId="21" applyFont="1" applyBorder="1" applyAlignment="1" applyProtection="1">
      <alignment horizontal="left" vertical="center"/>
    </xf>
    <xf numFmtId="0" fontId="90" fillId="0" borderId="106" xfId="21" applyFont="1" applyBorder="1" applyAlignment="1" applyProtection="1">
      <alignment horizontal="left" vertical="center"/>
    </xf>
    <xf numFmtId="195" fontId="120" fillId="0" borderId="2" xfId="21" applyNumberFormat="1" applyFont="1" applyBorder="1" applyAlignment="1" applyProtection="1">
      <alignment horizontal="left" vertical="center"/>
    </xf>
    <xf numFmtId="14" fontId="90" fillId="0" borderId="16" xfId="21" applyNumberFormat="1" applyFont="1" applyBorder="1" applyAlignment="1" applyProtection="1">
      <alignment horizontal="left" vertical="center"/>
    </xf>
    <xf numFmtId="14" fontId="90" fillId="0" borderId="7" xfId="21" applyNumberFormat="1" applyFont="1" applyBorder="1" applyAlignment="1" applyProtection="1">
      <alignment horizontal="left" vertical="center"/>
    </xf>
    <xf numFmtId="0" fontId="121" fillId="0" borderId="7" xfId="21" applyFont="1" applyBorder="1" applyAlignment="1" applyProtection="1">
      <alignment vertical="center" wrapText="1"/>
    </xf>
    <xf numFmtId="0" fontId="121" fillId="0" borderId="2" xfId="21" applyFont="1" applyBorder="1" applyAlignment="1" applyProtection="1">
      <alignment vertical="center" wrapText="1"/>
    </xf>
    <xf numFmtId="0" fontId="121" fillId="0" borderId="16" xfId="21" applyFont="1" applyBorder="1" applyAlignment="1" applyProtection="1">
      <alignment vertical="center" wrapText="1"/>
    </xf>
  </cellXfs>
  <cellStyles count="62">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常规 6" xfId="13"/>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常规 6 2" xfId="20"/>
    <cellStyle name="常规 8" xfId="21"/>
    <cellStyle name="标题 1" xfId="22" builtinId="16"/>
    <cellStyle name="常规 9" xfId="23"/>
    <cellStyle name="标题 2" xfId="24" builtinId="17"/>
    <cellStyle name="60% - 强调文字颜色 1" xfId="25" builtinId="32"/>
    <cellStyle name="标题 3" xfId="26" builtinId="18"/>
    <cellStyle name="60% - 强调文字颜色 4" xfId="27" builtinId="44"/>
    <cellStyle name="输出" xfId="28" builtinId="21"/>
    <cellStyle name="计算" xfId="29" builtinId="22"/>
    <cellStyle name="检查单元格" xfId="30" builtinId="23"/>
    <cellStyle name="20% - 强调文字颜色 6" xfId="31" builtinId="50"/>
    <cellStyle name="强调文字颜色 2" xfId="32" builtinId="33"/>
    <cellStyle name="链接单元格" xfId="33" builtinId="24"/>
    <cellStyle name="汇总" xfId="34" builtinId="25"/>
    <cellStyle name="好" xfId="35" builtinId="26"/>
    <cellStyle name="常规 16" xfId="36"/>
    <cellStyle name="适中" xfId="37" builtinId="28"/>
    <cellStyle name="常规 6 2 2" xfId="38"/>
    <cellStyle name="20% - 强调文字颜色 5" xfId="39" builtinId="46"/>
    <cellStyle name="强调文字颜色 1" xfId="40" builtinId="29"/>
    <cellStyle name="20% - 强调文字颜色 1" xfId="41" builtinId="30"/>
    <cellStyle name="40% - 强调文字颜色 1" xfId="42" builtinId="31"/>
    <cellStyle name="20% - 强调文字颜色 2" xfId="43" builtinId="34"/>
    <cellStyle name="40% - 强调文字颜色 2" xfId="44" builtinId="35"/>
    <cellStyle name="强调文字颜色 3" xfId="45" builtinId="37"/>
    <cellStyle name="常规 3 2" xfId="46"/>
    <cellStyle name="强调文字颜色 4" xfId="47" builtinId="41"/>
    <cellStyle name="20% - 强调文字颜色 4" xfId="48" builtinId="42"/>
    <cellStyle name="40% - 强调文字颜色 4" xfId="49" builtinId="43"/>
    <cellStyle name="强调文字颜色 5" xfId="50" builtinId="45"/>
    <cellStyle name="常规 2 2" xfId="51"/>
    <cellStyle name="40% - 强调文字颜色 5" xfId="52" builtinId="47"/>
    <cellStyle name="60% - 强调文字颜色 5" xfId="53" builtinId="48"/>
    <cellStyle name="强调文字颜色 6" xfId="54" builtinId="49"/>
    <cellStyle name="40% - 强调文字颜色 6" xfId="55" builtinId="51"/>
    <cellStyle name="60% - 强调文字颜色 6" xfId="56" builtinId="52"/>
    <cellStyle name="常规 2" xfId="57"/>
    <cellStyle name="常规 3" xfId="58"/>
    <cellStyle name="常规 4" xfId="59"/>
    <cellStyle name="常规 5" xfId="60"/>
    <cellStyle name="常规 7" xfId="61"/>
  </cellStyles>
  <dxfs count="13">
    <dxf>
      <font>
        <b val="1"/>
        <i val="0"/>
        <color rgb="FFFF0000"/>
      </font>
      <fill>
        <patternFill patternType="solid">
          <bgColor rgb="FFFFFF00"/>
        </patternFill>
      </fill>
    </dxf>
    <dxf>
      <font>
        <u val="single"/>
        <color rgb="FFFF0000"/>
      </font>
    </dxf>
    <dxf>
      <font>
        <color rgb="FFFF0000"/>
      </font>
    </dxf>
    <dxf>
      <font>
        <b val="1"/>
        <i val="0"/>
        <color indexed="10"/>
      </font>
      <fill>
        <patternFill patternType="solid">
          <bgColor indexed="13"/>
        </patternFill>
      </fill>
    </dxf>
    <dxf>
      <font>
        <b val="0"/>
        <u val="single"/>
        <color indexed="10"/>
      </font>
    </dxf>
    <dxf>
      <fill>
        <patternFill patternType="solid">
          <bgColor theme="0" tint="-0.249946592608417"/>
        </patternFill>
      </fill>
    </dxf>
    <dxf>
      <fill>
        <patternFill patternType="solid">
          <bgColor theme="0"/>
        </patternFill>
      </fill>
    </dxf>
    <dxf>
      <font>
        <color rgb="FFFFFF00"/>
      </font>
      <fill>
        <patternFill patternType="solid">
          <bgColor rgb="FFFF0000"/>
        </patternFill>
      </fill>
    </dxf>
    <dxf>
      <font>
        <color rgb="FFFFFF00"/>
      </font>
      <fill>
        <patternFill patternType="solid">
          <bgColor rgb="FFFF0000"/>
        </patternFill>
      </fill>
    </dxf>
    <dxf>
      <font>
        <b val="1"/>
        <i val="0"/>
        <color rgb="FFFF0000"/>
      </font>
    </dxf>
    <dxf>
      <font>
        <b val="1"/>
        <i val="0"/>
        <color rgb="FFFF0000"/>
      </font>
    </dxf>
    <dxf>
      <fill>
        <patternFill patternType="none"/>
      </fill>
    </dxf>
    <dxf>
      <font>
        <color rgb="FFFF0000"/>
      </font>
    </dxf>
  </dxfs>
  <tableStyles count="0" defaultTableStyle="TableStyleMedium2" defaultPivotStyle="PivotStyleLight16"/>
  <colors>
    <mruColors>
      <color rgb="005AE838"/>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2" Type="http://schemas.openxmlformats.org/officeDocument/2006/relationships/sharedStrings" Target="sharedStrings.xml"/><Relationship Id="rId41" Type="http://schemas.openxmlformats.org/officeDocument/2006/relationships/styles" Target="styles.xml"/><Relationship Id="rId40" Type="http://schemas.openxmlformats.org/officeDocument/2006/relationships/theme" Target="theme/theme1.xml"/><Relationship Id="rId4" Type="http://schemas.openxmlformats.org/officeDocument/2006/relationships/worksheet" Target="worksheets/sheet4.xml"/><Relationship Id="rId39" Type="http://schemas.openxmlformats.org/officeDocument/2006/relationships/externalLink" Target="externalLinks/externalLink1.xml"/><Relationship Id="rId38" Type="http://schemas.openxmlformats.org/officeDocument/2006/relationships/worksheet" Target="worksheets/sheet38.xml"/><Relationship Id="rId37" Type="http://schemas.openxmlformats.org/officeDocument/2006/relationships/worksheet" Target="worksheets/sheet37.xml"/><Relationship Id="rId36" Type="http://schemas.openxmlformats.org/officeDocument/2006/relationships/worksheet" Target="worksheets/sheet36.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9" Type="http://schemas.openxmlformats.org/officeDocument/2006/relationships/image" Target="../media/image12.png"/><Relationship Id="rId8" Type="http://schemas.openxmlformats.org/officeDocument/2006/relationships/image" Target="../media/image11.png"/><Relationship Id="rId7" Type="http://schemas.openxmlformats.org/officeDocument/2006/relationships/image" Target="../media/image10.png"/><Relationship Id="rId6" Type="http://schemas.openxmlformats.org/officeDocument/2006/relationships/image" Target="../media/image9.png"/><Relationship Id="rId5" Type="http://schemas.openxmlformats.org/officeDocument/2006/relationships/image" Target="../media/image8.png"/><Relationship Id="rId4" Type="http://schemas.openxmlformats.org/officeDocument/2006/relationships/image" Target="../media/image7.png"/><Relationship Id="rId3" Type="http://schemas.openxmlformats.org/officeDocument/2006/relationships/image" Target="../media/image6.png"/><Relationship Id="rId2" Type="http://schemas.openxmlformats.org/officeDocument/2006/relationships/image" Target="../media/image5.png"/><Relationship Id="rId1" Type="http://schemas.openxmlformats.org/officeDocument/2006/relationships/image" Target="../media/image4.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2</xdr:col>
      <xdr:colOff>0</xdr:colOff>
      <xdr:row>0</xdr:row>
      <xdr:rowOff>0</xdr:rowOff>
    </xdr:from>
    <xdr:to>
      <xdr:col>4</xdr:col>
      <xdr:colOff>390305</xdr:colOff>
      <xdr:row>4</xdr:row>
      <xdr:rowOff>104663</xdr:rowOff>
    </xdr:to>
    <xdr:pic>
      <xdr:nvPicPr>
        <xdr:cNvPr id="2" name="图片 1"/>
        <xdr:cNvPicPr>
          <a:picLocks noChangeAspect="1"/>
        </xdr:cNvPicPr>
      </xdr:nvPicPr>
      <xdr:blipFill>
        <a:blip r:embed="rId1"/>
        <a:stretch>
          <a:fillRect/>
        </a:stretch>
      </xdr:blipFill>
      <xdr:spPr>
        <a:xfrm>
          <a:off x="9705975" y="0"/>
          <a:ext cx="1761490" cy="894715"/>
        </a:xfrm>
        <a:prstGeom prst="rect">
          <a:avLst/>
        </a:prstGeom>
      </xdr:spPr>
    </xdr:pic>
    <xdr:clientData/>
  </xdr:twoCellAnchor>
</xdr:wsDr>
</file>

<file path=xl/drawings/drawing2.xml><?xml version="1.0" encoding="utf-8"?>
<xdr:wsDr xmlns:xdr="http://schemas.openxmlformats.org/drawingml/2006/spreadsheetDrawing" xmlns:r="http://schemas.openxmlformats.org/officeDocument/2006/relationships" xmlns:a="http://schemas.openxmlformats.org/drawingml/2006/main">
  <xdr:twoCellAnchor editAs="oneCell">
    <xdr:from>
      <xdr:col>0</xdr:col>
      <xdr:colOff>400050</xdr:colOff>
      <xdr:row>0</xdr:row>
      <xdr:rowOff>114300</xdr:rowOff>
    </xdr:from>
    <xdr:to>
      <xdr:col>15</xdr:col>
      <xdr:colOff>342900</xdr:colOff>
      <xdr:row>37</xdr:row>
      <xdr:rowOff>57150</xdr:rowOff>
    </xdr:to>
    <xdr:pic>
      <xdr:nvPicPr>
        <xdr:cNvPr id="2" name="图片 1"/>
        <xdr:cNvPicPr>
          <a:picLocks noChangeAspect="1"/>
        </xdr:cNvPicPr>
      </xdr:nvPicPr>
      <xdr:blipFill>
        <a:blip r:embed="rId1"/>
        <a:stretch>
          <a:fillRect/>
        </a:stretch>
      </xdr:blipFill>
      <xdr:spPr>
        <a:xfrm>
          <a:off x="400050" y="114300"/>
          <a:ext cx="10229850" cy="6286500"/>
        </a:xfrm>
        <a:prstGeom prst="rect">
          <a:avLst/>
        </a:prstGeom>
        <a:noFill/>
        <a:ln w="9525">
          <a:noFill/>
        </a:ln>
      </xdr:spPr>
    </xdr:pic>
    <xdr:clientData/>
  </xdr:twoCellAnchor>
  <xdr:twoCellAnchor editAs="oneCell">
    <xdr:from>
      <xdr:col>1</xdr:col>
      <xdr:colOff>152400</xdr:colOff>
      <xdr:row>32</xdr:row>
      <xdr:rowOff>57150</xdr:rowOff>
    </xdr:from>
    <xdr:to>
      <xdr:col>15</xdr:col>
      <xdr:colOff>361950</xdr:colOff>
      <xdr:row>57</xdr:row>
      <xdr:rowOff>57150</xdr:rowOff>
    </xdr:to>
    <xdr:pic>
      <xdr:nvPicPr>
        <xdr:cNvPr id="3" name="图片 2"/>
        <xdr:cNvPicPr>
          <a:picLocks noChangeAspect="1"/>
        </xdr:cNvPicPr>
      </xdr:nvPicPr>
      <xdr:blipFill>
        <a:blip r:embed="rId2"/>
        <a:stretch>
          <a:fillRect/>
        </a:stretch>
      </xdr:blipFill>
      <xdr:spPr>
        <a:xfrm>
          <a:off x="838200" y="5543550"/>
          <a:ext cx="9810750" cy="4286250"/>
        </a:xfrm>
        <a:prstGeom prst="rect">
          <a:avLst/>
        </a:prstGeom>
        <a:noFill/>
        <a:ln w="9525">
          <a:noFill/>
        </a:ln>
      </xdr:spPr>
    </xdr:pic>
    <xdr:clientData/>
  </xdr:twoCellAnchor>
  <xdr:twoCellAnchor editAs="oneCell">
    <xdr:from>
      <xdr:col>0</xdr:col>
      <xdr:colOff>142875</xdr:colOff>
      <xdr:row>62</xdr:row>
      <xdr:rowOff>152400</xdr:rowOff>
    </xdr:from>
    <xdr:to>
      <xdr:col>17</xdr:col>
      <xdr:colOff>552450</xdr:colOff>
      <xdr:row>79</xdr:row>
      <xdr:rowOff>38100</xdr:rowOff>
    </xdr:to>
    <xdr:pic>
      <xdr:nvPicPr>
        <xdr:cNvPr id="4" name="图片 3"/>
        <xdr:cNvPicPr>
          <a:picLocks noChangeAspect="1"/>
        </xdr:cNvPicPr>
      </xdr:nvPicPr>
      <xdr:blipFill>
        <a:blip r:embed="rId3"/>
        <a:stretch>
          <a:fillRect/>
        </a:stretch>
      </xdr:blipFill>
      <xdr:spPr>
        <a:xfrm>
          <a:off x="142875" y="10782300"/>
          <a:ext cx="12068175" cy="2800350"/>
        </a:xfrm>
        <a:prstGeom prst="rect">
          <a:avLst/>
        </a:prstGeom>
        <a:noFill/>
        <a:ln w="9525">
          <a:noFill/>
        </a:ln>
      </xdr:spPr>
    </xdr:pic>
    <xdr:clientData/>
  </xdr:twoCellAnchor>
  <xdr:twoCellAnchor editAs="oneCell">
    <xdr:from>
      <xdr:col>0</xdr:col>
      <xdr:colOff>171450</xdr:colOff>
      <xdr:row>61</xdr:row>
      <xdr:rowOff>19050</xdr:rowOff>
    </xdr:from>
    <xdr:to>
      <xdr:col>7</xdr:col>
      <xdr:colOff>523875</xdr:colOff>
      <xdr:row>62</xdr:row>
      <xdr:rowOff>76200</xdr:rowOff>
    </xdr:to>
    <xdr:pic>
      <xdr:nvPicPr>
        <xdr:cNvPr id="5" name="图片 4"/>
        <xdr:cNvPicPr>
          <a:picLocks noChangeAspect="1"/>
        </xdr:cNvPicPr>
      </xdr:nvPicPr>
      <xdr:blipFill>
        <a:blip r:embed="rId4"/>
        <a:stretch>
          <a:fillRect/>
        </a:stretch>
      </xdr:blipFill>
      <xdr:spPr>
        <a:xfrm>
          <a:off x="171450" y="10477500"/>
          <a:ext cx="5153025" cy="228600"/>
        </a:xfrm>
        <a:prstGeom prst="rect">
          <a:avLst/>
        </a:prstGeom>
        <a:noFill/>
        <a:ln w="9525">
          <a:noFill/>
        </a:ln>
      </xdr:spPr>
    </xdr:pic>
    <xdr:clientData/>
  </xdr:twoCellAnchor>
  <xdr:twoCellAnchor editAs="oneCell">
    <xdr:from>
      <xdr:col>0</xdr:col>
      <xdr:colOff>257175</xdr:colOff>
      <xdr:row>81</xdr:row>
      <xdr:rowOff>19050</xdr:rowOff>
    </xdr:from>
    <xdr:to>
      <xdr:col>6</xdr:col>
      <xdr:colOff>419100</xdr:colOff>
      <xdr:row>82</xdr:row>
      <xdr:rowOff>133350</xdr:rowOff>
    </xdr:to>
    <xdr:pic>
      <xdr:nvPicPr>
        <xdr:cNvPr id="6" name="图片 5"/>
        <xdr:cNvPicPr>
          <a:picLocks noChangeAspect="1"/>
        </xdr:cNvPicPr>
      </xdr:nvPicPr>
      <xdr:blipFill>
        <a:blip r:embed="rId5"/>
        <a:stretch>
          <a:fillRect/>
        </a:stretch>
      </xdr:blipFill>
      <xdr:spPr>
        <a:xfrm>
          <a:off x="257175" y="13906500"/>
          <a:ext cx="4276725" cy="285750"/>
        </a:xfrm>
        <a:prstGeom prst="rect">
          <a:avLst/>
        </a:prstGeom>
        <a:noFill/>
        <a:ln w="9525">
          <a:noFill/>
        </a:ln>
      </xdr:spPr>
    </xdr:pic>
    <xdr:clientData/>
  </xdr:twoCellAnchor>
  <xdr:twoCellAnchor editAs="oneCell">
    <xdr:from>
      <xdr:col>0</xdr:col>
      <xdr:colOff>209550</xdr:colOff>
      <xdr:row>82</xdr:row>
      <xdr:rowOff>142875</xdr:rowOff>
    </xdr:from>
    <xdr:to>
      <xdr:col>17</xdr:col>
      <xdr:colOff>609600</xdr:colOff>
      <xdr:row>98</xdr:row>
      <xdr:rowOff>152400</xdr:rowOff>
    </xdr:to>
    <xdr:pic>
      <xdr:nvPicPr>
        <xdr:cNvPr id="7" name="图片 6"/>
        <xdr:cNvPicPr>
          <a:picLocks noChangeAspect="1"/>
        </xdr:cNvPicPr>
      </xdr:nvPicPr>
      <xdr:blipFill>
        <a:blip r:embed="rId6"/>
        <a:stretch>
          <a:fillRect/>
        </a:stretch>
      </xdr:blipFill>
      <xdr:spPr>
        <a:xfrm>
          <a:off x="209550" y="14201775"/>
          <a:ext cx="12058650" cy="2752725"/>
        </a:xfrm>
        <a:prstGeom prst="rect">
          <a:avLst/>
        </a:prstGeom>
        <a:noFill/>
        <a:ln w="9525">
          <a:noFill/>
        </a:ln>
      </xdr:spPr>
    </xdr:pic>
    <xdr:clientData/>
  </xdr:twoCellAnchor>
  <xdr:twoCellAnchor editAs="oneCell">
    <xdr:from>
      <xdr:col>0</xdr:col>
      <xdr:colOff>238125</xdr:colOff>
      <xdr:row>99</xdr:row>
      <xdr:rowOff>152400</xdr:rowOff>
    </xdr:from>
    <xdr:to>
      <xdr:col>10</xdr:col>
      <xdr:colOff>343535</xdr:colOff>
      <xdr:row>101</xdr:row>
      <xdr:rowOff>149860</xdr:rowOff>
    </xdr:to>
    <xdr:pic>
      <xdr:nvPicPr>
        <xdr:cNvPr id="8" name="图片 7"/>
        <xdr:cNvPicPr>
          <a:picLocks noChangeAspect="1"/>
        </xdr:cNvPicPr>
      </xdr:nvPicPr>
      <xdr:blipFill>
        <a:blip r:embed="rId7"/>
        <a:stretch>
          <a:fillRect/>
        </a:stretch>
      </xdr:blipFill>
      <xdr:spPr>
        <a:xfrm>
          <a:off x="238125" y="17125950"/>
          <a:ext cx="6963410" cy="340360"/>
        </a:xfrm>
        <a:prstGeom prst="rect">
          <a:avLst/>
        </a:prstGeom>
        <a:noFill/>
        <a:ln w="9525">
          <a:noFill/>
        </a:ln>
      </xdr:spPr>
    </xdr:pic>
    <xdr:clientData/>
  </xdr:twoCellAnchor>
  <xdr:twoCellAnchor editAs="oneCell">
    <xdr:from>
      <xdr:col>0</xdr:col>
      <xdr:colOff>190500</xdr:colOff>
      <xdr:row>101</xdr:row>
      <xdr:rowOff>142875</xdr:rowOff>
    </xdr:from>
    <xdr:to>
      <xdr:col>17</xdr:col>
      <xdr:colOff>600075</xdr:colOff>
      <xdr:row>118</xdr:row>
      <xdr:rowOff>104775</xdr:rowOff>
    </xdr:to>
    <xdr:pic>
      <xdr:nvPicPr>
        <xdr:cNvPr id="9" name="图片 8"/>
        <xdr:cNvPicPr>
          <a:picLocks noChangeAspect="1"/>
        </xdr:cNvPicPr>
      </xdr:nvPicPr>
      <xdr:blipFill>
        <a:blip r:embed="rId8"/>
        <a:stretch>
          <a:fillRect/>
        </a:stretch>
      </xdr:blipFill>
      <xdr:spPr>
        <a:xfrm>
          <a:off x="190500" y="17459325"/>
          <a:ext cx="12068175" cy="2876550"/>
        </a:xfrm>
        <a:prstGeom prst="rect">
          <a:avLst/>
        </a:prstGeom>
        <a:noFill/>
        <a:ln w="9525">
          <a:noFill/>
        </a:ln>
      </xdr:spPr>
    </xdr:pic>
    <xdr:clientData/>
  </xdr:twoCellAnchor>
  <xdr:twoCellAnchor editAs="oneCell">
    <xdr:from>
      <xdr:col>0</xdr:col>
      <xdr:colOff>390525</xdr:colOff>
      <xdr:row>119</xdr:row>
      <xdr:rowOff>152400</xdr:rowOff>
    </xdr:from>
    <xdr:to>
      <xdr:col>15</xdr:col>
      <xdr:colOff>542925</xdr:colOff>
      <xdr:row>142</xdr:row>
      <xdr:rowOff>0</xdr:rowOff>
    </xdr:to>
    <xdr:pic>
      <xdr:nvPicPr>
        <xdr:cNvPr id="10" name="图片 9"/>
        <xdr:cNvPicPr>
          <a:picLocks noChangeAspect="1"/>
        </xdr:cNvPicPr>
      </xdr:nvPicPr>
      <xdr:blipFill>
        <a:blip r:embed="rId9"/>
        <a:stretch>
          <a:fillRect/>
        </a:stretch>
      </xdr:blipFill>
      <xdr:spPr>
        <a:xfrm>
          <a:off x="390525" y="20554950"/>
          <a:ext cx="10439400" cy="3790950"/>
        </a:xfrm>
        <a:prstGeom prst="rect">
          <a:avLst/>
        </a:prstGeom>
        <a:noFill/>
        <a:ln w="9525">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23828;&#38196;\&#24037;&#20316;\&#20854;&#20182;&#24037;&#20316;\&#25216;&#26415;&#24037;&#20316;\&#27169;&#29256;\&#25253;&#21578;&#21450;&#26041;&#27861;(&#26368;&#26032;)\&#35780;&#20272;&#26041;&#27861;\&#29616;&#34892;&#29256;&#26412;\&#12304;2021&#12305;&#23545;&#20844;&#20107;&#19994;&#37096;&#8212;&#30005;&#31639;&#34920;-&#25151;&#22320;&#20135;-&#39033;&#30446;.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致函链接"/>
      <sheetName val="预评函-封皮"/>
      <sheetName val="预评函-1"/>
      <sheetName val="预评函-2"/>
      <sheetName val="预评函-3"/>
      <sheetName val="预评函-4"/>
      <sheetName val="预评函-5"/>
      <sheetName val="使用说明"/>
      <sheetName val="估价师及机构信息"/>
      <sheetName val="定义"/>
      <sheetName val="项目基本情况"/>
      <sheetName val="数据-基础表"/>
      <sheetName val="抵押物清单（分楼）"/>
      <sheetName val="数据-汇总表"/>
      <sheetName val="数据-取费表"/>
      <sheetName val="估价对象房地状况"/>
      <sheetName val="系统读取表"/>
      <sheetName val="结果表"/>
      <sheetName val="成本法"/>
      <sheetName val="成本法 (元)"/>
      <sheetName val="假设开发法"/>
      <sheetName val="收益法"/>
      <sheetName val="收益法 (元)"/>
      <sheetName val="收益法（汇总）"/>
      <sheetName val="酒店收入计算"/>
      <sheetName val="比较法-住宅"/>
      <sheetName val="比较法-商业"/>
      <sheetName val="比较法-办公"/>
      <sheetName val="比较法-工业"/>
      <sheetName val="比较法-车位"/>
      <sheetName val="比较法-仓储"/>
      <sheetName val="土地比较法-住宅、综合"/>
      <sheetName val="土地比较法-工业"/>
      <sheetName val="基准地价修正"/>
      <sheetName val="修正"/>
      <sheetName val="容积率修正"/>
      <sheetName val="基准地价（汇总）"/>
      <sheetName val="地价"/>
      <sheetName val="典型户型修正"/>
      <sheetName val="成本法（废）"/>
      <sheetName val="区片价"/>
      <sheetName val="因素修正幅度"/>
      <sheetName val="存贷款利率"/>
      <sheetName val="区片价（范围）"/>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comments" Target="../comments2.xml"/></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comments" Target="../comments3.xml"/></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comments" Target="../comments4.xml"/></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comments" Target="../comments5.xml"/></Relationships>
</file>

<file path=xl/worksheets/_rels/sheet16.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comments" Target="../comments6.xml"/></Relationships>
</file>

<file path=xl/worksheets/_rels/sheet19.xml.rels><?xml version="1.0" encoding="UTF-8" standalone="yes"?>
<Relationships xmlns="http://schemas.openxmlformats.org/package/2006/relationships"><Relationship Id="rId2" Type="http://schemas.openxmlformats.org/officeDocument/2006/relationships/vmlDrawing" Target="../drawings/vmlDrawing11.vml"/><Relationship Id="rId1" Type="http://schemas.openxmlformats.org/officeDocument/2006/relationships/comments" Target="../comments7.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1.xml.rels><?xml version="1.0" encoding="UTF-8" standalone="yes"?>
<Relationships xmlns="http://schemas.openxmlformats.org/package/2006/relationships"><Relationship Id="rId2" Type="http://schemas.openxmlformats.org/officeDocument/2006/relationships/vmlDrawing" Target="../drawings/vmlDrawing12.vml"/><Relationship Id="rId1" Type="http://schemas.openxmlformats.org/officeDocument/2006/relationships/comments" Target="../comments8.xml"/></Relationships>
</file>

<file path=xl/worksheets/_rels/sheet23.xml.rels><?xml version="1.0" encoding="UTF-8" standalone="yes"?>
<Relationships xmlns="http://schemas.openxmlformats.org/package/2006/relationships"><Relationship Id="rId2" Type="http://schemas.openxmlformats.org/officeDocument/2006/relationships/vmlDrawing" Target="../drawings/vmlDrawing13.vml"/><Relationship Id="rId1" Type="http://schemas.openxmlformats.org/officeDocument/2006/relationships/comments" Target="../comments9.xml"/></Relationships>
</file>

<file path=xl/worksheets/_rels/sheet24.xml.rels><?xml version="1.0" encoding="UTF-8" standalone="yes"?>
<Relationships xmlns="http://schemas.openxmlformats.org/package/2006/relationships"><Relationship Id="rId2" Type="http://schemas.openxmlformats.org/officeDocument/2006/relationships/vmlDrawing" Target="../drawings/vmlDrawing14.vml"/><Relationship Id="rId1" Type="http://schemas.openxmlformats.org/officeDocument/2006/relationships/comments" Target="../comments10.xml"/></Relationships>
</file>

<file path=xl/worksheets/_rels/sheet25.xml.rels><?xml version="1.0" encoding="UTF-8" standalone="yes"?>
<Relationships xmlns="http://schemas.openxmlformats.org/package/2006/relationships"><Relationship Id="rId2" Type="http://schemas.openxmlformats.org/officeDocument/2006/relationships/vmlDrawing" Target="../drawings/vmlDrawing15.vml"/><Relationship Id="rId1" Type="http://schemas.openxmlformats.org/officeDocument/2006/relationships/comments" Target="../comments11.xml"/></Relationships>
</file>

<file path=xl/worksheets/_rels/sheet26.xml.rels><?xml version="1.0" encoding="UTF-8" standalone="yes"?>
<Relationships xmlns="http://schemas.openxmlformats.org/package/2006/relationships"><Relationship Id="rId2" Type="http://schemas.openxmlformats.org/officeDocument/2006/relationships/vmlDrawing" Target="../drawings/vmlDrawing16.vml"/><Relationship Id="rId1" Type="http://schemas.openxmlformats.org/officeDocument/2006/relationships/comments" Target="../comments12.xml"/></Relationships>
</file>

<file path=xl/worksheets/_rels/sheet27.xml.rels><?xml version="1.0" encoding="UTF-8" standalone="yes"?>
<Relationships xmlns="http://schemas.openxmlformats.org/package/2006/relationships"><Relationship Id="rId2" Type="http://schemas.openxmlformats.org/officeDocument/2006/relationships/vmlDrawing" Target="../drawings/vmlDrawing17.vml"/><Relationship Id="rId1" Type="http://schemas.openxmlformats.org/officeDocument/2006/relationships/comments" Target="../comments13.xml"/></Relationships>
</file>

<file path=xl/worksheets/_rels/sheet28.xml.rels><?xml version="1.0" encoding="UTF-8" standalone="yes"?>
<Relationships xmlns="http://schemas.openxmlformats.org/package/2006/relationships"><Relationship Id="rId2" Type="http://schemas.openxmlformats.org/officeDocument/2006/relationships/vmlDrawing" Target="../drawings/vmlDrawing18.vml"/><Relationship Id="rId1" Type="http://schemas.openxmlformats.org/officeDocument/2006/relationships/comments" Target="../comments14.xml"/></Relationships>
</file>

<file path=xl/worksheets/_rels/sheet29.xml.rels><?xml version="1.0" encoding="UTF-8" standalone="yes"?>
<Relationships xmlns="http://schemas.openxmlformats.org/package/2006/relationships"><Relationship Id="rId2" Type="http://schemas.openxmlformats.org/officeDocument/2006/relationships/vmlDrawing" Target="../drawings/vmlDrawing19.vml"/><Relationship Id="rId1" Type="http://schemas.openxmlformats.org/officeDocument/2006/relationships/comments" Target="../comments15.xml"/></Relationships>
</file>

<file path=xl/worksheets/_rels/sheet3.xml.rels><?xml version="1.0" encoding="UTF-8" standalone="yes"?>
<Relationships xmlns="http://schemas.openxmlformats.org/package/2006/relationships"><Relationship Id="rId1" Type="http://schemas.openxmlformats.org/officeDocument/2006/relationships/vmlDrawing" Target="../drawings/vmlDrawing1.vml"/></Relationships>
</file>

<file path=xl/worksheets/_rels/sheet30.xml.rels><?xml version="1.0" encoding="UTF-8" standalone="yes"?>
<Relationships xmlns="http://schemas.openxmlformats.org/package/2006/relationships"><Relationship Id="rId2" Type="http://schemas.openxmlformats.org/officeDocument/2006/relationships/vmlDrawing" Target="../drawings/vmlDrawing20.vml"/><Relationship Id="rId1" Type="http://schemas.openxmlformats.org/officeDocument/2006/relationships/comments" Target="../comments16.xml"/></Relationships>
</file>

<file path=xl/worksheets/_rels/sheet31.xml.rels><?xml version="1.0" encoding="UTF-8" standalone="yes"?>
<Relationships xmlns="http://schemas.openxmlformats.org/package/2006/relationships"><Relationship Id="rId2" Type="http://schemas.openxmlformats.org/officeDocument/2006/relationships/vmlDrawing" Target="../drawings/vmlDrawing21.vml"/><Relationship Id="rId1" Type="http://schemas.openxmlformats.org/officeDocument/2006/relationships/comments" Target="../comments17.xml"/></Relationships>
</file>

<file path=xl/worksheets/_rels/sheet4.xml.rels><?xml version="1.0" encoding="UTF-8" standalone="yes"?>
<Relationships xmlns="http://schemas.openxmlformats.org/package/2006/relationships"><Relationship Id="rId1"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1" Type="http://schemas.openxmlformats.org/officeDocument/2006/relationships/vmlDrawing" Target="../drawings/vmlDrawing3.vml"/></Relationships>
</file>

<file path=xl/worksheets/_rels/sheet6.xml.rels><?xml version="1.0" encoding="UTF-8" standalone="yes"?>
<Relationships xmlns="http://schemas.openxmlformats.org/package/2006/relationships"><Relationship Id="rId1" Type="http://schemas.openxmlformats.org/officeDocument/2006/relationships/vmlDrawing" Target="../drawings/vmlDrawing4.vml"/></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2060"/>
  </sheetPr>
  <dimension ref="A1:B70"/>
  <sheetViews>
    <sheetView zoomScale="80" zoomScaleNormal="80" topLeftCell="A10" workbookViewId="0">
      <selection activeCell="B10" sqref="B10"/>
    </sheetView>
  </sheetViews>
  <sheetFormatPr defaultColWidth="9" defaultRowHeight="15" outlineLevelCol="1"/>
  <cols>
    <col min="1" max="1" width="32.5" style="3570" customWidth="1"/>
    <col min="2" max="2" width="94.875" style="3571" customWidth="1"/>
    <col min="3" max="16384" width="9" style="3572"/>
  </cols>
  <sheetData>
    <row r="1" s="3568" customFormat="1" ht="16.5" spans="1:2">
      <c r="A1" s="3573" t="s">
        <v>0</v>
      </c>
      <c r="B1" s="3574" t="s">
        <v>1</v>
      </c>
    </row>
    <row r="2" s="3569" customFormat="1" ht="15.75" spans="1:2">
      <c r="A2" s="3575" t="s">
        <v>2</v>
      </c>
      <c r="B2" s="3576" t="str">
        <f>'预评函-封皮'!B9</f>
        <v>北京市预评估</v>
      </c>
    </row>
    <row r="3" s="3569" customFormat="1" spans="1:2">
      <c r="A3" s="3577" t="s">
        <v>3</v>
      </c>
      <c r="B3" s="3578" t="str">
        <f>'预评函-封皮'!B12</f>
        <v>xx</v>
      </c>
    </row>
    <row r="4" s="3569" customFormat="1" spans="1:2">
      <c r="A4" s="3577" t="s">
        <v>4</v>
      </c>
      <c r="B4" s="3578" t="str">
        <f ca="1">'预评函-封皮'!B18</f>
        <v>（注册号:0）、（注册号:0)</v>
      </c>
    </row>
    <row r="5" s="3568" customFormat="1" ht="15.75" spans="1:2">
      <c r="A5" s="3579" t="s">
        <v>5</v>
      </c>
      <c r="B5" s="3580" t="str">
        <f>'预评函-封皮'!B21</f>
        <v>康正预评字号</v>
      </c>
    </row>
    <row r="6" s="3569" customFormat="1" ht="15.75" spans="1:2">
      <c r="A6" s="3577" t="s">
        <v>6</v>
      </c>
      <c r="B6" s="3576" t="str">
        <f>'预评函-1'!A4</f>
        <v>受您的委托，我公司对北京市房地产进行了预评估。</v>
      </c>
    </row>
    <row r="7" spans="1:2">
      <c r="A7" s="3577" t="s">
        <v>7</v>
      </c>
      <c r="B7" s="3581" t="str">
        <f>'预评函-1'!A6</f>
        <v>估价对象为北京市房地产，为XX所有。根据《》[]，估价对象建筑面积为246.59平方米。根据《》[]，估价对象（分摊）出让国有建设用地使用权面积为平方米。估价对象用途为。</v>
      </c>
    </row>
    <row r="8" spans="1:2">
      <c r="A8" s="3577" t="s">
        <v>8</v>
      </c>
      <c r="B8" s="3581" t="str">
        <f>'预评函-1'!A8</f>
        <v>为估价委托人了解估价对象房地产市场价值提供参考依据。</v>
      </c>
    </row>
    <row r="9" spans="1:2">
      <c r="A9" s="3577" t="s">
        <v>9</v>
      </c>
      <c r="B9" s="3581" t="str">
        <f>'预评函-1'!A10</f>
        <v>2022年1月6日</v>
      </c>
    </row>
    <row r="10" spans="1:2">
      <c r="A10" s="3577" t="s">
        <v>10</v>
      </c>
      <c r="B10" s="3581" t="str">
        <f>'预评函-1'!A13</f>
        <v>本次估价的“房地产价值”是指在正常市场情况下，在价值时点2022年1月6日，估价对象规划用途为，假定未设立法定优先受偿款下的房地产市场价值。</v>
      </c>
    </row>
    <row r="11" spans="1:2">
      <c r="A11" s="3577" t="s">
        <v>11</v>
      </c>
      <c r="B11" s="3581"/>
    </row>
    <row r="12" spans="1:2">
      <c r="A12" s="3577" t="s">
        <v>12</v>
      </c>
      <c r="B12" s="3581" t="str">
        <f>'预评函-1'!A14</f>
        <v>本次估价的“房地产抵押价值”是指估价对象在价值时点的“房地产价值”扣减估价师于价值时点所知悉的法定优先受偿款后的余额。本次估价的“抵押担保权已注销时的房地产抵押价值”是指估价对象在价值时点的“房地产价值”扣减估价师于价值时点所知悉的除抵押担保权以外的其他法定优先受偿款后的余额。</v>
      </c>
    </row>
    <row r="13" spans="1:2">
      <c r="A13" s="3577" t="s">
        <v>13</v>
      </c>
      <c r="B13" s="3581" t="str">
        <f>'预评函-1'!A15</f>
        <v>IF(项目基本情况!D5="房地产市场价值","——","法定优先受偿款是指假定在价值时点实现抵押权时，法律规定优先于本次抵押贷款受偿的款额，包括发包人拖欠承包人的建筑工程款，已抵押担保的债权数额以及其他法定优先受偿款。")</v>
      </c>
    </row>
    <row r="14" spans="1:2">
      <c r="A14" s="3577" t="s">
        <v>14</v>
      </c>
      <c r="B14" s="3581" t="str">
        <f>'预评函-1'!A16</f>
        <v>本次估价的“抵押净值”是指估价对象“房地产抵押价值”减去估价对象在价值时点以“房地产销售收入”为基数计算的预计抵押权实现进行处置时需缴纳的各项费用、税金等相关费用后的价值。</v>
      </c>
    </row>
    <row r="15" s="3568" customFormat="1" ht="15.75" spans="1:2">
      <c r="A15" s="3579" t="s">
        <v>15</v>
      </c>
      <c r="B15" s="3582" t="str">
        <f>'预评函-1'!A18</f>
        <v>本次评估采用的主估价方法为比较法和收益法。</v>
      </c>
    </row>
    <row r="16" ht="15.75" spans="1:2">
      <c r="A16" s="3575" t="s">
        <v>16</v>
      </c>
      <c r="B16" s="3580" t="str">
        <f>'预评函-2（1）'!A2</f>
        <v>评估专业人员根据估价的目的，按照估价的程序，采用科学的估价方法，在认真分析现有资料的基础上，结合抵押贷款的特殊要求，通过仔细测算和认真分析各种影响房地产价格的因素，确定估价对象在价值时点的房地产预评估价值，详见估价结果一览表。</v>
      </c>
    </row>
    <row r="17" spans="1:2">
      <c r="A17" s="3577" t="s">
        <v>17</v>
      </c>
      <c r="B17" s="3581" t="str">
        <f>'预评函-2（1）'!B6</f>
        <v>北京市房地产</v>
      </c>
    </row>
    <row r="18" spans="1:2">
      <c r="A18" s="3577" t="s">
        <v>18</v>
      </c>
      <c r="B18" s="3581">
        <f>'预评函-2（1）'!C6</f>
        <v>246.59</v>
      </c>
    </row>
    <row r="19" spans="1:2">
      <c r="A19" s="3577" t="s">
        <v>19</v>
      </c>
      <c r="B19" s="3581">
        <f ca="1">'预评函-2（1）'!D7</f>
        <v>38130532</v>
      </c>
    </row>
    <row r="20" spans="1:2">
      <c r="A20" s="3577" t="s">
        <v>20</v>
      </c>
      <c r="B20" s="3581" t="str">
        <f>'预评函-2（1）'!C7</f>
        <v>总价（元）</v>
      </c>
    </row>
    <row r="21" spans="1:2">
      <c r="A21" s="3577" t="s">
        <v>21</v>
      </c>
      <c r="B21" s="3581">
        <f ca="1">'预评函-2（1）'!D9</f>
        <v>773580004</v>
      </c>
    </row>
    <row r="22" spans="1:2">
      <c r="A22" s="3577" t="s">
        <v>22</v>
      </c>
      <c r="B22" s="3581" t="str">
        <f ca="1">'预评函-2（1）'!D8</f>
        <v>叁仟捌佰壹拾叁万零伍佰叁拾贰元整</v>
      </c>
    </row>
    <row r="23" spans="1:2">
      <c r="A23" s="3577" t="s">
        <v>23</v>
      </c>
      <c r="B23" s="3581">
        <f>'预评函-2（1）'!D10</f>
        <v>0</v>
      </c>
    </row>
    <row r="24" spans="1:2">
      <c r="A24" s="3577" t="s">
        <v>24</v>
      </c>
      <c r="B24" s="3581" t="str">
        <f>'预评函-2（1）'!C10</f>
        <v>总额（元）</v>
      </c>
    </row>
    <row r="25" spans="1:2">
      <c r="A25" s="3577" t="s">
        <v>25</v>
      </c>
      <c r="B25" s="3581" t="str">
        <f>'预评函-2（1）'!D11</f>
        <v>零元整</v>
      </c>
    </row>
    <row r="26" spans="1:2">
      <c r="A26" s="3577" t="s">
        <v>26</v>
      </c>
      <c r="B26" s="3581">
        <f>'预评函-2（1）'!D12</f>
        <v>0</v>
      </c>
    </row>
    <row r="27" spans="1:2">
      <c r="A27" s="3577" t="s">
        <v>27</v>
      </c>
      <c r="B27" s="3581">
        <f>'预评函-2（1）'!D13</f>
        <v>0</v>
      </c>
    </row>
    <row r="28" spans="1:2">
      <c r="A28" s="3577" t="s">
        <v>28</v>
      </c>
      <c r="B28" s="3581">
        <f>'预评函-2（1）'!D14</f>
        <v>0</v>
      </c>
    </row>
    <row r="29" spans="1:2">
      <c r="A29" s="3577" t="s">
        <v>29</v>
      </c>
      <c r="B29" s="3581">
        <f ca="1">'预评函-2（1）'!D15</f>
        <v>38130532</v>
      </c>
    </row>
    <row r="30" spans="1:2">
      <c r="A30" s="3577" t="s">
        <v>30</v>
      </c>
      <c r="B30" s="3581" t="str">
        <f ca="1">'预评函-2（1）'!D16</f>
        <v>叁仟捌佰壹拾叁万零伍佰叁拾贰元整</v>
      </c>
    </row>
    <row r="31" spans="1:2">
      <c r="A31" s="3577" t="s">
        <v>31</v>
      </c>
      <c r="B31" s="3581" t="str">
        <f ca="1">'预评函-2（1）'!D18</f>
        <v>——</v>
      </c>
    </row>
    <row r="32" spans="1:2">
      <c r="A32" s="3577" t="s">
        <v>32</v>
      </c>
      <c r="B32" s="3581" t="e">
        <f ca="1">'预评函-2（1）'!D19</f>
        <v>#VALUE!</v>
      </c>
    </row>
    <row r="33" spans="1:2">
      <c r="A33" s="3577" t="s">
        <v>33</v>
      </c>
      <c r="B33" s="3581" t="str">
        <f ca="1">'预评函-2（1）'!D21</f>
        <v>——</v>
      </c>
    </row>
    <row r="34" spans="1:2">
      <c r="A34" s="3577" t="s">
        <v>34</v>
      </c>
      <c r="B34" s="3581" t="str">
        <f ca="1">'预评函-2（1）'!D23</f>
        <v>——</v>
      </c>
    </row>
    <row r="35" spans="1:2">
      <c r="A35" s="3577" t="s">
        <v>35</v>
      </c>
      <c r="B35" s="3581" t="e">
        <f ca="1">'预评函-2（1）'!D22</f>
        <v>#VALUE!</v>
      </c>
    </row>
    <row r="36" spans="1:2">
      <c r="A36" s="3577" t="s">
        <v>36</v>
      </c>
      <c r="B36" s="3581">
        <f>'预评函-2（2）'!C4</f>
        <v>0</v>
      </c>
    </row>
    <row r="37" spans="1:2">
      <c r="A37" s="3577" t="s">
        <v>37</v>
      </c>
      <c r="B37" s="3581">
        <f ca="1">'预评函-2（2）'!D4</f>
        <v>0</v>
      </c>
    </row>
    <row r="38" spans="1:2">
      <c r="A38" s="3577" t="s">
        <v>38</v>
      </c>
      <c r="B38" s="3581">
        <f ca="1">'预评函-2（2）'!E4</f>
        <v>0</v>
      </c>
    </row>
    <row r="39" spans="1:2">
      <c r="A39" s="3577" t="s">
        <v>39</v>
      </c>
      <c r="B39" s="3581" t="str">
        <f ca="1">'预评函-2（2）'!D5</f>
        <v>零元整</v>
      </c>
    </row>
    <row r="40" spans="1:2">
      <c r="A40" s="3577" t="s">
        <v>40</v>
      </c>
      <c r="B40" s="3581">
        <f ca="1">'预评函-2（2）'!F4</f>
        <v>0</v>
      </c>
    </row>
    <row r="41" spans="1:2">
      <c r="A41" s="3577" t="s">
        <v>41</v>
      </c>
      <c r="B41" s="3581">
        <f ca="1">'预评函-2（2）'!G4</f>
        <v>0</v>
      </c>
    </row>
    <row r="42" s="3568" customFormat="1" ht="15.75" spans="1:2">
      <c r="A42" s="3579" t="s">
        <v>42</v>
      </c>
      <c r="B42" s="3583" t="str">
        <f ca="1">'预评函-2（2）'!F5</f>
        <v>零元整</v>
      </c>
    </row>
    <row r="43" ht="15.75" spans="1:2">
      <c r="A43" s="3575" t="s">
        <v>43</v>
      </c>
      <c r="B43" s="3584" t="str">
        <f>'预评函-3'!A13</f>
        <v>2.本次评估设定估价对象房地产权属无争议，未被查封或者以其他形式限制其房地产权利，未设定抵押权等他项权利，不涉及第三方权利义务。</v>
      </c>
    </row>
    <row r="44" spans="1:2">
      <c r="A44" s="3577" t="s">
        <v>44</v>
      </c>
      <c r="B44" s="3581" t="str">
        <f>'预评函-3'!A14</f>
        <v>——</v>
      </c>
    </row>
    <row r="45" spans="1:2">
      <c r="A45" s="3577" t="s">
        <v>45</v>
      </c>
      <c r="B45" s="3581" t="str">
        <f>'预评函-3'!A15</f>
        <v>——</v>
      </c>
    </row>
    <row r="46" spans="1:2">
      <c r="A46" s="3577" t="s">
        <v>46</v>
      </c>
      <c r="B46" s="3581" t="str">
        <f>'预评函-3'!A16</f>
        <v>——</v>
      </c>
    </row>
    <row r="47" spans="1:2">
      <c r="A47" s="3577" t="s">
        <v>47</v>
      </c>
      <c r="B47" s="3581" t="str">
        <f>'预评函-3'!A17</f>
        <v>根据《北京市已购公有住房上市出售实施办法》，上市出售按房改成本价购买的公有住房，须按当年房改成本价1%补缴土地出让金后可办理商品房房屋所有权证，即累计应交1794元人民币（具体结算金额以相关部门核定为准）。因此，估价师所知悉的法定优先受偿款为1794元。</v>
      </c>
    </row>
    <row r="48" spans="1:2">
      <c r="A48" s="3577" t="s">
        <v>48</v>
      </c>
      <c r="B48" s="3581" t="str">
        <f>'预评函-3'!A18</f>
        <v>——</v>
      </c>
    </row>
    <row r="49" spans="1:2">
      <c r="A49" s="3577" t="s">
        <v>49</v>
      </c>
      <c r="B49" s="3581" t="str">
        <f>'预评函-3'!A19</f>
        <v>3.本《评估意见函》中数据全部采用电算化连续计算得出，由于在报告中计算的数据均按四舍五入保留两位小数或取整，故可能出现个别等式左右不完全相等的情况，但不影响计算结果及最终评估结论的准确性。</v>
      </c>
    </row>
    <row r="50" spans="1:2">
      <c r="A50" s="3577" t="s">
        <v>50</v>
      </c>
      <c r="B50" s="3581" t="str">
        <f>'预评函-3'!A20</f>
        <v>6.其他需特殊说明事项：（没有时删除此项；注意修改序号）</v>
      </c>
    </row>
    <row r="51" s="3568" customFormat="1" spans="1:2">
      <c r="A51" s="3579" t="s">
        <v>51</v>
      </c>
      <c r="B51" s="3585">
        <f>'预评函-3'!D29</f>
        <v>42551</v>
      </c>
    </row>
    <row r="52" ht="15.75" spans="1:2">
      <c r="A52" s="3575" t="s">
        <v>52</v>
      </c>
      <c r="B52" s="3586">
        <f>'预评函-3'!A4</f>
        <v>0</v>
      </c>
    </row>
    <row r="53" spans="1:2">
      <c r="A53" s="3577" t="s">
        <v>53</v>
      </c>
      <c r="B53" s="3581">
        <f ca="1">'预评函-3'!B4</f>
        <v>0</v>
      </c>
    </row>
    <row r="54" spans="1:2">
      <c r="A54" s="3577" t="s">
        <v>54</v>
      </c>
      <c r="B54" s="3587">
        <f>'预评函-3'!A5</f>
        <v>0</v>
      </c>
    </row>
    <row r="55" s="3568" customFormat="1" ht="15.75" spans="1:2">
      <c r="A55" s="3579" t="s">
        <v>55</v>
      </c>
      <c r="B55" s="3583">
        <f ca="1">'预评函-3'!B5</f>
        <v>0</v>
      </c>
    </row>
    <row r="56" ht="15.75" spans="1:2">
      <c r="A56" s="3588" t="s">
        <v>56</v>
      </c>
      <c r="B56" s="3581" t="str">
        <f>'预评函-2（1）'!B15</f>
        <v>3.房地产抵押价值</v>
      </c>
    </row>
    <row r="57" spans="1:2">
      <c r="A57" s="3588" t="s">
        <v>57</v>
      </c>
      <c r="B57" s="3581" t="str">
        <f>'预评函-2（1）'!B18</f>
        <v>——</v>
      </c>
    </row>
    <row r="58" s="3568" customFormat="1" ht="15.75" spans="1:2">
      <c r="A58" s="3589" t="s">
        <v>58</v>
      </c>
      <c r="B58" s="3582" t="str">
        <f>'预评函-2（1）'!B21</f>
        <v>——</v>
      </c>
    </row>
    <row r="59" ht="15.75" spans="1:2">
      <c r="A59" s="3590" t="s">
        <v>59</v>
      </c>
      <c r="B59" s="3578" t="str">
        <f>'预评函-2（1）'!B45</f>
        <v>单位：元、元/平方米（单位：人民币）</v>
      </c>
    </row>
    <row r="60" spans="1:2">
      <c r="A60" s="3588" t="s">
        <v>60</v>
      </c>
      <c r="B60" s="3581" t="str">
        <f>'预评函-2（2）'!D2</f>
        <v>出让国有建设用地使用权价值</v>
      </c>
    </row>
    <row r="61" s="3569" customFormat="1" spans="1:2">
      <c r="A61" s="3588" t="s">
        <v>61</v>
      </c>
      <c r="B61" s="3581" t="str">
        <f>'预评函-2（2）'!A14</f>
        <v>单位：平方米、元、元/平方米（币种：人民币）</v>
      </c>
    </row>
    <row r="62" ht="28.5" spans="1:2">
      <c r="A62" s="3588" t="s">
        <v>62</v>
      </c>
      <c r="B62" s="3581">
        <f ca="1">'预评函-2（1）'!D38</f>
        <v>773580004</v>
      </c>
    </row>
    <row r="63" s="3569" customFormat="1" ht="28.5" spans="1:2">
      <c r="A63" s="3588" t="s">
        <v>63</v>
      </c>
      <c r="B63" s="3581" t="str">
        <f ca="1">'预评函-2（1）'!D41</f>
        <v>——</v>
      </c>
    </row>
    <row r="64" spans="1:2">
      <c r="A64" s="3588" t="s">
        <v>64</v>
      </c>
      <c r="B64" s="3581" t="str">
        <f>'预评函-2（2）'!A6</f>
        <v>估价师所知悉的法定优先受偿款</v>
      </c>
    </row>
    <row r="65" spans="1:2">
      <c r="A65" s="3588" t="s">
        <v>65</v>
      </c>
      <c r="B65" s="3581" t="str">
        <f>'预评函-2（2）'!A8</f>
        <v>房地产抵押价值</v>
      </c>
    </row>
    <row r="66" spans="1:2">
      <c r="A66" s="3588" t="s">
        <v>66</v>
      </c>
      <c r="B66" s="3581" t="str">
        <f>'预评函-2（2）'!A10</f>
        <v/>
      </c>
    </row>
    <row r="67" s="3568" customFormat="1" ht="15.75" spans="1:2">
      <c r="A67" s="3589" t="s">
        <v>67</v>
      </c>
      <c r="B67" s="3582" t="str">
        <f>'预评函-2（2）'!A12</f>
        <v/>
      </c>
    </row>
    <row r="68" ht="15.75" spans="1:2">
      <c r="A68" s="3570" t="s">
        <v>68</v>
      </c>
      <c r="B68" s="3571" t="str">
        <f>'预评函-3'!A9</f>
        <v>XX</v>
      </c>
    </row>
    <row r="69" spans="1:1">
      <c r="A69" s="3577" t="s">
        <v>69</v>
      </c>
    </row>
    <row r="70" spans="1:1">
      <c r="A70" s="3577" t="s">
        <v>70</v>
      </c>
    </row>
  </sheetData>
  <sheetProtection password="C66D" sheet="1" objects="1" scenarios="1"/>
  <pageMargins left="0.7" right="0.7" top="0.75" bottom="0.75" header="0.3" footer="0.3"/>
  <pageSetup paperSize="9" orientation="portrait"/>
  <headerFooter/>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tabColor rgb="FFFFFF00"/>
  </sheetPr>
  <dimension ref="A1:BN63"/>
  <sheetViews>
    <sheetView view="pageBreakPreview" zoomScale="80" zoomScaleNormal="100" topLeftCell="B1" workbookViewId="0">
      <selection activeCell="D3" sqref="D3"/>
    </sheetView>
  </sheetViews>
  <sheetFormatPr defaultColWidth="10" defaultRowHeight="12.75"/>
  <cols>
    <col min="1" max="1" width="18.625" style="3241" customWidth="1"/>
    <col min="2" max="2" width="15" style="3241" customWidth="1"/>
    <col min="3" max="3" width="14.125" style="3241" customWidth="1"/>
    <col min="4" max="4" width="12.5" style="3241" customWidth="1"/>
    <col min="5" max="5" width="13.875" style="3241" customWidth="1"/>
    <col min="6" max="6" width="15" style="3241" customWidth="1"/>
    <col min="7" max="7" width="14.875" style="3241" customWidth="1"/>
    <col min="8" max="8" width="4.25" style="3242" customWidth="1"/>
    <col min="9" max="10" width="10" style="3242" customWidth="1"/>
    <col min="11" max="13" width="10" style="3243" customWidth="1"/>
    <col min="14" max="15" width="10" style="3242" customWidth="1"/>
    <col min="16" max="17" width="10" style="3242"/>
    <col min="18" max="18" width="10" style="3242" customWidth="1"/>
    <col min="19" max="66" width="10" style="3242"/>
    <col min="67" max="16384" width="10" style="3241"/>
  </cols>
  <sheetData>
    <row r="1" ht="13.5" spans="1:17">
      <c r="A1" s="3244" t="s">
        <v>331</v>
      </c>
      <c r="B1" s="3245" t="str">
        <f>IF(B6="北京市","北京市",C6)&amp;IF(E12="房屋所有权证",B29,E29)&amp;D5&amp;"预评估"</f>
        <v>北京市预评估</v>
      </c>
      <c r="C1" s="3246"/>
      <c r="D1" s="3246"/>
      <c r="E1" s="3246"/>
      <c r="F1" s="3247" t="s">
        <v>332</v>
      </c>
      <c r="G1" s="3248"/>
      <c r="I1" s="3380" t="str">
        <f>IF(B6="北京市","北京市",C6)&amp;IF(E12="房屋所有权证",B29,E29)&amp;"房地产"</f>
        <v>北京市房地产</v>
      </c>
      <c r="J1" s="3381"/>
      <c r="K1" s="3382"/>
      <c r="L1" s="3382"/>
      <c r="M1" s="3382"/>
      <c r="N1" s="3381"/>
      <c r="O1" s="3381"/>
      <c r="P1" s="3381"/>
      <c r="Q1" s="3381"/>
    </row>
    <row r="2" ht="13.5" spans="1:8">
      <c r="A2" s="3249" t="s">
        <v>333</v>
      </c>
      <c r="B2" s="3250"/>
      <c r="C2" s="3251" t="s">
        <v>334</v>
      </c>
      <c r="D2" s="3250">
        <v>44567</v>
      </c>
      <c r="E2" s="3252"/>
      <c r="F2" s="3252"/>
      <c r="G2" s="3253"/>
      <c r="H2" s="3254"/>
    </row>
    <row r="3" ht="13.5" spans="1:8">
      <c r="A3" s="3255" t="s">
        <v>335</v>
      </c>
      <c r="B3" s="3256"/>
      <c r="C3" s="3257">
        <f ca="1">SUMIF(注册房地产估价师,B3,估价师及机构信息!B3:B16)</f>
        <v>0</v>
      </c>
      <c r="D3" s="3256"/>
      <c r="E3" s="3258">
        <f ca="1">SUMIF(注册房地产估价师,D3,估价师及机构信息!B3:B16)</f>
        <v>0</v>
      </c>
      <c r="F3" s="3259"/>
      <c r="G3" s="3260"/>
      <c r="H3" s="3254"/>
    </row>
    <row r="4" ht="13.5" customHeight="1" spans="1:7">
      <c r="A4" s="3249" t="s">
        <v>336</v>
      </c>
      <c r="B4" s="3261" t="s">
        <v>337</v>
      </c>
      <c r="C4" s="3262" t="s">
        <v>338</v>
      </c>
      <c r="D4" s="3263"/>
      <c r="E4" s="3252"/>
      <c r="F4" s="3252"/>
      <c r="G4" s="3253"/>
    </row>
    <row r="5" spans="1:17">
      <c r="A5" s="3264" t="s">
        <v>339</v>
      </c>
      <c r="B5" s="3265" t="s">
        <v>120</v>
      </c>
      <c r="C5" s="3266" t="s">
        <v>340</v>
      </c>
      <c r="D5" s="3267"/>
      <c r="E5" s="3268" t="s">
        <v>341</v>
      </c>
      <c r="F5" s="3267"/>
      <c r="G5" s="3269"/>
      <c r="I5" s="3380" t="str">
        <f>IF(C16="否","截至估价时点，估价对象抵押权未见登记。","截至价值时点，估价对象已设定抵押。")</f>
        <v>截至价值时点，估价对象已设定抵押。</v>
      </c>
      <c r="J5" s="3381"/>
      <c r="K5" s="3382"/>
      <c r="L5" s="3382"/>
      <c r="M5" s="3382"/>
      <c r="N5" s="3381"/>
      <c r="O5" s="3381"/>
      <c r="P5" s="3381"/>
      <c r="Q5" s="3381"/>
    </row>
    <row r="6" spans="1:17">
      <c r="A6" s="3270" t="s">
        <v>342</v>
      </c>
      <c r="B6" s="3271" t="s">
        <v>343</v>
      </c>
      <c r="C6" s="3272" t="s">
        <v>120</v>
      </c>
      <c r="D6" s="3273" t="s">
        <v>344</v>
      </c>
      <c r="E6" s="3274"/>
      <c r="F6" s="3274"/>
      <c r="G6" s="3275"/>
      <c r="I6" s="3381" t="str">
        <f>IF(COUNTIF(B5,"*上海银行*"),"上海银行","")</f>
        <v/>
      </c>
      <c r="J6" s="3381"/>
      <c r="K6" s="3382"/>
      <c r="L6" s="3382"/>
      <c r="M6" s="3382"/>
      <c r="N6" s="3381"/>
      <c r="O6" s="3381"/>
      <c r="P6" s="3381"/>
      <c r="Q6" s="3381"/>
    </row>
    <row r="7" ht="13.5" spans="1:7">
      <c r="A7" s="3276" t="s">
        <v>345</v>
      </c>
      <c r="B7" s="3277" t="s">
        <v>346</v>
      </c>
      <c r="C7" s="2098" t="str">
        <f>IF(B7="自然人","姓名","名称")</f>
        <v>姓名</v>
      </c>
      <c r="D7" s="3278" t="s">
        <v>120</v>
      </c>
      <c r="E7" s="3259"/>
      <c r="F7" s="3259"/>
      <c r="G7" s="3260"/>
    </row>
    <row r="8" ht="13.5" spans="1:7">
      <c r="A8" s="3279" t="s">
        <v>347</v>
      </c>
      <c r="B8" s="3280" t="s">
        <v>348</v>
      </c>
      <c r="C8" s="3281">
        <v>201</v>
      </c>
      <c r="D8" s="3282"/>
      <c r="E8" s="3283" t="s">
        <v>349</v>
      </c>
      <c r="F8" s="3284" t="s">
        <v>350</v>
      </c>
      <c r="G8" s="3285" t="str">
        <f>C6</f>
        <v>XX</v>
      </c>
    </row>
    <row r="9" spans="1:7">
      <c r="A9" s="3279"/>
      <c r="B9" s="2119" t="s">
        <v>351</v>
      </c>
      <c r="C9" s="3265"/>
      <c r="D9" s="3286"/>
      <c r="E9" s="3287" t="s">
        <v>352</v>
      </c>
      <c r="F9" s="3288"/>
      <c r="G9" s="3289"/>
    </row>
    <row r="10" ht="13.5" spans="1:7">
      <c r="A10" s="3279"/>
      <c r="B10" s="2119" t="s">
        <v>353</v>
      </c>
      <c r="C10" s="3290"/>
      <c r="D10" s="3291"/>
      <c r="E10" s="3292" t="s">
        <v>354</v>
      </c>
      <c r="F10" s="3293"/>
      <c r="G10" s="3294"/>
    </row>
    <row r="11" ht="13.5" spans="1:7">
      <c r="A11" s="3279"/>
      <c r="B11" s="2075" t="s">
        <v>355</v>
      </c>
      <c r="C11" s="3295"/>
      <c r="D11" s="3296"/>
      <c r="E11" s="3274"/>
      <c r="F11" s="3274"/>
      <c r="G11" s="3275"/>
    </row>
    <row r="12" ht="13.5" spans="1:7">
      <c r="A12" s="3297" t="s">
        <v>356</v>
      </c>
      <c r="B12" s="3298" t="s">
        <v>357</v>
      </c>
      <c r="C12" s="3299">
        <v>246.59</v>
      </c>
      <c r="D12" s="3300" t="s">
        <v>358</v>
      </c>
      <c r="E12" s="3301"/>
      <c r="F12" s="3302"/>
      <c r="G12" s="3275"/>
    </row>
    <row r="13" ht="21" customHeight="1" spans="1:17">
      <c r="A13" s="3303"/>
      <c r="B13" s="3304" t="s">
        <v>359</v>
      </c>
      <c r="C13" s="3305"/>
      <c r="D13" s="3306" t="s">
        <v>358</v>
      </c>
      <c r="E13" s="3307"/>
      <c r="F13" s="3274"/>
      <c r="G13" s="3275"/>
      <c r="I13" s="3274" t="s">
        <v>360</v>
      </c>
      <c r="J13" s="3383" t="str">
        <f>"根据估价对象"&amp;IF(B19="——",B18&amp;C18,B18&amp;C18&amp;"、"&amp;B19&amp;C19)&amp;"，"&amp;IF(C16="是","截至价值时点，估价对象已设定抵押。","截至价值时点，估价对象抵押权未见登记。")</f>
        <v>根据估价对象、，截至价值时点，估价对象抵押权未见登记。</v>
      </c>
      <c r="K13" s="3382"/>
      <c r="L13" s="3382"/>
      <c r="M13" s="3382"/>
      <c r="N13" s="3381"/>
      <c r="O13" s="3381"/>
      <c r="P13" s="3381"/>
      <c r="Q13" s="3381"/>
    </row>
    <row r="14" ht="13.5" spans="1:17">
      <c r="A14" s="3308"/>
      <c r="B14" s="3300" t="s">
        <v>361</v>
      </c>
      <c r="C14" s="3309"/>
      <c r="D14" s="3274"/>
      <c r="E14" s="3274"/>
      <c r="F14" s="3274"/>
      <c r="G14" s="3275"/>
      <c r="I14" s="3274"/>
      <c r="J14" s="3383" t="str">
        <f>IF(C16="否","",IF(E16="是","上述抵押权设定日期为"&amp;TEXT(C20,"yyyy年m月d日;;")&amp;"，权利人为"&amp;C21&amp;"，权利范围为"&amp;C22&amp;"，权利价值为"&amp;C23&amp;"。",IF(AND(E16="否",G16="是"),"上述权属证件中未登记该抵押权的具体情况（债权数额、期限等）。根据"&amp;IF(D18="","不动产权利人出具的"&amp;F18,D18&amp;E18)&amp;"，估价对象已抵押给"&amp;E21&amp;"，权利范围为"&amp;E22&amp;"，权利价值为"&amp;E23&amp;"。","上述权属证件中未登记该抵押权的具体情况（债权数额、期限等），且不动产权利人也未提供相关权利价值的说明。本次评估以在办理本次抵押登记手续前先办理上述抵押登记注销手续为假设前提，估价结果为设定上述抵押担保权已注销时的房地产抵押价值。")))</f>
        <v>上述权属证件中未登记该抵押权的具体情况（债权数额、期限等），且不动产权利人也未提供相关权利价值的说明。本次评估以在办理本次抵押登记手续前先办理上述抵押登记注销手续为假设前提，估价结果为设定上述抵押担保权已注销时的房地产抵押价值。</v>
      </c>
      <c r="K14" s="3382"/>
      <c r="L14" s="3382"/>
      <c r="M14" s="3382"/>
      <c r="N14" s="3381"/>
      <c r="O14" s="3381"/>
      <c r="P14" s="3381"/>
      <c r="Q14" s="3381"/>
    </row>
    <row r="15" ht="13.5" spans="1:17">
      <c r="A15" s="3310"/>
      <c r="B15" s="3311" t="s">
        <v>362</v>
      </c>
      <c r="C15" s="3312"/>
      <c r="D15" s="3259"/>
      <c r="E15" s="3259"/>
      <c r="F15" s="3259"/>
      <c r="G15" s="3260"/>
      <c r="I15" s="3274"/>
      <c r="J15" s="3383" t="str">
        <f>IF(E16="否","",IF(结果表!D36="同一抵押权人同一抵押物续贷","由于本次评估为同一抵押权人的续贷房地产抵押估价，故未将已抵押担保的债权数额（"&amp;C23&amp;"）作为法定优先受偿款予以扣减。",IF(结果表!D36="注销后放款","根据不动产权利人介绍，不动产权利人将在办理本次抵押登记手续前先办理上述抵押登记注销手续。因此，本次评估以在办理本次抵押登记手续前先办理上述抵押登记注销手续为假设前提，估价结果为设定上述抵押担保权已注销时的房地产抵押价值。","")))</f>
        <v/>
      </c>
      <c r="K15" s="3382"/>
      <c r="L15" s="3382"/>
      <c r="M15" s="3382"/>
      <c r="N15" s="3381"/>
      <c r="O15" s="3381"/>
      <c r="P15" s="3381"/>
      <c r="Q15" s="3381"/>
    </row>
    <row r="16" ht="25.5" spans="1:10">
      <c r="A16" s="3308" t="s">
        <v>363</v>
      </c>
      <c r="B16" s="3313" t="s">
        <v>364</v>
      </c>
      <c r="C16" s="3314"/>
      <c r="D16" s="3303" t="s">
        <v>365</v>
      </c>
      <c r="E16" s="3315"/>
      <c r="F16" s="3316" t="str">
        <f>IF(AND(C16="是",E16="否"),"是否提供他项权证或相关说明","")</f>
        <v/>
      </c>
      <c r="G16" s="3315"/>
      <c r="J16" s="3254"/>
    </row>
    <row r="17" ht="13.5" customHeight="1" spans="1:10">
      <c r="A17" s="3317" t="s">
        <v>366</v>
      </c>
      <c r="B17" s="3318" t="s">
        <v>367</v>
      </c>
      <c r="C17" s="3319"/>
      <c r="D17" s="3320" t="s">
        <v>368</v>
      </c>
      <c r="E17" s="3321"/>
      <c r="F17" s="3322" t="s">
        <v>369</v>
      </c>
      <c r="G17" s="3323"/>
      <c r="J17" s="3254"/>
    </row>
    <row r="18" ht="24" spans="1:10">
      <c r="A18" s="3317"/>
      <c r="B18" s="3324"/>
      <c r="C18" s="3269"/>
      <c r="D18" s="3325" t="s">
        <v>370</v>
      </c>
      <c r="E18" s="3326"/>
      <c r="F18" s="3327"/>
      <c r="G18" s="3328"/>
      <c r="H18" s="3254"/>
      <c r="J18" s="3254"/>
    </row>
    <row r="19" ht="21.75" customHeight="1" spans="1:7">
      <c r="A19" s="3317"/>
      <c r="B19" s="3329"/>
      <c r="C19" s="3307"/>
      <c r="D19" s="3317"/>
      <c r="E19" s="3274"/>
      <c r="F19" s="3274"/>
      <c r="G19" s="3328"/>
    </row>
    <row r="20" spans="1:7">
      <c r="A20" s="3323" t="s">
        <v>371</v>
      </c>
      <c r="B20" s="3330" t="s">
        <v>372</v>
      </c>
      <c r="C20" s="3331"/>
      <c r="D20" s="3332" t="s">
        <v>372</v>
      </c>
      <c r="E20" s="3331"/>
      <c r="F20" s="3274"/>
      <c r="G20" s="3328"/>
    </row>
    <row r="21" spans="1:7">
      <c r="A21" s="3328"/>
      <c r="B21" s="3333" t="s">
        <v>373</v>
      </c>
      <c r="C21" s="3291"/>
      <c r="D21" s="3317" t="s">
        <v>373</v>
      </c>
      <c r="E21" s="3334"/>
      <c r="F21" s="3274"/>
      <c r="G21" s="3328"/>
    </row>
    <row r="22" spans="1:7">
      <c r="A22" s="3328"/>
      <c r="B22" s="3274" t="s">
        <v>374</v>
      </c>
      <c r="C22" s="3335"/>
      <c r="D22" s="3274" t="s">
        <v>374</v>
      </c>
      <c r="E22" s="3334"/>
      <c r="F22" s="3274"/>
      <c r="G22" s="3328"/>
    </row>
    <row r="23" s="3237" customFormat="1" ht="16.5" spans="1:66">
      <c r="A23" s="3336"/>
      <c r="B23" s="3337" t="s">
        <v>375</v>
      </c>
      <c r="C23" s="3305"/>
      <c r="D23" s="3337" t="s">
        <v>375</v>
      </c>
      <c r="E23" s="3338"/>
      <c r="F23" s="3337"/>
      <c r="G23" s="3336"/>
      <c r="H23" s="3339"/>
      <c r="I23" s="3339"/>
      <c r="J23" s="3339"/>
      <c r="K23" s="3384"/>
      <c r="L23" s="3384"/>
      <c r="M23" s="3384"/>
      <c r="N23" s="3384"/>
      <c r="O23" s="3384"/>
      <c r="P23" s="3384"/>
      <c r="Q23" s="3339"/>
      <c r="R23" s="3339"/>
      <c r="S23" s="3339"/>
      <c r="T23" s="3339"/>
      <c r="U23" s="3339"/>
      <c r="V23" s="3339"/>
      <c r="W23" s="3339"/>
      <c r="X23" s="3339"/>
      <c r="Y23" s="3339"/>
      <c r="Z23" s="3339"/>
      <c r="AA23" s="3339"/>
      <c r="AB23" s="3339"/>
      <c r="AC23" s="3339"/>
      <c r="AD23" s="3339"/>
      <c r="AE23" s="3339"/>
      <c r="AF23" s="3339"/>
      <c r="AG23" s="3339"/>
      <c r="AH23" s="3339"/>
      <c r="AI23" s="3339"/>
      <c r="AJ23" s="3339"/>
      <c r="AK23" s="3339"/>
      <c r="AL23" s="3339"/>
      <c r="AM23" s="3339"/>
      <c r="AN23" s="3339"/>
      <c r="AO23" s="3339"/>
      <c r="AP23" s="3339"/>
      <c r="AQ23" s="3339"/>
      <c r="AR23" s="3339"/>
      <c r="AS23" s="3339"/>
      <c r="AT23" s="3339"/>
      <c r="AU23" s="3339"/>
      <c r="AV23" s="3339"/>
      <c r="AW23" s="3339"/>
      <c r="AX23" s="3339"/>
      <c r="AY23" s="3339"/>
      <c r="AZ23" s="3339"/>
      <c r="BA23" s="3339"/>
      <c r="BB23" s="3339"/>
      <c r="BC23" s="3339"/>
      <c r="BD23" s="3339"/>
      <c r="BE23" s="3339"/>
      <c r="BF23" s="3339"/>
      <c r="BG23" s="3339"/>
      <c r="BH23" s="3339"/>
      <c r="BI23" s="3339"/>
      <c r="BJ23" s="3339"/>
      <c r="BK23" s="3339"/>
      <c r="BL23" s="3339"/>
      <c r="BM23" s="3339"/>
      <c r="BN23" s="3339"/>
    </row>
    <row r="24" s="3238" customFormat="1" ht="18" customHeight="1" spans="1:66">
      <c r="A24" s="3340" t="s">
        <v>376</v>
      </c>
      <c r="B24" s="3340"/>
      <c r="C24" s="3340"/>
      <c r="D24" s="3340"/>
      <c r="E24" s="3340"/>
      <c r="F24" s="3340"/>
      <c r="G24" s="3340"/>
      <c r="H24" s="3341"/>
      <c r="I24" s="3341"/>
      <c r="J24" s="3341"/>
      <c r="K24" s="3385"/>
      <c r="L24" s="3385"/>
      <c r="M24" s="3385"/>
      <c r="N24" s="3385"/>
      <c r="O24" s="3385"/>
      <c r="P24" s="3385"/>
      <c r="Q24" s="3388"/>
      <c r="R24" s="3388"/>
      <c r="S24" s="3388"/>
      <c r="T24" s="3388"/>
      <c r="U24" s="3388"/>
      <c r="V24" s="3388"/>
      <c r="W24" s="3388"/>
      <c r="X24" s="3388"/>
      <c r="Y24" s="3388"/>
      <c r="Z24" s="3388"/>
      <c r="AA24" s="3388"/>
      <c r="AB24" s="3388"/>
      <c r="AC24" s="3388"/>
      <c r="AD24" s="3388"/>
      <c r="AE24" s="3388"/>
      <c r="AF24" s="3388"/>
      <c r="AG24" s="3388"/>
      <c r="AH24" s="3388"/>
      <c r="AI24" s="3388"/>
      <c r="AJ24" s="3388"/>
      <c r="AK24" s="3388"/>
      <c r="AL24" s="3388"/>
      <c r="AM24" s="3388"/>
      <c r="AN24" s="3388"/>
      <c r="AO24" s="3388"/>
      <c r="AP24" s="3388"/>
      <c r="AQ24" s="3388"/>
      <c r="AR24" s="3388"/>
      <c r="AS24" s="3388"/>
      <c r="AT24" s="3388"/>
      <c r="AU24" s="3388"/>
      <c r="AV24" s="3388"/>
      <c r="AW24" s="3388"/>
      <c r="AX24" s="3388"/>
      <c r="AY24" s="3388"/>
      <c r="AZ24" s="3388"/>
      <c r="BA24" s="3388"/>
      <c r="BB24" s="3388"/>
      <c r="BC24" s="3388"/>
      <c r="BD24" s="3388"/>
      <c r="BE24" s="3388"/>
      <c r="BF24" s="3388"/>
      <c r="BG24" s="3388"/>
      <c r="BH24" s="3388"/>
      <c r="BI24" s="3388"/>
      <c r="BJ24" s="3388"/>
      <c r="BK24" s="3388"/>
      <c r="BL24" s="3388"/>
      <c r="BM24" s="3388"/>
      <c r="BN24" s="3388"/>
    </row>
    <row r="25" ht="14.25" spans="1:11">
      <c r="A25" s="3342" t="s">
        <v>377</v>
      </c>
      <c r="B25" s="3274"/>
      <c r="C25" s="3274"/>
      <c r="D25" s="3274"/>
      <c r="E25" s="3274"/>
      <c r="F25" s="3274"/>
      <c r="G25" s="3336"/>
      <c r="K25" s="3242"/>
    </row>
    <row r="26" s="3239" customFormat="1" ht="13.5" spans="1:66">
      <c r="A26" s="3343"/>
      <c r="B26" s="3344" t="s">
        <v>378</v>
      </c>
      <c r="C26" s="3343"/>
      <c r="D26" s="3344"/>
      <c r="E26" s="3345" t="s">
        <v>379</v>
      </c>
      <c r="F26" s="3343"/>
      <c r="G26" s="3346" t="s">
        <v>380</v>
      </c>
      <c r="H26" s="3347"/>
      <c r="I26" s="3347"/>
      <c r="J26" s="3347"/>
      <c r="K26" s="3347"/>
      <c r="L26" s="3386"/>
      <c r="M26" s="3386"/>
      <c r="N26" s="3347"/>
      <c r="O26" s="3347"/>
      <c r="P26" s="3347"/>
      <c r="Q26" s="3347"/>
      <c r="R26" s="3347"/>
      <c r="S26" s="3347"/>
      <c r="T26" s="3347"/>
      <c r="U26" s="3347"/>
      <c r="V26" s="3347"/>
      <c r="W26" s="3347"/>
      <c r="X26" s="3347"/>
      <c r="Y26" s="3347"/>
      <c r="Z26" s="3347"/>
      <c r="AA26" s="3347"/>
      <c r="AB26" s="3347"/>
      <c r="AC26" s="3347"/>
      <c r="AD26" s="3347"/>
      <c r="AE26" s="3347"/>
      <c r="AF26" s="3347"/>
      <c r="AG26" s="3347"/>
      <c r="AH26" s="3347"/>
      <c r="AI26" s="3347"/>
      <c r="AJ26" s="3347"/>
      <c r="AK26" s="3347"/>
      <c r="AL26" s="3347"/>
      <c r="AM26" s="3347"/>
      <c r="AN26" s="3347"/>
      <c r="AO26" s="3347"/>
      <c r="AP26" s="3347"/>
      <c r="AQ26" s="3347"/>
      <c r="AR26" s="3347"/>
      <c r="AS26" s="3347"/>
      <c r="AT26" s="3347"/>
      <c r="AU26" s="3347"/>
      <c r="AV26" s="3347"/>
      <c r="AW26" s="3347"/>
      <c r="AX26" s="3347"/>
      <c r="AY26" s="3347"/>
      <c r="AZ26" s="3347"/>
      <c r="BA26" s="3347"/>
      <c r="BB26" s="3347"/>
      <c r="BC26" s="3347"/>
      <c r="BD26" s="3347"/>
      <c r="BE26" s="3347"/>
      <c r="BF26" s="3347"/>
      <c r="BG26" s="3347"/>
      <c r="BH26" s="3347"/>
      <c r="BI26" s="3347"/>
      <c r="BJ26" s="3347"/>
      <c r="BK26" s="3347"/>
      <c r="BL26" s="3347"/>
      <c r="BM26" s="3347"/>
      <c r="BN26" s="3347"/>
    </row>
    <row r="27" s="3239" customFormat="1" ht="13.5" spans="1:66">
      <c r="A27" s="3343"/>
      <c r="B27" s="3348"/>
      <c r="C27" s="3343"/>
      <c r="D27" s="3344"/>
      <c r="E27" s="3348"/>
      <c r="F27" s="3343"/>
      <c r="G27" s="3349"/>
      <c r="H27" s="3347"/>
      <c r="I27" s="3347"/>
      <c r="J27" s="3347"/>
      <c r="K27" s="3347"/>
      <c r="L27" s="3386"/>
      <c r="M27" s="3386"/>
      <c r="N27" s="3347"/>
      <c r="O27" s="3347"/>
      <c r="P27" s="3347"/>
      <c r="Q27" s="3347"/>
      <c r="R27" s="3347"/>
      <c r="S27" s="3347"/>
      <c r="T27" s="3347"/>
      <c r="U27" s="3347"/>
      <c r="V27" s="3347"/>
      <c r="W27" s="3347"/>
      <c r="X27" s="3347"/>
      <c r="Y27" s="3347"/>
      <c r="Z27" s="3347"/>
      <c r="AA27" s="3347"/>
      <c r="AB27" s="3347"/>
      <c r="AC27" s="3347"/>
      <c r="AD27" s="3347"/>
      <c r="AE27" s="3347"/>
      <c r="AF27" s="3347"/>
      <c r="AG27" s="3347"/>
      <c r="AH27" s="3347"/>
      <c r="AI27" s="3347"/>
      <c r="AJ27" s="3347"/>
      <c r="AK27" s="3347"/>
      <c r="AL27" s="3347"/>
      <c r="AM27" s="3347"/>
      <c r="AN27" s="3347"/>
      <c r="AO27" s="3347"/>
      <c r="AP27" s="3347"/>
      <c r="AQ27" s="3347"/>
      <c r="AR27" s="3347"/>
      <c r="AS27" s="3347"/>
      <c r="AT27" s="3347"/>
      <c r="AU27" s="3347"/>
      <c r="AV27" s="3347"/>
      <c r="AW27" s="3347"/>
      <c r="AX27" s="3347"/>
      <c r="AY27" s="3347"/>
      <c r="AZ27" s="3347"/>
      <c r="BA27" s="3347"/>
      <c r="BB27" s="3347"/>
      <c r="BC27" s="3347"/>
      <c r="BD27" s="3347"/>
      <c r="BE27" s="3347"/>
      <c r="BF27" s="3347"/>
      <c r="BG27" s="3347"/>
      <c r="BH27" s="3347"/>
      <c r="BI27" s="3347"/>
      <c r="BJ27" s="3347"/>
      <c r="BK27" s="3347"/>
      <c r="BL27" s="3347"/>
      <c r="BM27" s="3347"/>
      <c r="BN27" s="3347"/>
    </row>
    <row r="28" spans="1:11">
      <c r="A28" s="3350" t="s">
        <v>381</v>
      </c>
      <c r="B28" s="3351"/>
      <c r="C28" s="3352" t="s">
        <v>381</v>
      </c>
      <c r="D28" s="3353"/>
      <c r="E28" s="3351"/>
      <c r="F28" s="3350" t="s">
        <v>381</v>
      </c>
      <c r="G28" s="3351"/>
      <c r="K28" s="3242"/>
    </row>
    <row r="29" spans="1:11">
      <c r="A29" s="3354" t="s">
        <v>382</v>
      </c>
      <c r="B29" s="3355"/>
      <c r="C29" s="3356" t="s">
        <v>383</v>
      </c>
      <c r="D29" s="3357"/>
      <c r="E29" s="3355"/>
      <c r="F29" s="3354" t="s">
        <v>383</v>
      </c>
      <c r="G29" s="3355"/>
      <c r="K29" s="3242"/>
    </row>
    <row r="30" spans="1:11">
      <c r="A30" s="3354" t="s">
        <v>384</v>
      </c>
      <c r="B30" s="3355"/>
      <c r="C30" s="3356" t="s">
        <v>384</v>
      </c>
      <c r="D30" s="3357"/>
      <c r="E30" s="3355"/>
      <c r="F30" s="3354" t="s">
        <v>385</v>
      </c>
      <c r="G30" s="3355"/>
      <c r="K30" s="3242"/>
    </row>
    <row r="31" spans="1:7">
      <c r="A31" s="3354" t="s">
        <v>386</v>
      </c>
      <c r="B31" s="3355"/>
      <c r="C31" s="3358" t="s">
        <v>387</v>
      </c>
      <c r="D31" s="3274"/>
      <c r="E31" s="3359" t="str">
        <f>E32&amp;" "&amp;E33&amp;" "&amp;E34&amp;" "&amp;E35</f>
        <v>   </v>
      </c>
      <c r="F31" s="3354" t="s">
        <v>388</v>
      </c>
      <c r="G31" s="3355"/>
    </row>
    <row r="32" spans="1:7">
      <c r="A32" s="3354" t="s">
        <v>389</v>
      </c>
      <c r="B32" s="3355"/>
      <c r="C32" s="3360"/>
      <c r="D32" s="2119" t="s">
        <v>390</v>
      </c>
      <c r="E32" s="3355"/>
      <c r="F32" s="3354" t="s">
        <v>391</v>
      </c>
      <c r="G32" s="3355"/>
    </row>
    <row r="33" ht="24.75" spans="1:7">
      <c r="A33" s="3361" t="s">
        <v>392</v>
      </c>
      <c r="B33" s="3362"/>
      <c r="C33" s="3360"/>
      <c r="D33" s="2119" t="s">
        <v>393</v>
      </c>
      <c r="E33" s="3355"/>
      <c r="F33" s="3354" t="s">
        <v>394</v>
      </c>
      <c r="G33" s="3355"/>
    </row>
    <row r="34" spans="1:7">
      <c r="A34" s="3350" t="s">
        <v>395</v>
      </c>
      <c r="B34" s="3351"/>
      <c r="C34" s="3360"/>
      <c r="D34" s="2119" t="s">
        <v>396</v>
      </c>
      <c r="E34" s="3355"/>
      <c r="F34" s="3354" t="s">
        <v>397</v>
      </c>
      <c r="G34" s="3355"/>
    </row>
    <row r="35" ht="13.5" spans="1:7">
      <c r="A35" s="3354" t="s">
        <v>398</v>
      </c>
      <c r="B35" s="3355"/>
      <c r="C35" s="3363"/>
      <c r="D35" s="2119" t="s">
        <v>399</v>
      </c>
      <c r="E35" s="3355"/>
      <c r="F35" s="3361" t="s">
        <v>400</v>
      </c>
      <c r="G35" s="3364"/>
    </row>
    <row r="36" spans="1:7">
      <c r="A36" s="3354" t="s">
        <v>357</v>
      </c>
      <c r="B36" s="3355"/>
      <c r="C36" s="3356" t="s">
        <v>401</v>
      </c>
      <c r="D36" s="3357"/>
      <c r="E36" s="3355"/>
      <c r="F36" s="3353" t="s">
        <v>402</v>
      </c>
      <c r="G36" s="3351"/>
    </row>
    <row r="37" ht="13.5" spans="1:7">
      <c r="A37" s="3354" t="s">
        <v>403</v>
      </c>
      <c r="B37" s="3355"/>
      <c r="C37" s="3365" t="s">
        <v>404</v>
      </c>
      <c r="D37" s="3366"/>
      <c r="E37" s="3362"/>
      <c r="F37" s="3357" t="s">
        <v>405</v>
      </c>
      <c r="G37" s="3355"/>
    </row>
    <row r="38" ht="13.5" spans="1:7">
      <c r="A38" s="3354" t="s">
        <v>406</v>
      </c>
      <c r="B38" s="3355"/>
      <c r="C38" s="3350" t="s">
        <v>407</v>
      </c>
      <c r="D38" s="3300" t="s">
        <v>391</v>
      </c>
      <c r="E38" s="3351"/>
      <c r="F38" s="3361" t="s">
        <v>408</v>
      </c>
      <c r="G38" s="3362"/>
    </row>
    <row r="39" spans="1:7">
      <c r="A39" s="3354" t="s">
        <v>409</v>
      </c>
      <c r="B39" s="3355"/>
      <c r="C39" s="3354"/>
      <c r="D39" s="2119" t="s">
        <v>398</v>
      </c>
      <c r="E39" s="3355"/>
      <c r="F39" s="3350" t="s">
        <v>410</v>
      </c>
      <c r="G39" s="3351"/>
    </row>
    <row r="40" spans="1:7">
      <c r="A40" s="3354" t="s">
        <v>411</v>
      </c>
      <c r="B40" s="3355"/>
      <c r="C40" s="3354" t="s">
        <v>412</v>
      </c>
      <c r="D40" s="2119" t="s">
        <v>357</v>
      </c>
      <c r="E40" s="3355"/>
      <c r="F40" s="3354" t="s">
        <v>413</v>
      </c>
      <c r="G40" s="3355"/>
    </row>
    <row r="41" ht="24.75" customHeight="1" spans="1:7">
      <c r="A41" s="3361" t="s">
        <v>414</v>
      </c>
      <c r="B41" s="3362"/>
      <c r="C41" s="3361"/>
      <c r="D41" s="3306" t="s">
        <v>359</v>
      </c>
      <c r="E41" s="3362"/>
      <c r="F41" s="3361" t="s">
        <v>415</v>
      </c>
      <c r="G41" s="3362"/>
    </row>
    <row r="42" spans="1:7">
      <c r="A42" s="3367" t="s">
        <v>416</v>
      </c>
      <c r="B42" s="3368"/>
      <c r="C42" s="3369" t="s">
        <v>416</v>
      </c>
      <c r="D42" s="3370"/>
      <c r="E42" s="3368"/>
      <c r="F42" s="3350" t="s">
        <v>417</v>
      </c>
      <c r="G42" s="3368"/>
    </row>
    <row r="43" spans="1:7">
      <c r="A43" s="3279" t="s">
        <v>418</v>
      </c>
      <c r="B43" s="3371"/>
      <c r="C43" s="3317"/>
      <c r="D43" s="3333"/>
      <c r="E43" s="3371"/>
      <c r="F43" s="3279"/>
      <c r="G43" s="3371"/>
    </row>
    <row r="44" spans="1:7">
      <c r="A44" s="3279" t="s">
        <v>372</v>
      </c>
      <c r="B44" s="3372"/>
      <c r="C44" s="3317"/>
      <c r="D44" s="2086" t="s">
        <v>372</v>
      </c>
      <c r="E44" s="3372"/>
      <c r="F44" s="3279" t="s">
        <v>372</v>
      </c>
      <c r="G44" s="3372"/>
    </row>
    <row r="45" spans="1:7">
      <c r="A45" s="3279" t="s">
        <v>373</v>
      </c>
      <c r="B45" s="3372"/>
      <c r="C45" s="3317"/>
      <c r="D45" s="3333" t="s">
        <v>373</v>
      </c>
      <c r="E45" s="3372"/>
      <c r="F45" s="3279" t="s">
        <v>373</v>
      </c>
      <c r="G45" s="3372"/>
    </row>
    <row r="46" spans="1:7">
      <c r="A46" s="3279" t="s">
        <v>374</v>
      </c>
      <c r="B46" s="3372"/>
      <c r="C46" s="3317"/>
      <c r="D46" s="3333" t="s">
        <v>374</v>
      </c>
      <c r="E46" s="3372"/>
      <c r="F46" s="3279" t="s">
        <v>374</v>
      </c>
      <c r="G46" s="3372"/>
    </row>
    <row r="47" spans="1:7">
      <c r="A47" s="3279" t="s">
        <v>375</v>
      </c>
      <c r="B47" s="3372"/>
      <c r="C47" s="3317"/>
      <c r="D47" s="3333" t="s">
        <v>375</v>
      </c>
      <c r="E47" s="3372"/>
      <c r="F47" s="3279" t="s">
        <v>375</v>
      </c>
      <c r="G47" s="3372"/>
    </row>
    <row r="48" spans="1:7">
      <c r="A48" s="3279"/>
      <c r="B48" s="3372"/>
      <c r="C48" s="3317"/>
      <c r="D48" s="3333"/>
      <c r="E48" s="3372"/>
      <c r="F48" s="3279"/>
      <c r="G48" s="3372"/>
    </row>
    <row r="49" ht="13.5" spans="1:7">
      <c r="A49" s="3361" t="s">
        <v>419</v>
      </c>
      <c r="B49" s="3362"/>
      <c r="C49" s="3373" t="s">
        <v>419</v>
      </c>
      <c r="D49" s="2086"/>
      <c r="E49" s="3374"/>
      <c r="F49" s="3361" t="s">
        <v>420</v>
      </c>
      <c r="G49" s="3362"/>
    </row>
    <row r="50" spans="1:7">
      <c r="A50" s="3354" t="s">
        <v>421</v>
      </c>
      <c r="B50" s="3375"/>
      <c r="C50" s="3350" t="s">
        <v>422</v>
      </c>
      <c r="D50" s="3300"/>
      <c r="E50" s="3376"/>
      <c r="F50" s="3377"/>
      <c r="G50" s="3378"/>
    </row>
    <row r="51" ht="13.5" spans="1:7">
      <c r="A51" s="3354" t="s">
        <v>423</v>
      </c>
      <c r="B51" s="3375"/>
      <c r="C51" s="3361" t="s">
        <v>424</v>
      </c>
      <c r="D51" s="3306"/>
      <c r="E51" s="3362"/>
      <c r="F51" s="3274"/>
      <c r="G51" s="3275"/>
    </row>
    <row r="52" spans="1:7">
      <c r="A52" s="3354" t="s">
        <v>402</v>
      </c>
      <c r="B52" s="3355"/>
      <c r="C52" s="3274"/>
      <c r="D52" s="3274"/>
      <c r="E52" s="3274"/>
      <c r="F52" s="3274"/>
      <c r="G52" s="3275"/>
    </row>
    <row r="53" ht="24.75" spans="1:7">
      <c r="A53" s="3361" t="s">
        <v>425</v>
      </c>
      <c r="B53" s="3364"/>
      <c r="C53" s="3337"/>
      <c r="D53" s="3337"/>
      <c r="E53" s="3337"/>
      <c r="F53" s="3337"/>
      <c r="G53" s="3379"/>
    </row>
    <row r="57" s="3240" customFormat="1" spans="8:66">
      <c r="H57" s="3254"/>
      <c r="I57" s="3254"/>
      <c r="J57" s="3254"/>
      <c r="K57" s="3387"/>
      <c r="L57" s="3387"/>
      <c r="M57" s="3387"/>
      <c r="N57" s="3254"/>
      <c r="O57" s="3254"/>
      <c r="P57" s="3254"/>
      <c r="Q57" s="3254"/>
      <c r="R57" s="3254"/>
      <c r="S57" s="3254"/>
      <c r="T57" s="3254"/>
      <c r="U57" s="3254"/>
      <c r="V57" s="3254"/>
      <c r="W57" s="3254"/>
      <c r="X57" s="3254"/>
      <c r="Y57" s="3254"/>
      <c r="Z57" s="3254"/>
      <c r="AA57" s="3254"/>
      <c r="AB57" s="3254"/>
      <c r="AC57" s="3254"/>
      <c r="AD57" s="3254"/>
      <c r="AE57" s="3254"/>
      <c r="AF57" s="3254"/>
      <c r="AG57" s="3254"/>
      <c r="AH57" s="3254"/>
      <c r="AI57" s="3254"/>
      <c r="AJ57" s="3254"/>
      <c r="AK57" s="3254"/>
      <c r="AL57" s="3254"/>
      <c r="AM57" s="3254"/>
      <c r="AN57" s="3254"/>
      <c r="AO57" s="3254"/>
      <c r="AP57" s="3254"/>
      <c r="AQ57" s="3254"/>
      <c r="AR57" s="3254"/>
      <c r="AS57" s="3254"/>
      <c r="AT57" s="3254"/>
      <c r="AU57" s="3254"/>
      <c r="AV57" s="3254"/>
      <c r="AW57" s="3254"/>
      <c r="AX57" s="3254"/>
      <c r="AY57" s="3254"/>
      <c r="AZ57" s="3254"/>
      <c r="BA57" s="3254"/>
      <c r="BB57" s="3254"/>
      <c r="BC57" s="3254"/>
      <c r="BD57" s="3254"/>
      <c r="BE57" s="3254"/>
      <c r="BF57" s="3254"/>
      <c r="BG57" s="3254"/>
      <c r="BH57" s="3254"/>
      <c r="BI57" s="3254"/>
      <c r="BJ57" s="3254"/>
      <c r="BK57" s="3254"/>
      <c r="BL57" s="3254"/>
      <c r="BM57" s="3254"/>
      <c r="BN57" s="3254"/>
    </row>
    <row r="58" s="3240" customFormat="1" spans="8:66">
      <c r="H58" s="3254"/>
      <c r="I58" s="3254"/>
      <c r="J58" s="3254"/>
      <c r="K58" s="3387"/>
      <c r="L58" s="3387"/>
      <c r="M58" s="3387"/>
      <c r="N58" s="3254"/>
      <c r="O58" s="3254"/>
      <c r="P58" s="3254"/>
      <c r="Q58" s="3254"/>
      <c r="R58" s="3254"/>
      <c r="S58" s="3254"/>
      <c r="T58" s="3254"/>
      <c r="U58" s="3254"/>
      <c r="V58" s="3254"/>
      <c r="W58" s="3254"/>
      <c r="X58" s="3254"/>
      <c r="Y58" s="3254"/>
      <c r="Z58" s="3254"/>
      <c r="AA58" s="3254"/>
      <c r="AB58" s="3254"/>
      <c r="AC58" s="3254"/>
      <c r="AD58" s="3254"/>
      <c r="AE58" s="3254"/>
      <c r="AF58" s="3254"/>
      <c r="AG58" s="3254"/>
      <c r="AH58" s="3254"/>
      <c r="AI58" s="3254"/>
      <c r="AJ58" s="3254"/>
      <c r="AK58" s="3254"/>
      <c r="AL58" s="3254"/>
      <c r="AM58" s="3254"/>
      <c r="AN58" s="3254"/>
      <c r="AO58" s="3254"/>
      <c r="AP58" s="3254"/>
      <c r="AQ58" s="3254"/>
      <c r="AR58" s="3254"/>
      <c r="AS58" s="3254"/>
      <c r="AT58" s="3254"/>
      <c r="AU58" s="3254"/>
      <c r="AV58" s="3254"/>
      <c r="AW58" s="3254"/>
      <c r="AX58" s="3254"/>
      <c r="AY58" s="3254"/>
      <c r="AZ58" s="3254"/>
      <c r="BA58" s="3254"/>
      <c r="BB58" s="3254"/>
      <c r="BC58" s="3254"/>
      <c r="BD58" s="3254"/>
      <c r="BE58" s="3254"/>
      <c r="BF58" s="3254"/>
      <c r="BG58" s="3254"/>
      <c r="BH58" s="3254"/>
      <c r="BI58" s="3254"/>
      <c r="BJ58" s="3254"/>
      <c r="BK58" s="3254"/>
      <c r="BL58" s="3254"/>
      <c r="BM58" s="3254"/>
      <c r="BN58" s="3254"/>
    </row>
    <row r="59" s="3240" customFormat="1" spans="8:66">
      <c r="H59" s="3254"/>
      <c r="I59" s="3254"/>
      <c r="J59" s="3254"/>
      <c r="K59" s="3387"/>
      <c r="L59" s="3387"/>
      <c r="M59" s="3387"/>
      <c r="N59" s="3254"/>
      <c r="O59" s="3254"/>
      <c r="P59" s="3254"/>
      <c r="Q59" s="3254"/>
      <c r="R59" s="3254"/>
      <c r="S59" s="3254"/>
      <c r="T59" s="3254"/>
      <c r="U59" s="3254"/>
      <c r="V59" s="3254"/>
      <c r="W59" s="3254"/>
      <c r="X59" s="3254"/>
      <c r="Y59" s="3254"/>
      <c r="Z59" s="3254"/>
      <c r="AA59" s="3254"/>
      <c r="AB59" s="3254"/>
      <c r="AC59" s="3254"/>
      <c r="AD59" s="3254"/>
      <c r="AE59" s="3254"/>
      <c r="AF59" s="3254"/>
      <c r="AG59" s="3254"/>
      <c r="AH59" s="3254"/>
      <c r="AI59" s="3254"/>
      <c r="AJ59" s="3254"/>
      <c r="AK59" s="3254"/>
      <c r="AL59" s="3254"/>
      <c r="AM59" s="3254"/>
      <c r="AN59" s="3254"/>
      <c r="AO59" s="3254"/>
      <c r="AP59" s="3254"/>
      <c r="AQ59" s="3254"/>
      <c r="AR59" s="3254"/>
      <c r="AS59" s="3254"/>
      <c r="AT59" s="3254"/>
      <c r="AU59" s="3254"/>
      <c r="AV59" s="3254"/>
      <c r="AW59" s="3254"/>
      <c r="AX59" s="3254"/>
      <c r="AY59" s="3254"/>
      <c r="AZ59" s="3254"/>
      <c r="BA59" s="3254"/>
      <c r="BB59" s="3254"/>
      <c r="BC59" s="3254"/>
      <c r="BD59" s="3254"/>
      <c r="BE59" s="3254"/>
      <c r="BF59" s="3254"/>
      <c r="BG59" s="3254"/>
      <c r="BH59" s="3254"/>
      <c r="BI59" s="3254"/>
      <c r="BJ59" s="3254"/>
      <c r="BK59" s="3254"/>
      <c r="BL59" s="3254"/>
      <c r="BM59" s="3254"/>
      <c r="BN59" s="3254"/>
    </row>
    <row r="60" s="3240" customFormat="1" spans="8:66">
      <c r="H60" s="3254"/>
      <c r="I60" s="3254"/>
      <c r="J60" s="3254"/>
      <c r="K60" s="3387"/>
      <c r="L60" s="3387"/>
      <c r="M60" s="3387"/>
      <c r="N60" s="3254"/>
      <c r="O60" s="3254"/>
      <c r="P60" s="3254"/>
      <c r="Q60" s="3254"/>
      <c r="R60" s="3254"/>
      <c r="S60" s="3254"/>
      <c r="T60" s="3254"/>
      <c r="U60" s="3254"/>
      <c r="V60" s="3254"/>
      <c r="W60" s="3254"/>
      <c r="X60" s="3254"/>
      <c r="Y60" s="3254"/>
      <c r="Z60" s="3254"/>
      <c r="AA60" s="3254"/>
      <c r="AB60" s="3254"/>
      <c r="AC60" s="3254"/>
      <c r="AD60" s="3254"/>
      <c r="AE60" s="3254"/>
      <c r="AF60" s="3254"/>
      <c r="AG60" s="3254"/>
      <c r="AH60" s="3254"/>
      <c r="AI60" s="3254"/>
      <c r="AJ60" s="3254"/>
      <c r="AK60" s="3254"/>
      <c r="AL60" s="3254"/>
      <c r="AM60" s="3254"/>
      <c r="AN60" s="3254"/>
      <c r="AO60" s="3254"/>
      <c r="AP60" s="3254"/>
      <c r="AQ60" s="3254"/>
      <c r="AR60" s="3254"/>
      <c r="AS60" s="3254"/>
      <c r="AT60" s="3254"/>
      <c r="AU60" s="3254"/>
      <c r="AV60" s="3254"/>
      <c r="AW60" s="3254"/>
      <c r="AX60" s="3254"/>
      <c r="AY60" s="3254"/>
      <c r="AZ60" s="3254"/>
      <c r="BA60" s="3254"/>
      <c r="BB60" s="3254"/>
      <c r="BC60" s="3254"/>
      <c r="BD60" s="3254"/>
      <c r="BE60" s="3254"/>
      <c r="BF60" s="3254"/>
      <c r="BG60" s="3254"/>
      <c r="BH60" s="3254"/>
      <c r="BI60" s="3254"/>
      <c r="BJ60" s="3254"/>
      <c r="BK60" s="3254"/>
      <c r="BL60" s="3254"/>
      <c r="BM60" s="3254"/>
      <c r="BN60" s="3254"/>
    </row>
    <row r="61" s="3240" customFormat="1" spans="8:66">
      <c r="H61" s="3254"/>
      <c r="I61" s="3254"/>
      <c r="J61" s="3254"/>
      <c r="K61" s="3387"/>
      <c r="L61" s="3387"/>
      <c r="M61" s="3387"/>
      <c r="N61" s="3254"/>
      <c r="O61" s="3254"/>
      <c r="P61" s="3254"/>
      <c r="Q61" s="3254"/>
      <c r="R61" s="3254"/>
      <c r="S61" s="3254"/>
      <c r="T61" s="3254"/>
      <c r="U61" s="3254"/>
      <c r="V61" s="3254"/>
      <c r="W61" s="3254"/>
      <c r="X61" s="3254"/>
      <c r="Y61" s="3254"/>
      <c r="Z61" s="3254"/>
      <c r="AA61" s="3254"/>
      <c r="AB61" s="3254"/>
      <c r="AC61" s="3254"/>
      <c r="AD61" s="3254"/>
      <c r="AE61" s="3254"/>
      <c r="AF61" s="3254"/>
      <c r="AG61" s="3254"/>
      <c r="AH61" s="3254"/>
      <c r="AI61" s="3254"/>
      <c r="AJ61" s="3254"/>
      <c r="AK61" s="3254"/>
      <c r="AL61" s="3254"/>
      <c r="AM61" s="3254"/>
      <c r="AN61" s="3254"/>
      <c r="AO61" s="3254"/>
      <c r="AP61" s="3254"/>
      <c r="AQ61" s="3254"/>
      <c r="AR61" s="3254"/>
      <c r="AS61" s="3254"/>
      <c r="AT61" s="3254"/>
      <c r="AU61" s="3254"/>
      <c r="AV61" s="3254"/>
      <c r="AW61" s="3254"/>
      <c r="AX61" s="3254"/>
      <c r="AY61" s="3254"/>
      <c r="AZ61" s="3254"/>
      <c r="BA61" s="3254"/>
      <c r="BB61" s="3254"/>
      <c r="BC61" s="3254"/>
      <c r="BD61" s="3254"/>
      <c r="BE61" s="3254"/>
      <c r="BF61" s="3254"/>
      <c r="BG61" s="3254"/>
      <c r="BH61" s="3254"/>
      <c r="BI61" s="3254"/>
      <c r="BJ61" s="3254"/>
      <c r="BK61" s="3254"/>
      <c r="BL61" s="3254"/>
      <c r="BM61" s="3254"/>
      <c r="BN61" s="3254"/>
    </row>
    <row r="62" s="3240" customFormat="1" spans="8:66">
      <c r="H62" s="3254"/>
      <c r="I62" s="3254"/>
      <c r="J62" s="3254"/>
      <c r="K62" s="3387"/>
      <c r="L62" s="3387"/>
      <c r="M62" s="3387"/>
      <c r="N62" s="3254"/>
      <c r="O62" s="3254"/>
      <c r="P62" s="3254"/>
      <c r="Q62" s="3254"/>
      <c r="R62" s="3254"/>
      <c r="S62" s="3254"/>
      <c r="T62" s="3254"/>
      <c r="U62" s="3254"/>
      <c r="V62" s="3254"/>
      <c r="W62" s="3254"/>
      <c r="X62" s="3254"/>
      <c r="Y62" s="3254"/>
      <c r="Z62" s="3254"/>
      <c r="AA62" s="3254"/>
      <c r="AB62" s="3254"/>
      <c r="AC62" s="3254"/>
      <c r="AD62" s="3254"/>
      <c r="AE62" s="3254"/>
      <c r="AF62" s="3254"/>
      <c r="AG62" s="3254"/>
      <c r="AH62" s="3254"/>
      <c r="AI62" s="3254"/>
      <c r="AJ62" s="3254"/>
      <c r="AK62" s="3254"/>
      <c r="AL62" s="3254"/>
      <c r="AM62" s="3254"/>
      <c r="AN62" s="3254"/>
      <c r="AO62" s="3254"/>
      <c r="AP62" s="3254"/>
      <c r="AQ62" s="3254"/>
      <c r="AR62" s="3254"/>
      <c r="AS62" s="3254"/>
      <c r="AT62" s="3254"/>
      <c r="AU62" s="3254"/>
      <c r="AV62" s="3254"/>
      <c r="AW62" s="3254"/>
      <c r="AX62" s="3254"/>
      <c r="AY62" s="3254"/>
      <c r="AZ62" s="3254"/>
      <c r="BA62" s="3254"/>
      <c r="BB62" s="3254"/>
      <c r="BC62" s="3254"/>
      <c r="BD62" s="3254"/>
      <c r="BE62" s="3254"/>
      <c r="BF62" s="3254"/>
      <c r="BG62" s="3254"/>
      <c r="BH62" s="3254"/>
      <c r="BI62" s="3254"/>
      <c r="BJ62" s="3254"/>
      <c r="BK62" s="3254"/>
      <c r="BL62" s="3254"/>
      <c r="BM62" s="3254"/>
      <c r="BN62" s="3254"/>
    </row>
    <row r="63" s="3240" customFormat="1" spans="8:66">
      <c r="H63" s="3254"/>
      <c r="I63" s="3254"/>
      <c r="J63" s="3254"/>
      <c r="K63" s="3387"/>
      <c r="L63" s="3387"/>
      <c r="M63" s="3387"/>
      <c r="N63" s="3254"/>
      <c r="O63" s="3254"/>
      <c r="P63" s="3254"/>
      <c r="Q63" s="3254"/>
      <c r="R63" s="3254"/>
      <c r="S63" s="3254"/>
      <c r="T63" s="3254"/>
      <c r="U63" s="3254"/>
      <c r="V63" s="3254"/>
      <c r="W63" s="3254"/>
      <c r="X63" s="3254"/>
      <c r="Y63" s="3254"/>
      <c r="Z63" s="3254"/>
      <c r="AA63" s="3254"/>
      <c r="AB63" s="3254"/>
      <c r="AC63" s="3254"/>
      <c r="AD63" s="3254"/>
      <c r="AE63" s="3254"/>
      <c r="AF63" s="3254"/>
      <c r="AG63" s="3254"/>
      <c r="AH63" s="3254"/>
      <c r="AI63" s="3254"/>
      <c r="AJ63" s="3254"/>
      <c r="AK63" s="3254"/>
      <c r="AL63" s="3254"/>
      <c r="AM63" s="3254"/>
      <c r="AN63" s="3254"/>
      <c r="AO63" s="3254"/>
      <c r="AP63" s="3254"/>
      <c r="AQ63" s="3254"/>
      <c r="AR63" s="3254"/>
      <c r="AS63" s="3254"/>
      <c r="AT63" s="3254"/>
      <c r="AU63" s="3254"/>
      <c r="AV63" s="3254"/>
      <c r="AW63" s="3254"/>
      <c r="AX63" s="3254"/>
      <c r="AY63" s="3254"/>
      <c r="AZ63" s="3254"/>
      <c r="BA63" s="3254"/>
      <c r="BB63" s="3254"/>
      <c r="BC63" s="3254"/>
      <c r="BD63" s="3254"/>
      <c r="BE63" s="3254"/>
      <c r="BF63" s="3254"/>
      <c r="BG63" s="3254"/>
      <c r="BH63" s="3254"/>
      <c r="BI63" s="3254"/>
      <c r="BJ63" s="3254"/>
      <c r="BK63" s="3254"/>
      <c r="BL63" s="3254"/>
      <c r="BM63" s="3254"/>
      <c r="BN63" s="3254"/>
    </row>
  </sheetData>
  <sheetProtection password="CEE9" sheet="1" formatCells="0" formatColumns="0" formatRows="0" objects="1" scenarios="1"/>
  <mergeCells count="21">
    <mergeCell ref="C8:D8"/>
    <mergeCell ref="C10:D10"/>
    <mergeCell ref="C11:D11"/>
    <mergeCell ref="B17:C17"/>
    <mergeCell ref="D17:E17"/>
    <mergeCell ref="A24:G24"/>
    <mergeCell ref="C28:D28"/>
    <mergeCell ref="C29:D29"/>
    <mergeCell ref="C30:D30"/>
    <mergeCell ref="C36:D36"/>
    <mergeCell ref="C37:D37"/>
    <mergeCell ref="C42:D42"/>
    <mergeCell ref="C49:D49"/>
    <mergeCell ref="C50:D50"/>
    <mergeCell ref="C51:D51"/>
    <mergeCell ref="A8:A11"/>
    <mergeCell ref="A12:A13"/>
    <mergeCell ref="C31:C35"/>
    <mergeCell ref="C38:C39"/>
    <mergeCell ref="C40:C41"/>
    <mergeCell ref="I13:I15"/>
  </mergeCells>
  <dataValidations count="19">
    <dataValidation type="list" allowBlank="1" showInputMessage="1" showErrorMessage="1" sqref="D4">
      <formula1>"抵押,核定资产"</formula1>
    </dataValidation>
    <dataValidation type="list" allowBlank="1" showInputMessage="1" showErrorMessage="1" sqref="B3 D3">
      <formula1>注册房地产估价师</formula1>
    </dataValidation>
    <dataValidation type="list" allowBlank="1" showInputMessage="1" showErrorMessage="1" sqref="D5">
      <formula1>"房地产抵押价值,房地产市场价值"</formula1>
    </dataValidation>
    <dataValidation type="list" showInputMessage="1" showErrorMessage="1" sqref="B7">
      <formula1>"自然人,企业"</formula1>
    </dataValidation>
    <dataValidation type="list" allowBlank="1" showInputMessage="1" showErrorMessage="1" sqref="B43">
      <formula1>"原件,复印件"</formula1>
    </dataValidation>
    <dataValidation type="list" allowBlank="1" showInputMessage="1" showErrorMessage="1" sqref="G5">
      <formula1>"抵押净值,——"</formula1>
    </dataValidation>
    <dataValidation type="list" allowBlank="1" showInputMessage="1" showErrorMessage="1" sqref="F5">
      <formula1>价值类型2</formula1>
    </dataValidation>
    <dataValidation type="list" allowBlank="1" showInputMessage="1" showErrorMessage="1" sqref="B6">
      <formula1>"北京市,其他："</formula1>
    </dataValidation>
    <dataValidation type="list" allowBlank="1" showInputMessage="1" showErrorMessage="1" sqref="B18:B19">
      <formula1>"《房屋所有权证》,《国有土地使用证》,《不动产权证书》,——"</formula1>
    </dataValidation>
    <dataValidation type="list" showInputMessage="1" showErrorMessage="1" sqref="D9">
      <formula1>"与房产证证载一致,与房产证证载不一致"</formula1>
    </dataValidation>
    <dataValidation type="list" allowBlank="1" showInputMessage="1" showErrorMessage="1" sqref="F9">
      <formula1>土地级别</formula1>
    </dataValidation>
    <dataValidation type="list" allowBlank="1" showInputMessage="1" showErrorMessage="1" sqref="F10">
      <formula1>INDIRECT($F$9)</formula1>
    </dataValidation>
    <dataValidation type="list" allowBlank="1" showInputMessage="1" showErrorMessage="1" sqref="E12">
      <formula1>"房屋所有权证,不动产权证书"</formula1>
    </dataValidation>
    <dataValidation type="list" allowBlank="1" showInputMessage="1" showErrorMessage="1" sqref="F12">
      <formula1>"建筑与土地面积依据相同,——"</formula1>
    </dataValidation>
    <dataValidation type="list" allowBlank="1" showInputMessage="1" showErrorMessage="1" sqref="E13">
      <formula1>"国有土地使用证,不动产权证书,无"</formula1>
    </dataValidation>
    <dataValidation type="list" allowBlank="1" showInputMessage="1" showErrorMessage="1" sqref="C16 E16 G16">
      <formula1>判定</formula1>
    </dataValidation>
    <dataValidation type="list" allowBlank="1" showInputMessage="1" showErrorMessage="1" sqref="E18 C18:C19">
      <formula1>"原件,复印件,——"</formula1>
    </dataValidation>
    <dataValidation type="list" allowBlank="1" showInputMessage="1" showErrorMessage="1" sqref="B27 E27 G27">
      <formula1>"已核对原件,未核对原件,——"</formula1>
    </dataValidation>
    <dataValidation type="list" allowBlank="1" showInputMessage="1" showErrorMessage="1" sqref="B42 E42:E43 G42:G43">
      <formula1>"有,无,——"</formula1>
    </dataValidation>
  </dataValidations>
  <pageMargins left="0.7" right="0.7" top="0.75" bottom="0.75" header="0.3" footer="0.3"/>
  <pageSetup paperSize="9" fitToWidth="0" orientation="landscape"/>
  <headerFooter/>
  <rowBreaks count="1" manualBreakCount="1">
    <brk id="24" max="6" man="1"/>
  </rowBreaks>
  <colBreaks count="1" manualBreakCount="1">
    <brk id="7" max="1048575" man="1"/>
  </colBreaks>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9"/>
  <sheetViews>
    <sheetView workbookViewId="0">
      <selection activeCell="F18" sqref="F18"/>
    </sheetView>
  </sheetViews>
  <sheetFormatPr defaultColWidth="9" defaultRowHeight="13.5"/>
  <cols>
    <col min="1" max="1" width="12.125" style="3233" customWidth="1"/>
    <col min="2" max="2" width="10.625" style="3233" customWidth="1"/>
    <col min="3" max="3" width="15.75" style="3233" customWidth="1"/>
    <col min="4" max="7" width="9.5" style="3233" customWidth="1"/>
    <col min="8" max="13" width="9.125" style="3233" customWidth="1"/>
    <col min="14" max="16384" width="9" style="3233"/>
  </cols>
  <sheetData>
    <row r="1" ht="14.25" spans="1:13">
      <c r="A1" s="3234" t="s">
        <v>426</v>
      </c>
      <c r="B1" s="3234" t="s">
        <v>427</v>
      </c>
      <c r="C1" s="3234" t="s">
        <v>428</v>
      </c>
      <c r="D1" s="3235" t="s">
        <v>429</v>
      </c>
      <c r="E1" s="3235" t="s">
        <v>430</v>
      </c>
      <c r="F1" s="3235"/>
      <c r="G1" s="3235"/>
      <c r="H1" s="3235"/>
      <c r="I1" s="3235"/>
      <c r="J1" s="3235"/>
      <c r="K1" s="3235"/>
      <c r="L1" s="3235"/>
      <c r="M1" s="3235"/>
    </row>
    <row r="2" ht="27" customHeight="1" spans="1:13">
      <c r="A2" s="3234"/>
      <c r="B2" s="3234"/>
      <c r="C2" s="3234"/>
      <c r="D2" s="3235"/>
      <c r="E2" s="3235" t="s">
        <v>431</v>
      </c>
      <c r="F2" s="3235" t="s">
        <v>432</v>
      </c>
      <c r="G2" s="3235"/>
      <c r="H2" s="3235"/>
      <c r="I2" s="3235"/>
      <c r="J2" s="3235" t="s">
        <v>433</v>
      </c>
      <c r="K2" s="3235"/>
      <c r="L2" s="3235"/>
      <c r="M2" s="3235"/>
    </row>
    <row r="3" ht="28.5" spans="1:13">
      <c r="A3" s="3234"/>
      <c r="B3" s="3234"/>
      <c r="C3" s="3234"/>
      <c r="D3" s="3235"/>
      <c r="E3" s="3235"/>
      <c r="F3" s="3236" t="s">
        <v>434</v>
      </c>
      <c r="G3" s="3236" t="s">
        <v>435</v>
      </c>
      <c r="H3" s="3236" t="s">
        <v>436</v>
      </c>
      <c r="I3" s="3236" t="s">
        <v>437</v>
      </c>
      <c r="J3" s="3236" t="s">
        <v>434</v>
      </c>
      <c r="K3" s="3236" t="s">
        <v>438</v>
      </c>
      <c r="L3" s="3236" t="s">
        <v>439</v>
      </c>
      <c r="M3" s="3236" t="s">
        <v>440</v>
      </c>
    </row>
    <row r="4" ht="42.75" spans="1:13">
      <c r="A4" s="3236" t="s">
        <v>441</v>
      </c>
      <c r="B4" s="3236" t="s">
        <v>442</v>
      </c>
      <c r="C4" s="3236" t="s">
        <v>443</v>
      </c>
      <c r="D4" s="3235">
        <v>3807.94</v>
      </c>
      <c r="E4" s="3235">
        <v>20666.91</v>
      </c>
      <c r="F4" s="3235">
        <v>19673</v>
      </c>
      <c r="G4" s="3235">
        <v>0</v>
      </c>
      <c r="H4" s="3235">
        <v>19673</v>
      </c>
      <c r="I4" s="3235">
        <v>0</v>
      </c>
      <c r="J4" s="3235">
        <v>993.91</v>
      </c>
      <c r="K4" s="3235">
        <v>0</v>
      </c>
      <c r="L4" s="3235">
        <v>0</v>
      </c>
      <c r="M4" s="3235">
        <v>993.91</v>
      </c>
    </row>
    <row r="5" ht="42.75" spans="1:13">
      <c r="A5" s="3236" t="s">
        <v>441</v>
      </c>
      <c r="B5" s="3236" t="s">
        <v>444</v>
      </c>
      <c r="C5" s="3236" t="s">
        <v>445</v>
      </c>
      <c r="D5" s="3235">
        <v>3667.86</v>
      </c>
      <c r="E5" s="3235">
        <v>19906.61</v>
      </c>
      <c r="F5" s="3235">
        <v>18792.87</v>
      </c>
      <c r="G5" s="3235">
        <v>18792.87</v>
      </c>
      <c r="H5" s="3235">
        <v>0</v>
      </c>
      <c r="I5" s="3235">
        <v>0</v>
      </c>
      <c r="J5" s="3235">
        <v>1113.74</v>
      </c>
      <c r="K5" s="3235">
        <v>55.59</v>
      </c>
      <c r="L5" s="3235">
        <v>0</v>
      </c>
      <c r="M5" s="3235">
        <v>1058.15</v>
      </c>
    </row>
    <row r="6" ht="42.75" spans="1:13">
      <c r="A6" s="3236" t="s">
        <v>441</v>
      </c>
      <c r="B6" s="3236" t="s">
        <v>444</v>
      </c>
      <c r="C6" s="3236" t="s">
        <v>446</v>
      </c>
      <c r="D6" s="3235">
        <v>2067.52</v>
      </c>
      <c r="E6" s="3235">
        <v>11221.06</v>
      </c>
      <c r="F6" s="3235">
        <v>9934.13</v>
      </c>
      <c r="G6" s="3235">
        <v>9934.13</v>
      </c>
      <c r="H6" s="3235">
        <v>0</v>
      </c>
      <c r="I6" s="3235">
        <v>0</v>
      </c>
      <c r="J6" s="3235">
        <v>1286.93</v>
      </c>
      <c r="K6" s="3235">
        <v>0</v>
      </c>
      <c r="L6" s="3235">
        <v>0</v>
      </c>
      <c r="M6" s="3235">
        <v>1286.93</v>
      </c>
    </row>
    <row r="7" ht="42.75" spans="1:13">
      <c r="A7" s="3236" t="s">
        <v>441</v>
      </c>
      <c r="B7" s="3236" t="s">
        <v>444</v>
      </c>
      <c r="C7" s="3236" t="s">
        <v>447</v>
      </c>
      <c r="D7" s="3235">
        <v>8.18</v>
      </c>
      <c r="E7" s="3235">
        <v>44.41</v>
      </c>
      <c r="F7" s="3235">
        <v>0</v>
      </c>
      <c r="G7" s="3235">
        <v>0</v>
      </c>
      <c r="H7" s="3235">
        <v>0</v>
      </c>
      <c r="I7" s="3235">
        <v>0</v>
      </c>
      <c r="J7" s="3235">
        <v>44.41</v>
      </c>
      <c r="K7" s="3235">
        <v>44.41</v>
      </c>
      <c r="L7" s="3235">
        <v>0</v>
      </c>
      <c r="M7" s="3235">
        <v>0</v>
      </c>
    </row>
    <row r="8" ht="42.75" spans="1:13">
      <c r="A8" s="3236" t="s">
        <v>441</v>
      </c>
      <c r="B8" s="3236" t="s">
        <v>444</v>
      </c>
      <c r="C8" s="3236" t="s">
        <v>437</v>
      </c>
      <c r="D8" s="3235">
        <v>2455.53</v>
      </c>
      <c r="E8" s="3235">
        <v>13326.96</v>
      </c>
      <c r="F8" s="3235">
        <v>9231.05</v>
      </c>
      <c r="G8" s="3235">
        <v>0</v>
      </c>
      <c r="H8" s="3235">
        <v>0</v>
      </c>
      <c r="I8" s="3235">
        <v>9231.05</v>
      </c>
      <c r="J8" s="3235">
        <v>4095.91</v>
      </c>
      <c r="K8" s="3235">
        <v>0</v>
      </c>
      <c r="L8" s="3235">
        <v>3320.79</v>
      </c>
      <c r="M8" s="3235">
        <v>775.12</v>
      </c>
    </row>
    <row r="9" ht="27" customHeight="1" spans="1:13">
      <c r="A9" s="3235" t="s">
        <v>448</v>
      </c>
      <c r="B9" s="3235"/>
      <c r="C9" s="3235"/>
      <c r="D9" s="3235">
        <v>12007.03</v>
      </c>
      <c r="E9" s="3235">
        <v>65165.95</v>
      </c>
      <c r="F9" s="3235">
        <v>57631.05</v>
      </c>
      <c r="G9" s="3235">
        <v>28727</v>
      </c>
      <c r="H9" s="3235">
        <v>19673</v>
      </c>
      <c r="I9" s="3235">
        <v>9231.05</v>
      </c>
      <c r="J9" s="3235">
        <v>7534.9</v>
      </c>
      <c r="K9" s="3235">
        <v>100</v>
      </c>
      <c r="L9" s="3235">
        <v>3320.79</v>
      </c>
      <c r="M9" s="3235">
        <v>4114.11</v>
      </c>
    </row>
  </sheetData>
  <mergeCells count="9">
    <mergeCell ref="E1:M1"/>
    <mergeCell ref="F2:I2"/>
    <mergeCell ref="J2:M2"/>
    <mergeCell ref="A9:C9"/>
    <mergeCell ref="A1:A3"/>
    <mergeCell ref="B1:B3"/>
    <mergeCell ref="C1:C3"/>
    <mergeCell ref="D1:D3"/>
    <mergeCell ref="E2:E3"/>
  </mergeCells>
  <pageMargins left="0.7" right="0.7" top="0.75" bottom="0.75" header="0.3" footer="0.3"/>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
    <tabColor rgb="FFFFFF00"/>
    <pageSetUpPr fitToPage="1"/>
  </sheetPr>
  <dimension ref="A1:AO158"/>
  <sheetViews>
    <sheetView view="pageBreakPreview" zoomScale="70" zoomScaleNormal="90" workbookViewId="0">
      <pane xSplit="3" ySplit="11" topLeftCell="D12" activePane="bottomRight" state="frozen"/>
      <selection/>
      <selection pane="topRight"/>
      <selection pane="bottomLeft"/>
      <selection pane="bottomRight" activeCell="E28" sqref="E28"/>
    </sheetView>
  </sheetViews>
  <sheetFormatPr defaultColWidth="13.75" defaultRowHeight="12.75"/>
  <cols>
    <col min="1" max="1" width="20.875" style="3122" customWidth="1"/>
    <col min="2" max="2" width="16.75" style="3045" customWidth="1"/>
    <col min="3" max="3" width="18.25" style="3046" customWidth="1"/>
    <col min="4" max="4" width="34.125" style="3123" customWidth="1"/>
    <col min="5" max="5" width="17.625" style="3123" customWidth="1"/>
    <col min="6" max="6" width="15.5" style="3124" customWidth="1"/>
    <col min="7" max="8" width="9.125" style="3125" customWidth="1"/>
    <col min="9" max="9" width="15" style="3046" customWidth="1"/>
    <col min="10" max="14" width="8.875" style="3046" customWidth="1"/>
    <col min="15" max="16" width="12.375" style="3046" customWidth="1"/>
    <col min="17" max="17" width="8.625" style="3046" customWidth="1"/>
    <col min="18" max="18" width="12.5" style="3046" customWidth="1"/>
    <col min="19" max="19" width="8.5" style="3046" customWidth="1"/>
    <col min="20" max="21" width="10.875" style="3046" customWidth="1"/>
    <col min="22" max="23" width="12.5" style="3046" customWidth="1"/>
    <col min="24" max="24" width="12.125" style="3046" customWidth="1"/>
    <col min="25" max="25" width="7.5" style="3046" customWidth="1"/>
    <col min="26" max="26" width="6.375" style="3046" customWidth="1"/>
    <col min="27" max="32" width="6.75" style="3046" customWidth="1"/>
    <col min="33" max="33" width="6.5" style="3046" customWidth="1"/>
    <col min="34" max="36" width="7.25" style="3046" customWidth="1"/>
    <col min="37" max="41" width="8" style="3046" customWidth="1"/>
    <col min="42" max="16384" width="13.75" style="3045"/>
  </cols>
  <sheetData>
    <row r="1" ht="19.5" spans="1:5">
      <c r="A1" s="3126" t="s">
        <v>449</v>
      </c>
      <c r="B1" s="2229"/>
      <c r="D1" s="3124"/>
      <c r="E1" s="3124"/>
    </row>
    <row r="2" s="3049" customFormat="1" ht="15.75" spans="1:41">
      <c r="A2" s="3127" t="s">
        <v>450</v>
      </c>
      <c r="B2" s="3128">
        <f>项目基本情况!D2</f>
        <v>44567</v>
      </c>
      <c r="C2" s="1080"/>
      <c r="D2" s="3129" t="s">
        <v>451</v>
      </c>
      <c r="E2" s="3130"/>
      <c r="F2" s="3131"/>
      <c r="G2" s="3132"/>
      <c r="H2" s="3132"/>
      <c r="I2" s="1080"/>
      <c r="J2" s="1080"/>
      <c r="K2" s="1080"/>
      <c r="L2" s="1080"/>
      <c r="M2" s="1080"/>
      <c r="N2" s="1080"/>
      <c r="O2" s="1080"/>
      <c r="P2" s="1080"/>
      <c r="Q2" s="1080"/>
      <c r="R2" s="1080"/>
      <c r="S2" s="1080"/>
      <c r="T2" s="1080"/>
      <c r="U2" s="1080"/>
      <c r="V2" s="1080"/>
      <c r="W2" s="1080"/>
      <c r="X2" s="1080"/>
      <c r="Y2" s="1080"/>
      <c r="Z2" s="1080"/>
      <c r="AA2" s="1080"/>
      <c r="AB2" s="1080"/>
      <c r="AC2" s="1080"/>
      <c r="AD2" s="1080"/>
      <c r="AE2" s="1080"/>
      <c r="AF2" s="1080"/>
      <c r="AG2" s="1080"/>
      <c r="AH2" s="1080"/>
      <c r="AI2" s="1080"/>
      <c r="AJ2" s="1080"/>
      <c r="AK2" s="1080"/>
      <c r="AL2" s="1080"/>
      <c r="AM2" s="1080"/>
      <c r="AN2" s="1080"/>
      <c r="AO2" s="1080"/>
    </row>
    <row r="3" s="3049" customFormat="1" ht="15" customHeight="1" spans="1:41">
      <c r="A3" s="3133" t="s">
        <v>452</v>
      </c>
      <c r="B3" s="3134" t="s">
        <v>453</v>
      </c>
      <c r="C3" s="1080"/>
      <c r="D3" s="3135"/>
      <c r="E3" s="3136" t="s">
        <v>454</v>
      </c>
      <c r="F3" s="3131"/>
      <c r="G3" s="3132"/>
      <c r="H3" s="3132"/>
      <c r="I3" s="1080"/>
      <c r="J3" s="1080"/>
      <c r="K3" s="1080"/>
      <c r="L3" s="1080"/>
      <c r="M3" s="1080"/>
      <c r="N3" s="1080"/>
      <c r="O3" s="1080"/>
      <c r="P3" s="1080"/>
      <c r="Q3" s="1080"/>
      <c r="R3" s="1080"/>
      <c r="S3" s="1080"/>
      <c r="T3" s="1080"/>
      <c r="U3" s="1080"/>
      <c r="V3" s="1080"/>
      <c r="W3" s="1080"/>
      <c r="X3" s="1080"/>
      <c r="Y3" s="1080"/>
      <c r="Z3" s="1080"/>
      <c r="AA3" s="1080"/>
      <c r="AB3" s="1080"/>
      <c r="AC3" s="1080"/>
      <c r="AD3" s="1080"/>
      <c r="AE3" s="1080"/>
      <c r="AF3" s="1080"/>
      <c r="AG3" s="1080"/>
      <c r="AH3" s="1080"/>
      <c r="AI3" s="1080"/>
      <c r="AJ3" s="1080"/>
      <c r="AK3" s="1080"/>
      <c r="AL3" s="1080"/>
      <c r="AM3" s="1080"/>
      <c r="AN3" s="1080"/>
      <c r="AO3" s="1080"/>
    </row>
    <row r="4" s="3049" customFormat="1" ht="15" spans="1:41">
      <c r="A4" s="3137" t="s">
        <v>455</v>
      </c>
      <c r="B4" s="3134" t="s">
        <v>456</v>
      </c>
      <c r="C4" s="1080"/>
      <c r="D4" s="3135"/>
      <c r="E4" s="3136"/>
      <c r="F4" s="3131"/>
      <c r="G4" s="3132"/>
      <c r="H4" s="3132"/>
      <c r="I4" s="1080"/>
      <c r="J4" s="1080"/>
      <c r="K4" s="1080"/>
      <c r="L4" s="1080"/>
      <c r="M4" s="1080"/>
      <c r="N4" s="1080"/>
      <c r="O4" s="1080"/>
      <c r="P4" s="1080"/>
      <c r="Q4" s="1080"/>
      <c r="R4" s="1080"/>
      <c r="S4" s="1080"/>
      <c r="T4" s="1080"/>
      <c r="U4" s="1080"/>
      <c r="V4" s="1080"/>
      <c r="W4" s="1080"/>
      <c r="X4" s="1080"/>
      <c r="Y4" s="1080"/>
      <c r="Z4" s="1080"/>
      <c r="AA4" s="1080"/>
      <c r="AB4" s="1080"/>
      <c r="AC4" s="1080"/>
      <c r="AD4" s="1080"/>
      <c r="AE4" s="1080"/>
      <c r="AF4" s="1080"/>
      <c r="AG4" s="1080"/>
      <c r="AH4" s="1080"/>
      <c r="AI4" s="1080"/>
      <c r="AJ4" s="1080"/>
      <c r="AK4" s="1080"/>
      <c r="AL4" s="1080"/>
      <c r="AM4" s="1080"/>
      <c r="AN4" s="1080"/>
      <c r="AO4" s="1080"/>
    </row>
    <row r="5" s="3049" customFormat="1" ht="15" spans="1:41">
      <c r="A5" s="3133" t="s">
        <v>457</v>
      </c>
      <c r="B5" s="3138">
        <f>项目基本情况!C12</f>
        <v>246.59</v>
      </c>
      <c r="C5" s="1080"/>
      <c r="D5" s="3139" t="s">
        <v>458</v>
      </c>
      <c r="E5" s="3140">
        <f>B5</f>
        <v>246.59</v>
      </c>
      <c r="F5" s="3131"/>
      <c r="G5" s="3132"/>
      <c r="H5" s="3132"/>
      <c r="I5" s="1080"/>
      <c r="J5" s="1080"/>
      <c r="K5" s="1080"/>
      <c r="L5" s="1080"/>
      <c r="M5" s="1080"/>
      <c r="N5" s="1080"/>
      <c r="O5" s="1080"/>
      <c r="P5" s="1080"/>
      <c r="Q5" s="1080"/>
      <c r="R5" s="1080"/>
      <c r="S5" s="1080"/>
      <c r="T5" s="1080"/>
      <c r="U5" s="1080"/>
      <c r="V5" s="1080"/>
      <c r="W5" s="1080"/>
      <c r="X5" s="1080"/>
      <c r="Y5" s="1080"/>
      <c r="Z5" s="1080"/>
      <c r="AA5" s="1080"/>
      <c r="AB5" s="1080"/>
      <c r="AC5" s="1080"/>
      <c r="AD5" s="1080"/>
      <c r="AE5" s="1080"/>
      <c r="AF5" s="1080"/>
      <c r="AG5" s="1080"/>
      <c r="AH5" s="1080"/>
      <c r="AI5" s="1080"/>
      <c r="AJ5" s="1080"/>
      <c r="AK5" s="1080"/>
      <c r="AL5" s="1080"/>
      <c r="AM5" s="1080"/>
      <c r="AN5" s="1080"/>
      <c r="AO5" s="1080"/>
    </row>
    <row r="6" s="3049" customFormat="1" ht="15" spans="1:41">
      <c r="A6" s="3137" t="s">
        <v>459</v>
      </c>
      <c r="B6" s="3141">
        <f>项目基本情况!C13</f>
        <v>0</v>
      </c>
      <c r="C6" s="1080"/>
      <c r="D6" s="3139" t="s">
        <v>460</v>
      </c>
      <c r="E6" s="3140"/>
      <c r="F6" s="3131"/>
      <c r="G6" s="3132"/>
      <c r="H6" s="3132"/>
      <c r="I6" s="1080"/>
      <c r="J6" s="1080"/>
      <c r="K6" s="1080"/>
      <c r="L6" s="1080"/>
      <c r="M6" s="1080"/>
      <c r="N6" s="1080"/>
      <c r="O6" s="1080"/>
      <c r="P6" s="1080"/>
      <c r="Q6" s="1080"/>
      <c r="R6" s="1080"/>
      <c r="S6" s="1080"/>
      <c r="T6" s="1080"/>
      <c r="U6" s="1080"/>
      <c r="V6" s="1080"/>
      <c r="W6" s="1080"/>
      <c r="X6" s="1080"/>
      <c r="Y6" s="1080"/>
      <c r="Z6" s="1080"/>
      <c r="AA6" s="1080"/>
      <c r="AB6" s="1080"/>
      <c r="AC6" s="1080"/>
      <c r="AD6" s="1080"/>
      <c r="AE6" s="1080"/>
      <c r="AF6" s="1080"/>
      <c r="AG6" s="1080"/>
      <c r="AH6" s="1080"/>
      <c r="AI6" s="1080"/>
      <c r="AJ6" s="1080"/>
      <c r="AK6" s="1080"/>
      <c r="AL6" s="1080"/>
      <c r="AM6" s="1080"/>
      <c r="AN6" s="1080"/>
      <c r="AO6" s="1080"/>
    </row>
    <row r="7" s="1080" customFormat="1" ht="15.75" spans="1:8">
      <c r="A7" s="3142"/>
      <c r="D7" s="3143"/>
      <c r="E7" s="3143"/>
      <c r="F7" s="3132"/>
      <c r="G7" s="3132"/>
      <c r="H7" s="3132"/>
    </row>
    <row r="8" s="1080" customFormat="1" ht="15" hidden="1" spans="1:8">
      <c r="A8" s="3142"/>
      <c r="D8" s="3143"/>
      <c r="E8" s="3143"/>
      <c r="F8" s="3132"/>
      <c r="G8" s="3132"/>
      <c r="H8" s="3132"/>
    </row>
    <row r="9" s="1080" customFormat="1" ht="15" hidden="1" spans="3:8">
      <c r="C9" s="3144"/>
      <c r="D9" s="3132"/>
      <c r="E9" s="3132"/>
      <c r="F9" s="3132"/>
      <c r="G9" s="3132"/>
      <c r="H9" s="3132"/>
    </row>
    <row r="10" s="3049" customFormat="1" ht="15" spans="1:41">
      <c r="A10" s="3145" t="s">
        <v>202</v>
      </c>
      <c r="B10" s="3146" t="s">
        <v>461</v>
      </c>
      <c r="C10" s="1080"/>
      <c r="D10" s="3127" t="s">
        <v>462</v>
      </c>
      <c r="E10" s="3147" t="s">
        <v>463</v>
      </c>
      <c r="F10" s="3148" t="s">
        <v>464</v>
      </c>
      <c r="G10" s="1080"/>
      <c r="H10" s="1080"/>
      <c r="I10" s="1080"/>
      <c r="J10" s="1080"/>
      <c r="K10" s="1080"/>
      <c r="L10" s="1080"/>
      <c r="M10" s="1080"/>
      <c r="N10" s="1080"/>
      <c r="O10" s="1080"/>
      <c r="P10" s="1080"/>
      <c r="Q10" s="1080"/>
      <c r="R10" s="1080"/>
      <c r="S10" s="1080"/>
      <c r="T10" s="1080"/>
      <c r="U10" s="1080"/>
      <c r="V10" s="1080"/>
      <c r="W10" s="1080"/>
      <c r="X10" s="1080"/>
      <c r="Y10" s="1080"/>
      <c r="Z10" s="1080"/>
      <c r="AA10" s="1080"/>
      <c r="AB10" s="1080"/>
      <c r="AC10" s="1080"/>
      <c r="AD10" s="1080"/>
      <c r="AE10" s="1080"/>
      <c r="AF10" s="1080"/>
      <c r="AG10" s="1080"/>
      <c r="AH10" s="1080"/>
      <c r="AI10" s="1080"/>
      <c r="AJ10" s="1080"/>
      <c r="AK10" s="1080"/>
      <c r="AL10" s="1080"/>
      <c r="AM10" s="1080"/>
      <c r="AN10" s="1080"/>
      <c r="AO10" s="1080"/>
    </row>
    <row r="11" s="3050" customFormat="1" ht="14.25" spans="1:41">
      <c r="A11" s="3149" t="s">
        <v>465</v>
      </c>
      <c r="B11" s="3150">
        <v>70</v>
      </c>
      <c r="C11" s="1080"/>
      <c r="D11" s="3151" t="s">
        <v>466</v>
      </c>
      <c r="E11" s="3152">
        <v>160</v>
      </c>
      <c r="F11" s="3153" t="s">
        <v>467</v>
      </c>
      <c r="G11" s="1080"/>
      <c r="H11" s="1080"/>
      <c r="I11" s="1080"/>
      <c r="J11" s="1080"/>
      <c r="K11" s="1080"/>
      <c r="L11" s="3051"/>
      <c r="M11" s="3051"/>
      <c r="N11" s="3051"/>
      <c r="O11" s="3051"/>
      <c r="P11" s="3051"/>
      <c r="Q11" s="3051"/>
      <c r="R11" s="1080"/>
      <c r="S11" s="1080"/>
      <c r="T11" s="1080"/>
      <c r="U11" s="1080"/>
      <c r="V11" s="1080"/>
      <c r="W11" s="1080"/>
      <c r="X11" s="1080"/>
      <c r="Y11" s="1080"/>
      <c r="Z11" s="1080"/>
      <c r="AA11" s="1080"/>
      <c r="AB11" s="1080"/>
      <c r="AC11" s="1080"/>
      <c r="AD11" s="1080"/>
      <c r="AE11" s="1080"/>
      <c r="AF11" s="1080"/>
      <c r="AG11" s="1080"/>
      <c r="AH11" s="1080"/>
      <c r="AI11" s="1080"/>
      <c r="AJ11" s="1080"/>
      <c r="AK11" s="1080"/>
      <c r="AL11" s="1080"/>
      <c r="AM11" s="1080"/>
      <c r="AN11" s="1080"/>
      <c r="AO11" s="1080"/>
    </row>
    <row r="12" s="3049" customFormat="1" ht="15" spans="1:41">
      <c r="A12" s="3154" t="s">
        <v>468</v>
      </c>
      <c r="B12" s="3155"/>
      <c r="C12" s="1080"/>
      <c r="D12" s="3154" t="s">
        <v>469</v>
      </c>
      <c r="E12" s="3156">
        <v>200</v>
      </c>
      <c r="F12" s="2643"/>
      <c r="G12" s="1080"/>
      <c r="H12" s="1080"/>
      <c r="I12" s="1080"/>
      <c r="J12" s="1080"/>
      <c r="K12" s="1080"/>
      <c r="L12" s="1080"/>
      <c r="M12" s="1080"/>
      <c r="N12" s="1080"/>
      <c r="O12" s="1080"/>
      <c r="P12" s="1080"/>
      <c r="Q12" s="1080"/>
      <c r="R12" s="1080"/>
      <c r="S12" s="1080"/>
      <c r="T12" s="1080"/>
      <c r="U12" s="1080"/>
      <c r="V12" s="1080"/>
      <c r="W12" s="1080"/>
      <c r="X12" s="1080"/>
      <c r="Y12" s="1080"/>
      <c r="Z12" s="1080"/>
      <c r="AA12" s="1080"/>
      <c r="AB12" s="1080"/>
      <c r="AC12" s="1080"/>
      <c r="AD12" s="1080"/>
      <c r="AE12" s="1080"/>
      <c r="AF12" s="1080"/>
      <c r="AG12" s="1080"/>
      <c r="AH12" s="1080"/>
      <c r="AI12" s="1080"/>
      <c r="AJ12" s="1080"/>
      <c r="AK12" s="1080"/>
      <c r="AL12" s="1080"/>
      <c r="AM12" s="1080"/>
      <c r="AN12" s="1080"/>
      <c r="AO12" s="1080"/>
    </row>
    <row r="13" s="3049" customFormat="1" ht="15" spans="1:41">
      <c r="A13" s="3157" t="s">
        <v>470</v>
      </c>
      <c r="B13" s="3158">
        <f>IF(B12="",B11-(YEAR($B$2)-B27+B24),ROUNDDOWN(MIN((B12-$B$2)/365,B11),2))</f>
        <v>48</v>
      </c>
      <c r="C13" s="3159"/>
      <c r="D13" s="3160" t="s">
        <v>471</v>
      </c>
      <c r="E13" s="3161"/>
      <c r="F13" s="923" t="s">
        <v>472</v>
      </c>
      <c r="G13" s="1080"/>
      <c r="H13" s="1080"/>
      <c r="I13" s="1080"/>
      <c r="J13" s="1080"/>
      <c r="K13" s="1080"/>
      <c r="L13" s="1080"/>
      <c r="M13" s="1080"/>
      <c r="N13" s="1080"/>
      <c r="O13" s="1080"/>
      <c r="P13" s="1080"/>
      <c r="Q13" s="1080"/>
      <c r="R13" s="1080"/>
      <c r="S13" s="1080"/>
      <c r="T13" s="1080"/>
      <c r="U13" s="1080"/>
      <c r="V13" s="1080"/>
      <c r="W13" s="1080"/>
      <c r="X13" s="1080"/>
      <c r="Y13" s="1080"/>
      <c r="Z13" s="1080"/>
      <c r="AA13" s="1080"/>
      <c r="AB13" s="1080"/>
      <c r="AC13" s="1080"/>
      <c r="AD13" s="1080"/>
      <c r="AE13" s="1080"/>
      <c r="AF13" s="1080"/>
      <c r="AG13" s="1080"/>
      <c r="AH13" s="1080"/>
      <c r="AI13" s="1080"/>
      <c r="AJ13" s="1080"/>
      <c r="AK13" s="1080"/>
      <c r="AL13" s="1080"/>
      <c r="AM13" s="1080"/>
      <c r="AN13" s="1080"/>
      <c r="AO13" s="1080"/>
    </row>
    <row r="14" s="3049" customFormat="1" ht="14.25" spans="1:41">
      <c r="A14" s="3154" t="s">
        <v>473</v>
      </c>
      <c r="B14" s="3162">
        <f>IF(ISERROR(ROUND(POWER(1+B15,B11-B13)*(POWER(1+B15,B13)-1)/(POWER(1+B15,B11)-1),3)),0,ROUND(POWER(1+B15,B11-B13)*(POWER(1+B15,B13)-1)/(POWER(1+B15,B11)-1),3))</f>
        <v>0.921</v>
      </c>
      <c r="C14" s="1080"/>
      <c r="D14" s="3163" t="s">
        <v>474</v>
      </c>
      <c r="E14" s="3164">
        <v>200</v>
      </c>
      <c r="F14" s="2643"/>
      <c r="G14" s="1080"/>
      <c r="H14" s="1080"/>
      <c r="I14" s="1080"/>
      <c r="J14" s="1080"/>
      <c r="K14" s="1080"/>
      <c r="L14" s="1080"/>
      <c r="M14" s="1080"/>
      <c r="N14" s="1080"/>
      <c r="O14" s="1080"/>
      <c r="P14" s="1080"/>
      <c r="Q14" s="1080"/>
      <c r="R14" s="1080"/>
      <c r="S14" s="1080"/>
      <c r="T14" s="1080"/>
      <c r="U14" s="1080"/>
      <c r="V14" s="1080"/>
      <c r="W14" s="1080"/>
      <c r="X14" s="1080"/>
      <c r="Y14" s="1080"/>
      <c r="Z14" s="1080"/>
      <c r="AA14" s="1080"/>
      <c r="AB14" s="1080"/>
      <c r="AC14" s="1080"/>
      <c r="AD14" s="1080"/>
      <c r="AE14" s="1080"/>
      <c r="AF14" s="1080"/>
      <c r="AG14" s="1080"/>
      <c r="AH14" s="1080"/>
      <c r="AI14" s="1080"/>
      <c r="AJ14" s="1080"/>
      <c r="AK14" s="1080"/>
      <c r="AL14" s="1080"/>
      <c r="AM14" s="1080"/>
      <c r="AN14" s="1080"/>
      <c r="AO14" s="1080"/>
    </row>
    <row r="15" s="3049" customFormat="1" ht="14.25" spans="1:41">
      <c r="A15" s="3154" t="s">
        <v>475</v>
      </c>
      <c r="B15" s="3165">
        <v>0.045</v>
      </c>
      <c r="C15" s="2586" t="s">
        <v>476</v>
      </c>
      <c r="D15" s="3154" t="s">
        <v>477</v>
      </c>
      <c r="E15" s="3166">
        <f>E14-E16</f>
        <v>200</v>
      </c>
      <c r="F15" s="2643"/>
      <c r="G15" s="1080"/>
      <c r="H15" s="1080"/>
      <c r="I15" s="1080"/>
      <c r="J15" s="1080"/>
      <c r="K15" s="1080"/>
      <c r="L15" s="1080"/>
      <c r="M15" s="1080"/>
      <c r="N15" s="1080"/>
      <c r="O15" s="1080"/>
      <c r="P15" s="1080"/>
      <c r="Q15" s="1080"/>
      <c r="R15" s="1080"/>
      <c r="S15" s="1080"/>
      <c r="T15" s="1080"/>
      <c r="U15" s="1080"/>
      <c r="V15" s="1080"/>
      <c r="W15" s="1080"/>
      <c r="X15" s="1080"/>
      <c r="Y15" s="1080"/>
      <c r="Z15" s="1080"/>
      <c r="AA15" s="1080"/>
      <c r="AB15" s="1080"/>
      <c r="AC15" s="1080"/>
      <c r="AD15" s="1080"/>
      <c r="AE15" s="1080"/>
      <c r="AF15" s="1080"/>
      <c r="AG15" s="1080"/>
      <c r="AH15" s="1080"/>
      <c r="AI15" s="1080"/>
      <c r="AJ15" s="1080"/>
      <c r="AK15" s="1080"/>
      <c r="AL15" s="1080"/>
      <c r="AM15" s="1080"/>
      <c r="AN15" s="1080"/>
      <c r="AO15" s="1080"/>
    </row>
    <row r="16" s="3049" customFormat="1" ht="15" spans="1:41">
      <c r="A16" s="3154" t="s">
        <v>478</v>
      </c>
      <c r="B16" s="3165">
        <v>0.045</v>
      </c>
      <c r="C16" s="2586" t="s">
        <v>479</v>
      </c>
      <c r="D16" s="3167" t="s">
        <v>480</v>
      </c>
      <c r="E16" s="3168">
        <v>0</v>
      </c>
      <c r="F16" s="923"/>
      <c r="G16" s="1080"/>
      <c r="H16" s="1080"/>
      <c r="I16" s="1080"/>
      <c r="J16" s="1080"/>
      <c r="K16" s="1080"/>
      <c r="L16" s="1080"/>
      <c r="M16" s="1080"/>
      <c r="N16" s="1080"/>
      <c r="O16" s="1080"/>
      <c r="P16" s="1080"/>
      <c r="Q16" s="1080"/>
      <c r="R16" s="1080"/>
      <c r="S16" s="1080"/>
      <c r="T16" s="1080"/>
      <c r="U16" s="1080"/>
      <c r="V16" s="1080"/>
      <c r="W16" s="1080"/>
      <c r="X16" s="1080"/>
      <c r="Y16" s="1080"/>
      <c r="Z16" s="1080"/>
      <c r="AA16" s="1080"/>
      <c r="AB16" s="1080"/>
      <c r="AC16" s="1080"/>
      <c r="AD16" s="1080"/>
      <c r="AE16" s="1080"/>
      <c r="AF16" s="1080"/>
      <c r="AG16" s="1080"/>
      <c r="AH16" s="1080"/>
      <c r="AI16" s="1080"/>
      <c r="AJ16" s="1080"/>
      <c r="AK16" s="1080"/>
      <c r="AL16" s="1080"/>
      <c r="AM16" s="1080"/>
      <c r="AN16" s="1080"/>
      <c r="AO16" s="1080"/>
    </row>
    <row r="17" s="3049" customFormat="1" ht="15" spans="1:41">
      <c r="A17" s="3167" t="s">
        <v>481</v>
      </c>
      <c r="B17" s="3169">
        <v>0.07</v>
      </c>
      <c r="C17" s="2586" t="s">
        <v>482</v>
      </c>
      <c r="D17" s="3145" t="s">
        <v>483</v>
      </c>
      <c r="E17" s="3170">
        <v>3000</v>
      </c>
      <c r="F17" s="2229"/>
      <c r="G17" s="1080"/>
      <c r="H17" s="1080"/>
      <c r="I17" s="1080">
        <v>2002</v>
      </c>
      <c r="J17" s="1080"/>
      <c r="K17" s="1080"/>
      <c r="L17" s="1080"/>
      <c r="M17" s="1080"/>
      <c r="N17" s="1080"/>
      <c r="O17" s="1080"/>
      <c r="P17" s="1080"/>
      <c r="Q17" s="1080"/>
      <c r="R17" s="1080"/>
      <c r="S17" s="1080"/>
      <c r="T17" s="1080"/>
      <c r="U17" s="1080"/>
      <c r="V17" s="1080"/>
      <c r="W17" s="1080"/>
      <c r="X17" s="1080"/>
      <c r="Y17" s="1080"/>
      <c r="Z17" s="1080"/>
      <c r="AA17" s="1080"/>
      <c r="AB17" s="1080"/>
      <c r="AC17" s="1080"/>
      <c r="AD17" s="1080"/>
      <c r="AE17" s="1080"/>
      <c r="AF17" s="1080"/>
      <c r="AG17" s="1080"/>
      <c r="AH17" s="1080"/>
      <c r="AI17" s="1080"/>
      <c r="AJ17" s="1080"/>
      <c r="AK17" s="1080"/>
      <c r="AL17" s="1080"/>
      <c r="AM17" s="1080"/>
      <c r="AN17" s="1080"/>
      <c r="AO17" s="1080"/>
    </row>
    <row r="18" s="3049" customFormat="1" ht="15" spans="1:41">
      <c r="A18" s="3171" t="s">
        <v>484</v>
      </c>
      <c r="B18" s="3172"/>
      <c r="C18" s="1080"/>
      <c r="D18" s="3173" t="str">
        <f>IF(B26=0,"建安总额","在建建安")</f>
        <v>建安总额</v>
      </c>
      <c r="E18" s="3174">
        <f>ROUND(B5*E17*IF(B26=0,1,E20),0)</f>
        <v>739770</v>
      </c>
      <c r="F18" s="3175">
        <f>ROUND(E5*E17*IF(B26=0,1,E20),0)</f>
        <v>739770</v>
      </c>
      <c r="G18" s="1080"/>
      <c r="H18" s="1080"/>
      <c r="I18" s="1080">
        <v>2022</v>
      </c>
      <c r="J18" s="1080"/>
      <c r="K18" s="1080"/>
      <c r="L18" s="1080"/>
      <c r="M18" s="1080"/>
      <c r="N18" s="1080"/>
      <c r="O18" s="1080"/>
      <c r="P18" s="1080"/>
      <c r="Q18" s="1080"/>
      <c r="R18" s="1080"/>
      <c r="S18" s="1080"/>
      <c r="T18" s="1080"/>
      <c r="U18" s="1080"/>
      <c r="V18" s="1080"/>
      <c r="W18" s="1080"/>
      <c r="X18" s="1080"/>
      <c r="Y18" s="1080"/>
      <c r="Z18" s="1080"/>
      <c r="AA18" s="1080"/>
      <c r="AB18" s="1080"/>
      <c r="AC18" s="1080"/>
      <c r="AD18" s="1080"/>
      <c r="AE18" s="1080"/>
      <c r="AF18" s="1080"/>
      <c r="AG18" s="1080"/>
      <c r="AH18" s="1080"/>
      <c r="AI18" s="1080"/>
      <c r="AJ18" s="1080"/>
      <c r="AK18" s="1080"/>
      <c r="AL18" s="1080"/>
      <c r="AM18" s="1080"/>
      <c r="AN18" s="1080"/>
      <c r="AO18" s="1080"/>
    </row>
    <row r="19" s="3049" customFormat="1" ht="15" spans="1:41">
      <c r="A19" s="2643"/>
      <c r="B19" s="2643"/>
      <c r="C19" s="1080"/>
      <c r="D19" s="3173" t="str">
        <f>IF(B26=0,"——","续建建安")</f>
        <v>——</v>
      </c>
      <c r="E19" s="3174" t="str">
        <f>IF(B26=0,"——",ROUND(B5*E17*(1-E20),0))</f>
        <v>——</v>
      </c>
      <c r="F19" s="3175" t="str">
        <f>IF(B26=0,"——",ROUND(E5*E17*(1-E20),0))</f>
        <v>——</v>
      </c>
      <c r="G19" s="1080"/>
      <c r="H19" s="1080"/>
      <c r="I19" s="1080">
        <f>I18-I17</f>
        <v>20</v>
      </c>
      <c r="J19" s="1080"/>
      <c r="K19" s="1080"/>
      <c r="L19" s="1080"/>
      <c r="M19" s="1080"/>
      <c r="N19" s="1080"/>
      <c r="O19" s="1080"/>
      <c r="P19" s="1080"/>
      <c r="Q19" s="1080"/>
      <c r="R19" s="1080"/>
      <c r="S19" s="1080"/>
      <c r="T19" s="1080"/>
      <c r="U19" s="1080"/>
      <c r="V19" s="1080"/>
      <c r="W19" s="1080"/>
      <c r="X19" s="1080"/>
      <c r="Y19" s="1080"/>
      <c r="Z19" s="1080"/>
      <c r="AA19" s="1080"/>
      <c r="AB19" s="1080"/>
      <c r="AC19" s="1080"/>
      <c r="AD19" s="1080"/>
      <c r="AE19" s="1080"/>
      <c r="AF19" s="1080"/>
      <c r="AG19" s="1080"/>
      <c r="AH19" s="1080"/>
      <c r="AI19" s="1080"/>
      <c r="AJ19" s="1080"/>
      <c r="AK19" s="1080"/>
      <c r="AL19" s="1080"/>
      <c r="AM19" s="1080"/>
      <c r="AN19" s="1080"/>
      <c r="AO19" s="1080"/>
    </row>
    <row r="20" s="3049" customFormat="1" ht="15" spans="1:41">
      <c r="A20" s="3176" t="s">
        <v>485</v>
      </c>
      <c r="B20" s="2643"/>
      <c r="C20" s="1080"/>
      <c r="D20" s="3177" t="str">
        <f>IF(B26=0,"成新率","工程进度")</f>
        <v>成新率</v>
      </c>
      <c r="E20" s="3178">
        <v>0.76</v>
      </c>
      <c r="F20" s="2229"/>
      <c r="G20" s="1080"/>
      <c r="H20" s="1080"/>
      <c r="I20" s="1080">
        <v>60</v>
      </c>
      <c r="J20" s="1080"/>
      <c r="K20" s="1080"/>
      <c r="L20" s="1080"/>
      <c r="M20" s="1080"/>
      <c r="N20" s="1080"/>
      <c r="O20" s="1080"/>
      <c r="P20" s="1080"/>
      <c r="Q20" s="1080"/>
      <c r="R20" s="1080"/>
      <c r="S20" s="1080"/>
      <c r="T20" s="1080"/>
      <c r="U20" s="1080"/>
      <c r="V20" s="1080"/>
      <c r="W20" s="1080"/>
      <c r="X20" s="1080"/>
      <c r="Y20" s="1080"/>
      <c r="Z20" s="1080"/>
      <c r="AA20" s="1080"/>
      <c r="AB20" s="1080"/>
      <c r="AC20" s="1080"/>
      <c r="AD20" s="1080"/>
      <c r="AE20" s="1080"/>
      <c r="AF20" s="1080"/>
      <c r="AG20" s="1080"/>
      <c r="AH20" s="1080"/>
      <c r="AI20" s="1080"/>
      <c r="AJ20" s="1080"/>
      <c r="AK20" s="1080"/>
      <c r="AL20" s="1080"/>
      <c r="AM20" s="1080"/>
      <c r="AN20" s="1080"/>
      <c r="AO20" s="1080"/>
    </row>
    <row r="21" s="3049" customFormat="1" ht="14.25" spans="1:41">
      <c r="A21" s="3179" t="s">
        <v>486</v>
      </c>
      <c r="B21" s="3180">
        <v>0</v>
      </c>
      <c r="C21" s="1080"/>
      <c r="D21" s="3154" t="s">
        <v>487</v>
      </c>
      <c r="E21" s="3181">
        <v>0.03</v>
      </c>
      <c r="F21" s="3182" t="s">
        <v>488</v>
      </c>
      <c r="G21" s="1080"/>
      <c r="H21" s="1080"/>
      <c r="I21" s="1080">
        <f>I20-I19</f>
        <v>40</v>
      </c>
      <c r="J21" s="1080"/>
      <c r="K21" s="1080"/>
      <c r="L21" s="1080"/>
      <c r="M21" s="1080"/>
      <c r="N21" s="1080"/>
      <c r="O21" s="1080"/>
      <c r="P21" s="1080"/>
      <c r="Q21" s="1080"/>
      <c r="R21" s="1080"/>
      <c r="S21" s="1080"/>
      <c r="T21" s="1080"/>
      <c r="U21" s="1080"/>
      <c r="V21" s="1080"/>
      <c r="W21" s="1080"/>
      <c r="X21" s="1080"/>
      <c r="Y21" s="1080"/>
      <c r="Z21" s="1080"/>
      <c r="AA21" s="1080"/>
      <c r="AB21" s="1080"/>
      <c r="AC21" s="1080"/>
      <c r="AD21" s="1080"/>
      <c r="AE21" s="1080"/>
      <c r="AF21" s="1080"/>
      <c r="AG21" s="1080"/>
      <c r="AH21" s="1080"/>
      <c r="AI21" s="1080"/>
      <c r="AJ21" s="1080"/>
      <c r="AK21" s="1080"/>
      <c r="AL21" s="1080"/>
      <c r="AM21" s="1080"/>
      <c r="AN21" s="1080"/>
      <c r="AO21" s="1080"/>
    </row>
    <row r="22" s="3049" customFormat="1" ht="14.25" spans="1:41">
      <c r="A22" s="3183" t="s">
        <v>489</v>
      </c>
      <c r="B22" s="3184">
        <v>2</v>
      </c>
      <c r="C22" s="1080"/>
      <c r="D22" s="3154" t="s">
        <v>490</v>
      </c>
      <c r="E22" s="3185">
        <v>0.05</v>
      </c>
      <c r="F22" s="3182" t="s">
        <v>491</v>
      </c>
      <c r="G22" s="1080"/>
      <c r="H22" s="1080"/>
      <c r="I22" s="1080">
        <v>0.67</v>
      </c>
      <c r="J22" s="1080">
        <v>0.85</v>
      </c>
      <c r="K22" s="1080"/>
      <c r="L22" s="1080"/>
      <c r="M22" s="1080"/>
      <c r="N22" s="1080"/>
      <c r="O22" s="1080"/>
      <c r="P22" s="1080"/>
      <c r="Q22" s="1080"/>
      <c r="R22" s="1080"/>
      <c r="S22" s="1080"/>
      <c r="T22" s="1080"/>
      <c r="U22" s="1080"/>
      <c r="V22" s="1080"/>
      <c r="W22" s="1080"/>
      <c r="X22" s="1080"/>
      <c r="Y22" s="1080"/>
      <c r="Z22" s="1080"/>
      <c r="AA22" s="1080"/>
      <c r="AB22" s="1080"/>
      <c r="AC22" s="1080"/>
      <c r="AD22" s="1080"/>
      <c r="AE22" s="1080"/>
      <c r="AF22" s="1080"/>
      <c r="AG22" s="1080"/>
      <c r="AH22" s="1080"/>
      <c r="AI22" s="1080"/>
      <c r="AJ22" s="1080"/>
      <c r="AK22" s="1080"/>
      <c r="AL22" s="1080"/>
      <c r="AM22" s="1080"/>
      <c r="AN22" s="1080"/>
      <c r="AO22" s="1080"/>
    </row>
    <row r="23" s="3049" customFormat="1" ht="14.25" spans="1:41">
      <c r="A23" s="3186" t="s">
        <v>492</v>
      </c>
      <c r="B23" s="3187">
        <v>2</v>
      </c>
      <c r="C23" s="1080"/>
      <c r="D23" s="3154" t="s">
        <v>493</v>
      </c>
      <c r="E23" s="3156">
        <v>200</v>
      </c>
      <c r="F23" s="3182"/>
      <c r="G23" s="1080"/>
      <c r="H23" s="1080"/>
      <c r="I23" s="1080"/>
      <c r="J23" s="1080"/>
      <c r="K23" s="1080"/>
      <c r="L23" s="1080"/>
      <c r="M23" s="1080"/>
      <c r="N23" s="1080"/>
      <c r="O23" s="1080"/>
      <c r="P23" s="1080"/>
      <c r="Q23" s="1080"/>
      <c r="R23" s="1080"/>
      <c r="S23" s="1080"/>
      <c r="T23" s="1080"/>
      <c r="U23" s="1080"/>
      <c r="V23" s="1080"/>
      <c r="W23" s="1080"/>
      <c r="X23" s="1080"/>
      <c r="Y23" s="1080"/>
      <c r="Z23" s="1080"/>
      <c r="AA23" s="1080"/>
      <c r="AB23" s="1080"/>
      <c r="AC23" s="1080"/>
      <c r="AD23" s="1080"/>
      <c r="AE23" s="1080"/>
      <c r="AF23" s="1080"/>
      <c r="AG23" s="1080"/>
      <c r="AH23" s="1080"/>
      <c r="AI23" s="1080"/>
      <c r="AJ23" s="1080"/>
      <c r="AK23" s="1080"/>
      <c r="AL23" s="1080"/>
      <c r="AM23" s="1080"/>
      <c r="AN23" s="1080"/>
      <c r="AO23" s="1080"/>
    </row>
    <row r="24" s="3049" customFormat="1" ht="15" spans="1:41">
      <c r="A24" s="3188" t="s">
        <v>494</v>
      </c>
      <c r="B24" s="3189">
        <f>B21+B22</f>
        <v>2</v>
      </c>
      <c r="C24" s="1080"/>
      <c r="D24" s="3167" t="s">
        <v>495</v>
      </c>
      <c r="E24" s="3190">
        <v>0.015</v>
      </c>
      <c r="F24" s="3182" t="s">
        <v>496</v>
      </c>
      <c r="G24" s="1080"/>
      <c r="H24" s="1080"/>
      <c r="I24" s="1080"/>
      <c r="J24" s="1080"/>
      <c r="K24" s="1080"/>
      <c r="L24" s="1080"/>
      <c r="M24" s="1080"/>
      <c r="N24" s="1080"/>
      <c r="O24" s="1080"/>
      <c r="P24" s="1080"/>
      <c r="Q24" s="1080"/>
      <c r="R24" s="1080"/>
      <c r="S24" s="1080"/>
      <c r="T24" s="1080"/>
      <c r="U24" s="1080"/>
      <c r="V24" s="1080"/>
      <c r="W24" s="1080"/>
      <c r="X24" s="1080"/>
      <c r="Y24" s="1080"/>
      <c r="Z24" s="1080"/>
      <c r="AA24" s="1080"/>
      <c r="AB24" s="1080"/>
      <c r="AC24" s="1080"/>
      <c r="AD24" s="1080"/>
      <c r="AE24" s="1080"/>
      <c r="AF24" s="1080"/>
      <c r="AG24" s="1080"/>
      <c r="AH24" s="1080"/>
      <c r="AI24" s="1080"/>
      <c r="AJ24" s="1080"/>
      <c r="AK24" s="1080"/>
      <c r="AL24" s="1080"/>
      <c r="AM24" s="1080"/>
      <c r="AN24" s="1080"/>
      <c r="AO24" s="1080"/>
    </row>
    <row r="25" ht="14.25" spans="1:9">
      <c r="A25" s="3191" t="s">
        <v>497</v>
      </c>
      <c r="B25" s="3192">
        <f>B21+B23</f>
        <v>2</v>
      </c>
      <c r="C25" s="1080"/>
      <c r="D25" s="3151" t="s">
        <v>498</v>
      </c>
      <c r="E25" s="3181">
        <v>0.02</v>
      </c>
      <c r="F25" s="3182" t="s">
        <v>499</v>
      </c>
      <c r="I25" s="3125"/>
    </row>
    <row r="26" ht="15" spans="1:14">
      <c r="A26" s="3188" t="s">
        <v>500</v>
      </c>
      <c r="B26" s="3193">
        <f>B22-B23</f>
        <v>0</v>
      </c>
      <c r="D26" s="3154" t="s">
        <v>501</v>
      </c>
      <c r="E26" s="3185">
        <v>0.02</v>
      </c>
      <c r="F26" s="3182" t="s">
        <v>499</v>
      </c>
      <c r="G26" s="3132"/>
      <c r="H26" s="3132"/>
      <c r="I26" s="1080"/>
      <c r="J26" s="1080"/>
      <c r="K26" s="1080"/>
      <c r="L26" s="1080"/>
      <c r="M26" s="1080"/>
      <c r="N26" s="1080"/>
    </row>
    <row r="27" ht="15" spans="1:14">
      <c r="A27" s="3194" t="s">
        <v>502</v>
      </c>
      <c r="B27" s="3195">
        <v>2002</v>
      </c>
      <c r="C27" s="1080"/>
      <c r="D27" s="3196" t="s">
        <v>503</v>
      </c>
      <c r="E27" s="3197">
        <v>0.0475</v>
      </c>
      <c r="F27" s="3198">
        <v>0.005</v>
      </c>
      <c r="G27" s="3132"/>
      <c r="H27" s="3132"/>
      <c r="K27" s="1080"/>
      <c r="N27" s="1080"/>
    </row>
    <row r="28" ht="15" spans="1:14">
      <c r="A28" s="2229"/>
      <c r="B28" s="2229"/>
      <c r="D28" s="3160" t="s">
        <v>504</v>
      </c>
      <c r="E28" s="3199">
        <v>0.25</v>
      </c>
      <c r="G28" s="3132"/>
      <c r="H28" s="3132"/>
      <c r="K28" s="1080"/>
      <c r="N28" s="1080"/>
    </row>
    <row r="29" ht="14.25" spans="1:14">
      <c r="A29" s="3200" t="s">
        <v>505</v>
      </c>
      <c r="B29" s="3201" t="s">
        <v>506</v>
      </c>
      <c r="D29" s="3163" t="s">
        <v>507</v>
      </c>
      <c r="E29" s="3202">
        <f>E30+E31</f>
        <v>0.056</v>
      </c>
      <c r="F29" s="923"/>
      <c r="G29" s="3132"/>
      <c r="H29" s="3132"/>
      <c r="K29" s="1080"/>
      <c r="N29" s="1080"/>
    </row>
    <row r="30" ht="14.25" spans="1:14">
      <c r="A30" s="3154" t="str">
        <f>IF(B29="租赁期内按合同租金","合同租金","市场租金")</f>
        <v>市场租金</v>
      </c>
      <c r="B30" s="3203">
        <v>130</v>
      </c>
      <c r="D30" s="3167" t="s">
        <v>508</v>
      </c>
      <c r="E30" s="3204">
        <v>0.05</v>
      </c>
      <c r="F30" s="3205">
        <f>IF(B2&lt;DATE(2016,5,1),0,E30)</f>
        <v>0.05</v>
      </c>
      <c r="G30" s="3132"/>
      <c r="H30" s="3132"/>
      <c r="K30" s="1080"/>
      <c r="N30" s="1080"/>
    </row>
    <row r="31" ht="14.25" spans="1:14">
      <c r="A31" s="3154" t="s">
        <v>509</v>
      </c>
      <c r="B31" s="3206">
        <f ca="1">存贷款利率!I1</f>
        <v>0.015</v>
      </c>
      <c r="D31" s="3167" t="s">
        <v>510</v>
      </c>
      <c r="E31" s="3207">
        <f>E30*(E32+E33+E34)+E35</f>
        <v>0.006</v>
      </c>
      <c r="F31" s="923"/>
      <c r="G31" s="3132"/>
      <c r="H31" s="3132"/>
      <c r="K31" s="1080"/>
      <c r="N31" s="1080"/>
    </row>
    <row r="32" ht="14.25" spans="1:14">
      <c r="A32" s="3154" t="s">
        <v>511</v>
      </c>
      <c r="B32" s="3165">
        <v>0.02</v>
      </c>
      <c r="D32" s="3167" t="s">
        <v>512</v>
      </c>
      <c r="E32" s="3208">
        <v>0.07</v>
      </c>
      <c r="F32" s="3182" t="s">
        <v>513</v>
      </c>
      <c r="G32" s="3132"/>
      <c r="H32" s="3132"/>
      <c r="K32" s="1080"/>
      <c r="L32" s="1080"/>
      <c r="M32" s="1080"/>
      <c r="N32" s="1080"/>
    </row>
    <row r="33" ht="14.25" spans="1:14">
      <c r="A33" s="3154" t="s">
        <v>514</v>
      </c>
      <c r="B33" s="3165">
        <v>0.1</v>
      </c>
      <c r="D33" s="3167" t="s">
        <v>515</v>
      </c>
      <c r="E33" s="3204">
        <v>0.03</v>
      </c>
      <c r="F33" s="3209" t="s">
        <v>516</v>
      </c>
      <c r="G33" s="3132"/>
      <c r="H33" s="3132"/>
      <c r="K33" s="1080"/>
      <c r="L33" s="1080"/>
      <c r="M33" s="1080"/>
      <c r="N33" s="1080"/>
    </row>
    <row r="34" s="3046" customFormat="1" ht="14.25" spans="1:14">
      <c r="A34" s="3154" t="s">
        <v>517</v>
      </c>
      <c r="B34" s="3210">
        <f>收益法!J54</f>
        <v>48</v>
      </c>
      <c r="D34" s="3167" t="s">
        <v>518</v>
      </c>
      <c r="E34" s="3204">
        <v>0.02</v>
      </c>
      <c r="F34" s="3209" t="s">
        <v>519</v>
      </c>
      <c r="G34" s="3132"/>
      <c r="H34" s="3132"/>
      <c r="I34" s="1080"/>
      <c r="J34" s="1080"/>
      <c r="K34" s="1080"/>
      <c r="L34" s="1080"/>
      <c r="M34" s="1080"/>
      <c r="N34" s="1080"/>
    </row>
    <row r="35" s="3046" customFormat="1" ht="15" spans="1:14">
      <c r="A35" s="3167" t="str">
        <f>IF(B29="租赁期内按合同租金","剩余租赁期","——")</f>
        <v>——</v>
      </c>
      <c r="B35" s="3211"/>
      <c r="D35" s="3160" t="s">
        <v>520</v>
      </c>
      <c r="E35" s="3212"/>
      <c r="F35" s="3153" t="s">
        <v>467</v>
      </c>
      <c r="G35" s="3132"/>
      <c r="H35" s="3132"/>
      <c r="I35" s="1080"/>
      <c r="J35" s="1080"/>
      <c r="K35" s="1080"/>
      <c r="L35" s="1080"/>
      <c r="M35" s="1080"/>
      <c r="N35" s="1080"/>
    </row>
    <row r="36" s="3046" customFormat="1" ht="14.25" spans="1:14">
      <c r="A36" s="3213" t="s">
        <v>521</v>
      </c>
      <c r="B36" s="3214"/>
      <c r="D36" s="3215" t="s">
        <v>522</v>
      </c>
      <c r="E36" s="3216">
        <v>0.03</v>
      </c>
      <c r="F36" s="2643" t="s">
        <v>523</v>
      </c>
      <c r="G36" s="3132"/>
      <c r="H36" s="3132"/>
      <c r="I36" s="1080"/>
      <c r="J36" s="1080"/>
      <c r="K36" s="1080"/>
      <c r="L36" s="1080"/>
      <c r="M36" s="1080"/>
      <c r="N36" s="1080"/>
    </row>
    <row r="37" s="3046" customFormat="1" ht="15" spans="1:14">
      <c r="A37" s="3163" t="str">
        <f>IF(B29="租赁期内按合同租金","租金","——")</f>
        <v>——</v>
      </c>
      <c r="B37" s="3217"/>
      <c r="D37" s="3167" t="s">
        <v>524</v>
      </c>
      <c r="E37" s="3204">
        <v>0.0005</v>
      </c>
      <c r="F37" s="2643" t="s">
        <v>525</v>
      </c>
      <c r="G37" s="3132"/>
      <c r="H37" s="3132"/>
      <c r="I37" s="1080"/>
      <c r="J37" s="1080"/>
      <c r="K37" s="1080"/>
      <c r="L37" s="1080"/>
      <c r="M37" s="1080"/>
      <c r="N37" s="1080"/>
    </row>
    <row r="38" s="3046" customFormat="1" ht="14.25" spans="1:14">
      <c r="A38" s="3154" t="str">
        <f>IF(B29="租赁期内按合同租金","年租金增长率","——")</f>
        <v>——</v>
      </c>
      <c r="B38" s="3165"/>
      <c r="D38" s="3218" t="s">
        <v>526</v>
      </c>
      <c r="E38" s="3219">
        <v>0.012</v>
      </c>
      <c r="F38" s="2643"/>
      <c r="G38" s="3125"/>
      <c r="H38" s="3125"/>
      <c r="I38" s="3132"/>
      <c r="J38" s="1080"/>
      <c r="K38" s="1080"/>
      <c r="L38" s="1080"/>
      <c r="M38" s="1080"/>
      <c r="N38" s="1080"/>
    </row>
    <row r="39" s="3046" customFormat="1" ht="15" spans="1:14">
      <c r="A39" s="3154" t="str">
        <f>IF(B29="租赁期内按合同租金","空置率","——")</f>
        <v>——</v>
      </c>
      <c r="B39" s="3165"/>
      <c r="D39" s="3160" t="s">
        <v>527</v>
      </c>
      <c r="E39" s="3220">
        <v>0.12</v>
      </c>
      <c r="F39" s="2643"/>
      <c r="G39" s="3132"/>
      <c r="H39" s="3132"/>
      <c r="I39" s="1080"/>
      <c r="J39" s="1080"/>
      <c r="K39" s="1080"/>
      <c r="L39" s="1080"/>
      <c r="M39" s="1080"/>
      <c r="N39" s="1080"/>
    </row>
    <row r="40" ht="14.25" spans="1:14">
      <c r="A40" s="3154" t="str">
        <f>IF(B29="租赁期内按合同租金","成新率","——")</f>
        <v>——</v>
      </c>
      <c r="B40" s="3165"/>
      <c r="D40" s="3218" t="s">
        <v>528</v>
      </c>
      <c r="E40" s="3221">
        <f>SUMIF(D42:D51,E41,E42:E51)</f>
        <v>0</v>
      </c>
      <c r="F40" s="2643"/>
      <c r="G40" s="3132"/>
      <c r="H40" s="3132"/>
      <c r="I40" s="1080"/>
      <c r="J40" s="1080"/>
      <c r="K40" s="1080"/>
      <c r="L40" s="1080"/>
      <c r="M40" s="1080"/>
      <c r="N40" s="1080"/>
    </row>
    <row r="41" ht="15" spans="1:14">
      <c r="A41" s="3167" t="str">
        <f>IF(B29="租赁期内按合同租金","租赁期外收益期","——")</f>
        <v>——</v>
      </c>
      <c r="B41" s="3222" t="str">
        <f>IF(B29="租赁期内按合同租金",B34-B35,"——")</f>
        <v>——</v>
      </c>
      <c r="D41" s="3154" t="s">
        <v>529</v>
      </c>
      <c r="E41" s="3223"/>
      <c r="F41" s="2643" t="s">
        <v>530</v>
      </c>
      <c r="G41" s="1082" t="s">
        <v>531</v>
      </c>
      <c r="H41" s="3132"/>
      <c r="I41" s="1080"/>
      <c r="J41" s="1080"/>
      <c r="K41" s="1080"/>
      <c r="L41" s="1080"/>
      <c r="M41" s="1080"/>
      <c r="N41" s="1080"/>
    </row>
    <row r="42" ht="14.25" spans="1:14">
      <c r="A42" s="3151" t="s">
        <v>532</v>
      </c>
      <c r="B42" s="3224"/>
      <c r="D42" s="3225" t="s">
        <v>533</v>
      </c>
      <c r="E42" s="3203"/>
      <c r="F42" s="2643">
        <v>30</v>
      </c>
      <c r="G42" s="3132"/>
      <c r="H42" s="3132"/>
      <c r="I42" s="1080"/>
      <c r="J42" s="1080"/>
      <c r="K42" s="1080"/>
      <c r="L42" s="1080"/>
      <c r="M42" s="1080"/>
      <c r="N42" s="1080"/>
    </row>
    <row r="43" ht="14.25" spans="1:14">
      <c r="A43" s="3154" t="s">
        <v>534</v>
      </c>
      <c r="B43" s="3226">
        <v>12</v>
      </c>
      <c r="D43" s="3225" t="s">
        <v>535</v>
      </c>
      <c r="E43" s="3203"/>
      <c r="F43" s="2643">
        <v>24</v>
      </c>
      <c r="G43" s="3132"/>
      <c r="H43" s="3132"/>
      <c r="I43" s="1080"/>
      <c r="J43" s="1080"/>
      <c r="K43" s="1080"/>
      <c r="L43" s="1080"/>
      <c r="M43" s="1080"/>
      <c r="N43" s="1080"/>
    </row>
    <row r="44" ht="14.25" spans="1:14">
      <c r="A44" s="3154" t="s">
        <v>536</v>
      </c>
      <c r="B44" s="3203"/>
      <c r="D44" s="3225" t="s">
        <v>537</v>
      </c>
      <c r="E44" s="3203"/>
      <c r="F44" s="2643">
        <v>18</v>
      </c>
      <c r="G44" s="3046"/>
      <c r="H44" s="3046"/>
      <c r="I44" s="3132"/>
      <c r="J44" s="1080"/>
      <c r="K44" s="1080"/>
      <c r="L44" s="1080"/>
      <c r="M44" s="1080"/>
      <c r="N44" s="1080"/>
    </row>
    <row r="45" ht="14.25" spans="1:14">
      <c r="A45" s="3154" t="s">
        <v>538</v>
      </c>
      <c r="B45" s="3227">
        <v>0.01</v>
      </c>
      <c r="C45" s="2586" t="s">
        <v>539</v>
      </c>
      <c r="D45" s="3225" t="s">
        <v>540</v>
      </c>
      <c r="E45" s="3203"/>
      <c r="F45" s="2643">
        <v>12</v>
      </c>
      <c r="G45" s="3046"/>
      <c r="H45" s="3046"/>
      <c r="M45" s="1080"/>
      <c r="N45" s="1080"/>
    </row>
    <row r="46" ht="14.25" spans="1:14">
      <c r="A46" s="3154" t="s">
        <v>541</v>
      </c>
      <c r="B46" s="3228">
        <v>0.001</v>
      </c>
      <c r="C46" s="2586" t="s">
        <v>542</v>
      </c>
      <c r="D46" s="3225" t="s">
        <v>264</v>
      </c>
      <c r="E46" s="3203"/>
      <c r="F46" s="2643">
        <v>3</v>
      </c>
      <c r="G46" s="3046"/>
      <c r="H46" s="3046"/>
      <c r="M46" s="1080"/>
      <c r="N46" s="1080"/>
    </row>
    <row r="47" ht="15" spans="1:14">
      <c r="A47" s="3160" t="s">
        <v>543</v>
      </c>
      <c r="B47" s="3229">
        <v>0.01</v>
      </c>
      <c r="C47" s="2586" t="s">
        <v>544</v>
      </c>
      <c r="D47" s="3225" t="s">
        <v>545</v>
      </c>
      <c r="E47" s="3203"/>
      <c r="F47" s="2643">
        <v>1.5</v>
      </c>
      <c r="G47" s="3046"/>
      <c r="H47" s="3046"/>
      <c r="M47" s="1080"/>
      <c r="N47" s="1080"/>
    </row>
    <row r="48" ht="14.25" spans="1:14">
      <c r="A48" s="3046"/>
      <c r="B48" s="3046"/>
      <c r="D48" s="3225" t="s">
        <v>546</v>
      </c>
      <c r="E48" s="3203"/>
      <c r="F48" s="2643"/>
      <c r="G48" s="3046"/>
      <c r="H48" s="3046"/>
      <c r="M48" s="1080"/>
      <c r="N48" s="1080"/>
    </row>
    <row r="49" ht="14.25" spans="1:14">
      <c r="A49" s="3046"/>
      <c r="B49" s="3046"/>
      <c r="D49" s="3225" t="s">
        <v>547</v>
      </c>
      <c r="E49" s="3203"/>
      <c r="F49" s="2643"/>
      <c r="G49" s="3046"/>
      <c r="H49" s="3046"/>
      <c r="M49" s="1080"/>
      <c r="N49" s="1080"/>
    </row>
    <row r="50" ht="14.25" spans="1:14">
      <c r="A50" s="3046"/>
      <c r="B50" s="3046"/>
      <c r="D50" s="3225" t="s">
        <v>548</v>
      </c>
      <c r="E50" s="3203"/>
      <c r="F50" s="2643"/>
      <c r="G50" s="3046"/>
      <c r="H50" s="3046"/>
      <c r="M50" s="1080"/>
      <c r="N50" s="1080"/>
    </row>
    <row r="51" s="2229" customFormat="1" ht="15" spans="1:41">
      <c r="A51" s="3046"/>
      <c r="B51" s="3046"/>
      <c r="C51" s="3046"/>
      <c r="D51" s="3230" t="s">
        <v>549</v>
      </c>
      <c r="E51" s="3231"/>
      <c r="F51" s="2643"/>
      <c r="G51" s="3046"/>
      <c r="H51" s="3046"/>
      <c r="I51" s="3046"/>
      <c r="J51" s="3046"/>
      <c r="K51" s="3046"/>
      <c r="L51" s="3046"/>
      <c r="M51" s="1080"/>
      <c r="N51" s="1080"/>
      <c r="O51" s="3046"/>
      <c r="P51" s="3046"/>
      <c r="Q51" s="3046"/>
      <c r="R51" s="3046"/>
      <c r="S51" s="3046"/>
      <c r="T51" s="3046"/>
      <c r="U51" s="3046"/>
      <c r="V51" s="3046"/>
      <c r="W51" s="3046"/>
      <c r="X51" s="3046"/>
      <c r="Y51" s="3046"/>
      <c r="Z51" s="3046"/>
      <c r="AA51" s="3046"/>
      <c r="AB51" s="3046"/>
      <c r="AC51" s="3046"/>
      <c r="AD51" s="3046"/>
      <c r="AE51" s="3046"/>
      <c r="AF51" s="3046"/>
      <c r="AG51" s="3046"/>
      <c r="AH51" s="3046"/>
      <c r="AI51" s="3046"/>
      <c r="AJ51" s="3046"/>
      <c r="AK51" s="3046"/>
      <c r="AL51" s="3046"/>
      <c r="AM51" s="3046"/>
      <c r="AN51" s="3046"/>
      <c r="AO51" s="3046"/>
    </row>
    <row r="52" s="3046" customFormat="1" ht="14.25" spans="4:14">
      <c r="D52" s="3132"/>
      <c r="E52" s="3132"/>
      <c r="F52" s="3132"/>
      <c r="G52" s="3132"/>
      <c r="H52" s="3132"/>
      <c r="I52" s="1080"/>
      <c r="J52" s="1080"/>
      <c r="K52" s="1080"/>
      <c r="L52" s="1080"/>
      <c r="M52" s="1080"/>
      <c r="N52" s="1080"/>
    </row>
    <row r="53" s="3046" customFormat="1" ht="14.25" spans="4:14">
      <c r="D53" s="3132"/>
      <c r="E53" s="3132"/>
      <c r="F53" s="3132"/>
      <c r="G53" s="3132"/>
      <c r="H53" s="3132"/>
      <c r="I53" s="1080"/>
      <c r="J53" s="1080"/>
      <c r="K53" s="1080"/>
      <c r="L53" s="1080"/>
      <c r="M53" s="1080"/>
      <c r="N53" s="1080"/>
    </row>
    <row r="54" s="3046" customFormat="1" ht="14.25" spans="4:14">
      <c r="D54" s="3132"/>
      <c r="E54" s="3132"/>
      <c r="F54" s="3132"/>
      <c r="G54" s="3132"/>
      <c r="H54" s="3132"/>
      <c r="I54" s="1080"/>
      <c r="J54" s="1080"/>
      <c r="K54" s="1080"/>
      <c r="L54" s="1080"/>
      <c r="M54" s="1080"/>
      <c r="N54" s="1080"/>
    </row>
    <row r="55" s="3046" customFormat="1" ht="14.25" spans="4:14">
      <c r="D55" s="3132"/>
      <c r="E55" s="3132"/>
      <c r="F55" s="3132"/>
      <c r="G55" s="3132"/>
      <c r="H55" s="3132"/>
      <c r="I55" s="1080"/>
      <c r="J55" s="1080"/>
      <c r="K55" s="1080"/>
      <c r="L55" s="1080"/>
      <c r="M55" s="1080"/>
      <c r="N55" s="1080"/>
    </row>
    <row r="56" s="3046" customFormat="1" ht="14.25" spans="4:14">
      <c r="D56" s="3132"/>
      <c r="E56" s="3132"/>
      <c r="F56" s="3132"/>
      <c r="G56" s="3132"/>
      <c r="H56" s="3132"/>
      <c r="I56" s="1080"/>
      <c r="J56" s="1080"/>
      <c r="K56" s="1080"/>
      <c r="L56" s="1080"/>
      <c r="M56" s="1080"/>
      <c r="N56" s="1080"/>
    </row>
    <row r="57" s="3046" customFormat="1" ht="14.25" spans="4:14">
      <c r="D57" s="3132"/>
      <c r="E57" s="3132"/>
      <c r="F57" s="3132"/>
      <c r="G57" s="3132"/>
      <c r="H57" s="3132"/>
      <c r="I57" s="1080"/>
      <c r="J57" s="1080"/>
      <c r="K57" s="1080"/>
      <c r="L57" s="1080"/>
      <c r="M57" s="1080"/>
      <c r="N57" s="1080"/>
    </row>
    <row r="58" s="3046" customFormat="1" ht="14.25" spans="4:14">
      <c r="D58" s="3132"/>
      <c r="E58" s="3132"/>
      <c r="F58" s="3132"/>
      <c r="G58" s="3132"/>
      <c r="H58" s="3132"/>
      <c r="I58" s="1080"/>
      <c r="J58" s="1080"/>
      <c r="K58" s="1080"/>
      <c r="L58" s="1080"/>
      <c r="M58" s="1080"/>
      <c r="N58" s="1080"/>
    </row>
    <row r="59" s="3046" customFormat="1" ht="14.25" spans="4:14">
      <c r="D59" s="3132"/>
      <c r="E59" s="3132"/>
      <c r="F59" s="3132"/>
      <c r="G59" s="3132"/>
      <c r="H59" s="3132"/>
      <c r="I59" s="1080"/>
      <c r="J59" s="1080"/>
      <c r="K59" s="1080"/>
      <c r="L59" s="1080"/>
      <c r="M59" s="1241"/>
      <c r="N59" s="1080"/>
    </row>
    <row r="60" s="3046" customFormat="1" ht="14.25" spans="4:14">
      <c r="D60" s="3132"/>
      <c r="E60" s="3132"/>
      <c r="F60" s="3132"/>
      <c r="G60" s="3132"/>
      <c r="H60" s="3132"/>
      <c r="I60" s="1080"/>
      <c r="J60" s="1080"/>
      <c r="K60" s="1080"/>
      <c r="L60" s="1080"/>
      <c r="M60" s="1080"/>
      <c r="N60" s="1080"/>
    </row>
    <row r="61" s="3046" customFormat="1" ht="14.25" spans="4:14">
      <c r="D61" s="3132"/>
      <c r="E61" s="3132"/>
      <c r="F61" s="3132"/>
      <c r="G61" s="3132"/>
      <c r="H61" s="3132"/>
      <c r="I61" s="1080"/>
      <c r="J61" s="1080"/>
      <c r="K61" s="1080"/>
      <c r="L61" s="1080"/>
      <c r="M61" s="1080"/>
      <c r="N61" s="1080"/>
    </row>
    <row r="62" s="3046" customFormat="1" ht="14.25" spans="4:14">
      <c r="D62" s="3132"/>
      <c r="E62" s="3132"/>
      <c r="F62" s="3132"/>
      <c r="G62" s="3132"/>
      <c r="H62" s="3132"/>
      <c r="I62" s="1080"/>
      <c r="J62" s="1080"/>
      <c r="K62" s="1080"/>
      <c r="L62" s="1080"/>
      <c r="M62" s="1080"/>
      <c r="N62" s="1080"/>
    </row>
    <row r="63" s="3046" customFormat="1" ht="14.25" spans="4:14">
      <c r="D63" s="3132"/>
      <c r="E63" s="3132"/>
      <c r="F63" s="3132"/>
      <c r="G63" s="3132"/>
      <c r="H63" s="3132"/>
      <c r="I63" s="1080"/>
      <c r="J63" s="1080"/>
      <c r="K63" s="1080"/>
      <c r="L63" s="1080"/>
      <c r="M63" s="1080"/>
      <c r="N63" s="1080"/>
    </row>
    <row r="64" s="3046" customFormat="1" ht="14.25" spans="4:14">
      <c r="D64" s="3132"/>
      <c r="E64" s="3132"/>
      <c r="F64" s="3132"/>
      <c r="G64" s="3132"/>
      <c r="H64" s="3132"/>
      <c r="I64" s="1080"/>
      <c r="J64" s="1080"/>
      <c r="K64" s="1080"/>
      <c r="L64" s="1080"/>
      <c r="M64" s="1080"/>
      <c r="N64" s="1080"/>
    </row>
    <row r="65" s="3046" customFormat="1" ht="14.25" spans="4:14">
      <c r="D65" s="3132"/>
      <c r="E65" s="3132"/>
      <c r="F65" s="3132"/>
      <c r="G65" s="3132"/>
      <c r="H65" s="3132"/>
      <c r="I65" s="1080"/>
      <c r="J65" s="1080"/>
      <c r="K65" s="1080"/>
      <c r="L65" s="1080"/>
      <c r="M65" s="1080"/>
      <c r="N65" s="1080"/>
    </row>
    <row r="66" s="3046" customFormat="1" ht="14.25" spans="4:14">
      <c r="D66" s="3132"/>
      <c r="E66" s="3132"/>
      <c r="F66" s="3132"/>
      <c r="G66" s="3132"/>
      <c r="H66" s="3132"/>
      <c r="I66" s="1080"/>
      <c r="J66" s="1080"/>
      <c r="K66" s="1080"/>
      <c r="L66" s="1080"/>
      <c r="M66" s="1080"/>
      <c r="N66" s="1080"/>
    </row>
    <row r="67" s="3046" customFormat="1" ht="14.25" spans="1:14">
      <c r="A67" s="3232"/>
      <c r="D67" s="3132"/>
      <c r="E67" s="3132"/>
      <c r="F67" s="3132"/>
      <c r="G67" s="3132"/>
      <c r="H67" s="3132"/>
      <c r="I67" s="1080"/>
      <c r="J67" s="1080"/>
      <c r="K67" s="1080"/>
      <c r="L67" s="1080"/>
      <c r="M67" s="1080"/>
      <c r="N67" s="1080"/>
    </row>
    <row r="68" s="3046" customFormat="1" ht="14.25" spans="1:8">
      <c r="A68" s="3232"/>
      <c r="D68" s="3132"/>
      <c r="E68" s="3132"/>
      <c r="F68" s="3132"/>
      <c r="G68" s="3125"/>
      <c r="H68" s="3125"/>
    </row>
    <row r="69" s="3046" customFormat="1" spans="1:8">
      <c r="A69" s="3232"/>
      <c r="D69" s="3125"/>
      <c r="E69" s="3125"/>
      <c r="F69" s="3125"/>
      <c r="G69" s="3125"/>
      <c r="H69" s="3125"/>
    </row>
    <row r="70" s="3046" customFormat="1" spans="1:8">
      <c r="A70" s="3232"/>
      <c r="D70" s="3125"/>
      <c r="E70" s="3125"/>
      <c r="F70" s="3125"/>
      <c r="G70" s="3125"/>
      <c r="H70" s="3125"/>
    </row>
    <row r="71" s="3046" customFormat="1" spans="1:8">
      <c r="A71" s="3232"/>
      <c r="D71" s="3125"/>
      <c r="E71" s="3125"/>
      <c r="F71" s="3125"/>
      <c r="G71" s="3125"/>
      <c r="H71" s="3125"/>
    </row>
    <row r="72" s="3046" customFormat="1" spans="1:8">
      <c r="A72" s="3232"/>
      <c r="D72" s="3125"/>
      <c r="E72" s="3125"/>
      <c r="F72" s="3125"/>
      <c r="G72" s="3125"/>
      <c r="H72" s="3125"/>
    </row>
    <row r="73" s="3046" customFormat="1" spans="1:8">
      <c r="A73" s="3232"/>
      <c r="D73" s="3125"/>
      <c r="E73" s="3125"/>
      <c r="F73" s="3125"/>
      <c r="G73" s="3125"/>
      <c r="H73" s="3125"/>
    </row>
    <row r="74" s="3046" customFormat="1" spans="1:8">
      <c r="A74" s="3232"/>
      <c r="D74" s="3125"/>
      <c r="E74" s="3125"/>
      <c r="F74" s="3125"/>
      <c r="G74" s="3125"/>
      <c r="H74" s="3125"/>
    </row>
    <row r="75" s="3046" customFormat="1" spans="1:8">
      <c r="A75" s="3232"/>
      <c r="D75" s="3125"/>
      <c r="E75" s="3125"/>
      <c r="F75" s="3125"/>
      <c r="G75" s="3125"/>
      <c r="H75" s="3125"/>
    </row>
    <row r="76" s="3046" customFormat="1" spans="1:8">
      <c r="A76" s="3232"/>
      <c r="D76" s="3125"/>
      <c r="E76" s="3125"/>
      <c r="F76" s="3125"/>
      <c r="G76" s="3125"/>
      <c r="H76" s="3125"/>
    </row>
    <row r="77" s="3046" customFormat="1" spans="1:8">
      <c r="A77" s="3232"/>
      <c r="D77" s="3125"/>
      <c r="E77" s="3125"/>
      <c r="F77" s="3125"/>
      <c r="G77" s="3125"/>
      <c r="H77" s="3125"/>
    </row>
    <row r="78" s="3046" customFormat="1" spans="1:8">
      <c r="A78" s="3232"/>
      <c r="D78" s="3125"/>
      <c r="E78" s="3125"/>
      <c r="F78" s="3125"/>
      <c r="G78" s="3125"/>
      <c r="H78" s="3125"/>
    </row>
    <row r="79" s="3046" customFormat="1" spans="1:8">
      <c r="A79" s="3232"/>
      <c r="D79" s="3125"/>
      <c r="E79" s="3125"/>
      <c r="F79" s="3125"/>
      <c r="G79" s="3125"/>
      <c r="H79" s="3125"/>
    </row>
    <row r="80" s="3046" customFormat="1" spans="1:8">
      <c r="A80" s="3232"/>
      <c r="D80" s="3125"/>
      <c r="E80" s="3125"/>
      <c r="F80" s="3125"/>
      <c r="G80" s="3125"/>
      <c r="H80" s="3125"/>
    </row>
    <row r="81" s="3046" customFormat="1" spans="1:8">
      <c r="A81" s="3232"/>
      <c r="D81" s="3125"/>
      <c r="E81" s="3125"/>
      <c r="F81" s="3125"/>
      <c r="G81" s="3125"/>
      <c r="H81" s="3125"/>
    </row>
    <row r="82" s="3046" customFormat="1" spans="1:8">
      <c r="A82" s="3232"/>
      <c r="D82" s="3125"/>
      <c r="E82" s="3125"/>
      <c r="F82" s="3125"/>
      <c r="G82" s="3125"/>
      <c r="H82" s="3125"/>
    </row>
    <row r="83" s="3046" customFormat="1" spans="1:8">
      <c r="A83" s="3232"/>
      <c r="D83" s="3125"/>
      <c r="E83" s="3125"/>
      <c r="F83" s="3125"/>
      <c r="G83" s="3125"/>
      <c r="H83" s="3125"/>
    </row>
    <row r="84" s="3046" customFormat="1" spans="1:8">
      <c r="A84" s="3232"/>
      <c r="D84" s="3125"/>
      <c r="E84" s="3125"/>
      <c r="F84" s="3125"/>
      <c r="G84" s="3125"/>
      <c r="H84" s="3125"/>
    </row>
    <row r="85" s="3046" customFormat="1" spans="1:8">
      <c r="A85" s="3232"/>
      <c r="D85" s="3125"/>
      <c r="E85" s="3125"/>
      <c r="F85" s="3125"/>
      <c r="G85" s="3125"/>
      <c r="H85" s="3125"/>
    </row>
    <row r="86" s="3046" customFormat="1" spans="1:8">
      <c r="A86" s="3232"/>
      <c r="D86" s="3125"/>
      <c r="E86" s="3125"/>
      <c r="F86" s="3125"/>
      <c r="G86" s="3125"/>
      <c r="H86" s="3125"/>
    </row>
    <row r="87" s="3046" customFormat="1" spans="1:8">
      <c r="A87" s="3232"/>
      <c r="D87" s="3125"/>
      <c r="E87" s="3125"/>
      <c r="F87" s="3125"/>
      <c r="G87" s="3125"/>
      <c r="H87" s="3125"/>
    </row>
    <row r="88" s="3046" customFormat="1" spans="1:8">
      <c r="A88" s="3232"/>
      <c r="D88" s="3125"/>
      <c r="E88" s="3125"/>
      <c r="F88" s="3125"/>
      <c r="G88" s="3125"/>
      <c r="H88" s="3125"/>
    </row>
    <row r="89" s="3046" customFormat="1" spans="1:8">
      <c r="A89" s="3232"/>
      <c r="D89" s="3125"/>
      <c r="E89" s="3125"/>
      <c r="F89" s="3125"/>
      <c r="G89" s="3125"/>
      <c r="H89" s="3125"/>
    </row>
    <row r="90" s="3046" customFormat="1" spans="1:8">
      <c r="A90" s="3232"/>
      <c r="D90" s="3125"/>
      <c r="E90" s="3125"/>
      <c r="F90" s="3125"/>
      <c r="G90" s="3125"/>
      <c r="H90" s="3125"/>
    </row>
    <row r="91" s="3046" customFormat="1" spans="1:8">
      <c r="A91" s="3232"/>
      <c r="D91" s="3125"/>
      <c r="E91" s="3125"/>
      <c r="F91" s="3125"/>
      <c r="G91" s="3125"/>
      <c r="H91" s="3125"/>
    </row>
    <row r="92" s="3046" customFormat="1" spans="1:8">
      <c r="A92" s="3232"/>
      <c r="D92" s="3125"/>
      <c r="E92" s="3125"/>
      <c r="F92" s="3125"/>
      <c r="G92" s="3125"/>
      <c r="H92" s="3125"/>
    </row>
    <row r="93" s="3046" customFormat="1" spans="1:8">
      <c r="A93" s="3232"/>
      <c r="D93" s="3125"/>
      <c r="E93" s="3125"/>
      <c r="F93" s="3125"/>
      <c r="G93" s="3125"/>
      <c r="H93" s="3125"/>
    </row>
    <row r="94" s="3046" customFormat="1" spans="1:8">
      <c r="A94" s="3232"/>
      <c r="D94" s="3125"/>
      <c r="E94" s="3125"/>
      <c r="F94" s="3125"/>
      <c r="G94" s="3125"/>
      <c r="H94" s="3125"/>
    </row>
    <row r="95" s="3046" customFormat="1" spans="1:8">
      <c r="A95" s="3232"/>
      <c r="D95" s="3125"/>
      <c r="E95" s="3125"/>
      <c r="F95" s="3125"/>
      <c r="G95" s="3125"/>
      <c r="H95" s="3125"/>
    </row>
    <row r="96" s="3046" customFormat="1" spans="1:8">
      <c r="A96" s="3232"/>
      <c r="D96" s="3125"/>
      <c r="E96" s="3125"/>
      <c r="F96" s="3125"/>
      <c r="G96" s="3125"/>
      <c r="H96" s="3125"/>
    </row>
    <row r="97" s="3046" customFormat="1" spans="1:8">
      <c r="A97" s="3232"/>
      <c r="D97" s="3125"/>
      <c r="E97" s="3125"/>
      <c r="F97" s="3125"/>
      <c r="G97" s="3125"/>
      <c r="H97" s="3125"/>
    </row>
    <row r="98" s="3046" customFormat="1" spans="1:8">
      <c r="A98" s="3232"/>
      <c r="D98" s="3125"/>
      <c r="E98" s="3125"/>
      <c r="F98" s="3125"/>
      <c r="G98" s="3125"/>
      <c r="H98" s="3125"/>
    </row>
    <row r="99" s="3046" customFormat="1" spans="1:8">
      <c r="A99" s="3232"/>
      <c r="D99" s="3125"/>
      <c r="E99" s="3125"/>
      <c r="F99" s="3125"/>
      <c r="G99" s="3125"/>
      <c r="H99" s="3125"/>
    </row>
    <row r="100" s="3046" customFormat="1" spans="1:8">
      <c r="A100" s="3232"/>
      <c r="D100" s="3125"/>
      <c r="E100" s="3125"/>
      <c r="F100" s="3125"/>
      <c r="G100" s="3125"/>
      <c r="H100" s="3125"/>
    </row>
    <row r="101" s="3046" customFormat="1" spans="1:8">
      <c r="A101" s="3232"/>
      <c r="D101" s="3125"/>
      <c r="E101" s="3125"/>
      <c r="F101" s="3125"/>
      <c r="G101" s="3125"/>
      <c r="H101" s="3125"/>
    </row>
    <row r="102" s="3046" customFormat="1" spans="1:8">
      <c r="A102" s="3232"/>
      <c r="D102" s="3125"/>
      <c r="E102" s="3125"/>
      <c r="F102" s="3125"/>
      <c r="G102" s="3125"/>
      <c r="H102" s="3125"/>
    </row>
    <row r="103" s="3046" customFormat="1" spans="1:8">
      <c r="A103" s="3232"/>
      <c r="D103" s="3125"/>
      <c r="E103" s="3125"/>
      <c r="F103" s="3125"/>
      <c r="G103" s="3125"/>
      <c r="H103" s="3125"/>
    </row>
    <row r="104" s="3046" customFormat="1" spans="1:8">
      <c r="A104" s="3232"/>
      <c r="D104" s="3125"/>
      <c r="E104" s="3125"/>
      <c r="F104" s="3125"/>
      <c r="G104" s="3125"/>
      <c r="H104" s="3125"/>
    </row>
    <row r="105" s="3046" customFormat="1" spans="1:8">
      <c r="A105" s="3232"/>
      <c r="D105" s="3125"/>
      <c r="E105" s="3125"/>
      <c r="F105" s="3125"/>
      <c r="G105" s="3125"/>
      <c r="H105" s="3125"/>
    </row>
    <row r="106" s="3046" customFormat="1" spans="1:8">
      <c r="A106" s="3232"/>
      <c r="D106" s="3125"/>
      <c r="E106" s="3125"/>
      <c r="F106" s="3125"/>
      <c r="G106" s="3125"/>
      <c r="H106" s="3125"/>
    </row>
    <row r="107" s="3046" customFormat="1" spans="1:8">
      <c r="A107" s="3232"/>
      <c r="D107" s="3125"/>
      <c r="E107" s="3125"/>
      <c r="F107" s="3125"/>
      <c r="G107" s="3125"/>
      <c r="H107" s="3125"/>
    </row>
    <row r="108" s="3046" customFormat="1" spans="1:8">
      <c r="A108" s="3232"/>
      <c r="D108" s="3125"/>
      <c r="E108" s="3125"/>
      <c r="F108" s="3125"/>
      <c r="G108" s="3125"/>
      <c r="H108" s="3125"/>
    </row>
    <row r="109" s="3046" customFormat="1" spans="1:8">
      <c r="A109" s="3232"/>
      <c r="D109" s="3125"/>
      <c r="E109" s="3125"/>
      <c r="F109" s="3125"/>
      <c r="G109" s="3125"/>
      <c r="H109" s="3125"/>
    </row>
    <row r="110" s="3046" customFormat="1" spans="1:8">
      <c r="A110" s="3232"/>
      <c r="D110" s="3125"/>
      <c r="E110" s="3125"/>
      <c r="F110" s="3125"/>
      <c r="G110" s="3125"/>
      <c r="H110" s="3125"/>
    </row>
    <row r="111" s="3046" customFormat="1" spans="1:8">
      <c r="A111" s="3232"/>
      <c r="D111" s="3125"/>
      <c r="E111" s="3125"/>
      <c r="F111" s="3125"/>
      <c r="G111" s="3125"/>
      <c r="H111" s="3125"/>
    </row>
    <row r="112" s="3046" customFormat="1" spans="1:8">
      <c r="A112" s="3232"/>
      <c r="D112" s="3125"/>
      <c r="E112" s="3125"/>
      <c r="F112" s="3125"/>
      <c r="G112" s="3125"/>
      <c r="H112" s="3125"/>
    </row>
    <row r="113" s="3046" customFormat="1" spans="1:8">
      <c r="A113" s="3232"/>
      <c r="D113" s="3125"/>
      <c r="E113" s="3125"/>
      <c r="F113" s="3125"/>
      <c r="G113" s="3125"/>
      <c r="H113" s="3125"/>
    </row>
    <row r="114" s="3046" customFormat="1" spans="1:8">
      <c r="A114" s="3232"/>
      <c r="D114" s="3125"/>
      <c r="E114" s="3125"/>
      <c r="F114" s="3125"/>
      <c r="G114" s="3125"/>
      <c r="H114" s="3125"/>
    </row>
    <row r="115" s="3046" customFormat="1" spans="1:8">
      <c r="A115" s="3232"/>
      <c r="D115" s="3125"/>
      <c r="E115" s="3125"/>
      <c r="F115" s="3125"/>
      <c r="G115" s="3125"/>
      <c r="H115" s="3125"/>
    </row>
    <row r="116" s="3046" customFormat="1" spans="1:8">
      <c r="A116" s="3232"/>
      <c r="D116" s="3125"/>
      <c r="E116" s="3125"/>
      <c r="F116" s="3125"/>
      <c r="G116" s="3125"/>
      <c r="H116" s="3125"/>
    </row>
    <row r="117" s="3046" customFormat="1" spans="1:8">
      <c r="A117" s="3232"/>
      <c r="D117" s="3125"/>
      <c r="E117" s="3125"/>
      <c r="F117" s="3125"/>
      <c r="G117" s="3125"/>
      <c r="H117" s="3125"/>
    </row>
    <row r="118" s="3046" customFormat="1" spans="1:8">
      <c r="A118" s="3232"/>
      <c r="D118" s="3125"/>
      <c r="E118" s="3125"/>
      <c r="F118" s="3125"/>
      <c r="G118" s="3125"/>
      <c r="H118" s="3125"/>
    </row>
    <row r="119" s="3046" customFormat="1" spans="1:8">
      <c r="A119" s="3232"/>
      <c r="D119" s="3125"/>
      <c r="E119" s="3125"/>
      <c r="F119" s="3125"/>
      <c r="G119" s="3125"/>
      <c r="H119" s="3125"/>
    </row>
    <row r="120" s="3046" customFormat="1" spans="1:8">
      <c r="A120" s="3232"/>
      <c r="D120" s="3125"/>
      <c r="E120" s="3125"/>
      <c r="F120" s="3125"/>
      <c r="G120" s="3125"/>
      <c r="H120" s="3125"/>
    </row>
    <row r="121" s="3046" customFormat="1" spans="1:8">
      <c r="A121" s="3232"/>
      <c r="D121" s="3125"/>
      <c r="E121" s="3125"/>
      <c r="F121" s="3125"/>
      <c r="G121" s="3125"/>
      <c r="H121" s="3125"/>
    </row>
    <row r="122" s="3046" customFormat="1" spans="1:8">
      <c r="A122" s="3232"/>
      <c r="D122" s="3125"/>
      <c r="E122" s="3125"/>
      <c r="F122" s="3125"/>
      <c r="G122" s="3125"/>
      <c r="H122" s="3125"/>
    </row>
    <row r="123" s="3046" customFormat="1" spans="1:8">
      <c r="A123" s="3232"/>
      <c r="D123" s="3125"/>
      <c r="E123" s="3125"/>
      <c r="F123" s="3125"/>
      <c r="G123" s="3125"/>
      <c r="H123" s="3125"/>
    </row>
    <row r="124" s="3046" customFormat="1" spans="1:8">
      <c r="A124" s="3232"/>
      <c r="D124" s="3125"/>
      <c r="E124" s="3125"/>
      <c r="F124" s="3125"/>
      <c r="G124" s="3125"/>
      <c r="H124" s="3125"/>
    </row>
    <row r="125" s="3046" customFormat="1" spans="1:8">
      <c r="A125" s="3232"/>
      <c r="D125" s="3125"/>
      <c r="E125" s="3125"/>
      <c r="F125" s="3125"/>
      <c r="G125" s="3125"/>
      <c r="H125" s="3125"/>
    </row>
    <row r="126" s="3046" customFormat="1" spans="1:8">
      <c r="A126" s="3232"/>
      <c r="D126" s="3125"/>
      <c r="E126" s="3125"/>
      <c r="F126" s="3125"/>
      <c r="G126" s="3125"/>
      <c r="H126" s="3125"/>
    </row>
    <row r="127" s="3046" customFormat="1" spans="1:8">
      <c r="A127" s="3232"/>
      <c r="D127" s="3125"/>
      <c r="E127" s="3125"/>
      <c r="F127" s="3125"/>
      <c r="G127" s="3125"/>
      <c r="H127" s="3125"/>
    </row>
    <row r="128" s="3046" customFormat="1" spans="1:8">
      <c r="A128" s="3232"/>
      <c r="D128" s="3125"/>
      <c r="E128" s="3125"/>
      <c r="F128" s="3125"/>
      <c r="G128" s="3125"/>
      <c r="H128" s="3125"/>
    </row>
    <row r="129" s="3046" customFormat="1" spans="1:8">
      <c r="A129" s="3232"/>
      <c r="D129" s="3125"/>
      <c r="E129" s="3125"/>
      <c r="F129" s="3125"/>
      <c r="G129" s="3125"/>
      <c r="H129" s="3125"/>
    </row>
    <row r="130" s="3046" customFormat="1" spans="1:8">
      <c r="A130" s="3232"/>
      <c r="D130" s="3125"/>
      <c r="E130" s="3125"/>
      <c r="F130" s="3125"/>
      <c r="G130" s="3125"/>
      <c r="H130" s="3125"/>
    </row>
    <row r="131" s="3046" customFormat="1" spans="1:8">
      <c r="A131" s="3232"/>
      <c r="D131" s="3125"/>
      <c r="E131" s="3125"/>
      <c r="F131" s="3125"/>
      <c r="G131" s="3125"/>
      <c r="H131" s="3125"/>
    </row>
    <row r="132" s="3046" customFormat="1" spans="1:8">
      <c r="A132" s="3232"/>
      <c r="D132" s="3125"/>
      <c r="E132" s="3125"/>
      <c r="F132" s="3125"/>
      <c r="G132" s="3125"/>
      <c r="H132" s="3125"/>
    </row>
    <row r="133" s="3046" customFormat="1" spans="1:8">
      <c r="A133" s="3232"/>
      <c r="D133" s="3125"/>
      <c r="E133" s="3125"/>
      <c r="F133" s="3125"/>
      <c r="G133" s="3125"/>
      <c r="H133" s="3125"/>
    </row>
    <row r="134" s="3046" customFormat="1" spans="1:8">
      <c r="A134" s="3232"/>
      <c r="D134" s="3125"/>
      <c r="E134" s="3125"/>
      <c r="F134" s="3125"/>
      <c r="G134" s="3125"/>
      <c r="H134" s="3125"/>
    </row>
    <row r="135" s="3046" customFormat="1" spans="1:8">
      <c r="A135" s="3232"/>
      <c r="D135" s="3125"/>
      <c r="E135" s="3125"/>
      <c r="F135" s="3125"/>
      <c r="G135" s="3125"/>
      <c r="H135" s="3125"/>
    </row>
    <row r="136" s="3046" customFormat="1" spans="1:8">
      <c r="A136" s="3232"/>
      <c r="D136" s="3125"/>
      <c r="E136" s="3125"/>
      <c r="F136" s="3125"/>
      <c r="G136" s="3125"/>
      <c r="H136" s="3125"/>
    </row>
    <row r="137" s="3046" customFormat="1" spans="1:8">
      <c r="A137" s="3232"/>
      <c r="D137" s="3125"/>
      <c r="E137" s="3125"/>
      <c r="F137" s="3125"/>
      <c r="G137" s="3125"/>
      <c r="H137" s="3125"/>
    </row>
    <row r="138" s="3046" customFormat="1" spans="1:8">
      <c r="A138" s="3232"/>
      <c r="D138" s="3125"/>
      <c r="E138" s="3125"/>
      <c r="F138" s="3125"/>
      <c r="G138" s="3125"/>
      <c r="H138" s="3125"/>
    </row>
    <row r="139" s="3046" customFormat="1" spans="1:8">
      <c r="A139" s="3232"/>
      <c r="D139" s="3125"/>
      <c r="E139" s="3125"/>
      <c r="F139" s="3125"/>
      <c r="G139" s="3125"/>
      <c r="H139" s="3125"/>
    </row>
    <row r="140" s="3046" customFormat="1" spans="1:8">
      <c r="A140" s="3232"/>
      <c r="D140" s="3125"/>
      <c r="E140" s="3125"/>
      <c r="F140" s="3125"/>
      <c r="G140" s="3125"/>
      <c r="H140" s="3125"/>
    </row>
    <row r="141" s="3046" customFormat="1" spans="1:8">
      <c r="A141" s="3232"/>
      <c r="D141" s="3125"/>
      <c r="E141" s="3125"/>
      <c r="F141" s="3125"/>
      <c r="G141" s="3125"/>
      <c r="H141" s="3125"/>
    </row>
    <row r="142" s="3046" customFormat="1" spans="1:8">
      <c r="A142" s="3232"/>
      <c r="D142" s="3125"/>
      <c r="E142" s="3125"/>
      <c r="F142" s="3125"/>
      <c r="G142" s="3125"/>
      <c r="H142" s="3125"/>
    </row>
    <row r="143" s="3046" customFormat="1" spans="1:8">
      <c r="A143" s="3232"/>
      <c r="D143" s="3125"/>
      <c r="E143" s="3125"/>
      <c r="F143" s="3125"/>
      <c r="G143" s="3125"/>
      <c r="H143" s="3125"/>
    </row>
    <row r="144" s="3046" customFormat="1" spans="1:8">
      <c r="A144" s="3232"/>
      <c r="D144" s="3125"/>
      <c r="E144" s="3125"/>
      <c r="F144" s="3125"/>
      <c r="G144" s="3125"/>
      <c r="H144" s="3125"/>
    </row>
    <row r="145" s="3046" customFormat="1" spans="1:8">
      <c r="A145" s="3232"/>
      <c r="D145" s="3125"/>
      <c r="E145" s="3125"/>
      <c r="F145" s="3125"/>
      <c r="G145" s="3125"/>
      <c r="H145" s="3125"/>
    </row>
    <row r="146" s="3046" customFormat="1" spans="1:8">
      <c r="A146" s="3232"/>
      <c r="D146" s="3125"/>
      <c r="E146" s="3125"/>
      <c r="F146" s="3125"/>
      <c r="G146" s="3125"/>
      <c r="H146" s="3125"/>
    </row>
    <row r="147" s="3046" customFormat="1" spans="1:8">
      <c r="A147" s="3232"/>
      <c r="D147" s="3125"/>
      <c r="E147" s="3125"/>
      <c r="F147" s="3125"/>
      <c r="G147" s="3125"/>
      <c r="H147" s="3125"/>
    </row>
    <row r="148" s="3046" customFormat="1" spans="1:8">
      <c r="A148" s="3232"/>
      <c r="D148" s="3125"/>
      <c r="E148" s="3125"/>
      <c r="F148" s="3125"/>
      <c r="G148" s="3125"/>
      <c r="H148" s="3125"/>
    </row>
    <row r="149" s="3046" customFormat="1" spans="1:8">
      <c r="A149" s="3232"/>
      <c r="D149" s="3125"/>
      <c r="E149" s="3125"/>
      <c r="F149" s="3125"/>
      <c r="G149" s="3125"/>
      <c r="H149" s="3125"/>
    </row>
    <row r="150" s="3046" customFormat="1" spans="1:8">
      <c r="A150" s="3232"/>
      <c r="D150" s="3125"/>
      <c r="E150" s="3125"/>
      <c r="F150" s="3125"/>
      <c r="G150" s="3125"/>
      <c r="H150" s="3125"/>
    </row>
    <row r="151" s="3046" customFormat="1" spans="1:8">
      <c r="A151" s="3232"/>
      <c r="D151" s="3125"/>
      <c r="E151" s="3125"/>
      <c r="F151" s="3125"/>
      <c r="G151" s="3125"/>
      <c r="H151" s="3125"/>
    </row>
    <row r="152" s="3046" customFormat="1" spans="1:8">
      <c r="A152" s="3232"/>
      <c r="D152" s="3125"/>
      <c r="E152" s="3125"/>
      <c r="F152" s="3125"/>
      <c r="G152" s="3125"/>
      <c r="H152" s="3125"/>
    </row>
    <row r="153" s="3046" customFormat="1" spans="1:8">
      <c r="A153" s="3232"/>
      <c r="D153" s="3125"/>
      <c r="E153" s="3125"/>
      <c r="F153" s="3125"/>
      <c r="G153" s="3125"/>
      <c r="H153" s="3125"/>
    </row>
    <row r="154" s="3046" customFormat="1" spans="1:8">
      <c r="A154" s="3232"/>
      <c r="D154" s="3125"/>
      <c r="E154" s="3125"/>
      <c r="F154" s="3125"/>
      <c r="G154" s="3125"/>
      <c r="H154" s="3125"/>
    </row>
    <row r="155" s="3046" customFormat="1" spans="1:8">
      <c r="A155" s="3232"/>
      <c r="D155" s="3125"/>
      <c r="E155" s="3125"/>
      <c r="F155" s="3125"/>
      <c r="G155" s="3125"/>
      <c r="H155" s="3125"/>
    </row>
    <row r="156" s="3046" customFormat="1" spans="1:8">
      <c r="A156" s="3232"/>
      <c r="D156" s="3125"/>
      <c r="E156" s="3125"/>
      <c r="F156" s="3125"/>
      <c r="G156" s="3125"/>
      <c r="H156" s="3125"/>
    </row>
    <row r="157" s="3046" customFormat="1" spans="1:8">
      <c r="A157" s="3232"/>
      <c r="D157" s="3125"/>
      <c r="E157" s="3125"/>
      <c r="F157" s="3125"/>
      <c r="G157" s="3125"/>
      <c r="H157" s="3125"/>
    </row>
    <row r="158" spans="1:2">
      <c r="A158" s="3232"/>
      <c r="B158" s="3046"/>
    </row>
  </sheetData>
  <sheetProtection formatCells="0" formatColumns="0" formatRows="0"/>
  <mergeCells count="1">
    <mergeCell ref="D2:D4"/>
  </mergeCells>
  <dataValidations count="10">
    <dataValidation type="list" allowBlank="1" showInputMessage="1" showErrorMessage="1" sqref="B4">
      <formula1>"总价,楼面单价"</formula1>
    </dataValidation>
    <dataValidation type="list" showInputMessage="1" showErrorMessage="1" sqref="B43">
      <formula1>"365,12,1"</formula1>
    </dataValidation>
    <dataValidation type="list" allowBlank="1" showInputMessage="1" showErrorMessage="1" sqref="B3">
      <formula1>"万元,元"</formula1>
    </dataValidation>
    <dataValidation type="list" allowBlank="1" showInputMessage="1" showErrorMessage="1" sqref="D27">
      <formula1>"利息：取LPR,利息：取LPR加浮动点数"</formula1>
    </dataValidation>
    <dataValidation type="list" allowBlank="1" showInputMessage="1" showErrorMessage="1" sqref="E3">
      <formula1>判定</formula1>
    </dataValidation>
    <dataValidation type="list" allowBlank="1" showInputMessage="1" showErrorMessage="1" sqref="B10">
      <formula1>地类判定</formula1>
    </dataValidation>
    <dataValidation type="list" allowBlank="1" showInputMessage="1" showErrorMessage="1" sqref="B11">
      <formula1>法定最高年限</formula1>
    </dataValidation>
    <dataValidation type="list" allowBlank="1" showInputMessage="1" showErrorMessage="1" sqref="B29">
      <formula1>"无租约,租赁期内按合同租金,有租约不采用"</formula1>
    </dataValidation>
    <dataValidation type="list" allowBlank="1" showInputMessage="1" showErrorMessage="1" sqref="E32">
      <formula1>"7%,5%,1%"</formula1>
    </dataValidation>
    <dataValidation type="list" allowBlank="1" showInputMessage="1" showErrorMessage="1" sqref="E41">
      <formula1>城镇土地纳税等级分级范围</formula1>
    </dataValidation>
  </dataValidations>
  <pageMargins left="0.708661417322835" right="0.708661417322835" top="0.748031496062992" bottom="0.748031496062992" header="0.31496062992126" footer="0.31496062992126"/>
  <pageSetup paperSize="9" scale="72" fitToHeight="0" orientation="portrait"/>
  <headerFooter/>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2">
    <tabColor rgb="FFFFFF00"/>
    <pageSetUpPr fitToPage="1"/>
  </sheetPr>
  <dimension ref="A1:AC187"/>
  <sheetViews>
    <sheetView view="pageBreakPreview" zoomScale="70" zoomScaleNormal="80" workbookViewId="0">
      <pane xSplit="1" ySplit="2" topLeftCell="B3" activePane="bottomRight" state="frozen"/>
      <selection/>
      <selection pane="topRight"/>
      <selection pane="bottomLeft"/>
      <selection pane="bottomRight" activeCell="B25" sqref="B25"/>
    </sheetView>
  </sheetViews>
  <sheetFormatPr defaultColWidth="9" defaultRowHeight="14.25"/>
  <cols>
    <col min="1" max="1" width="14.75" style="3049" customWidth="1"/>
    <col min="2" max="2" width="24.5" style="3050" customWidth="1"/>
    <col min="3" max="3" width="28.375" style="3051" customWidth="1"/>
    <col min="4" max="4" width="2.625" style="3051" customWidth="1"/>
    <col min="5" max="5" width="5.875" style="3051" customWidth="1"/>
    <col min="6" max="6" width="27" style="3050" customWidth="1"/>
    <col min="7" max="7" width="32.375" style="3052" customWidth="1"/>
    <col min="8" max="8" width="11.875" style="3053" customWidth="1"/>
    <col min="9" max="9" width="16.75" style="3054" customWidth="1"/>
    <col min="10" max="10" width="2.625" style="3053" customWidth="1"/>
    <col min="11" max="11" width="11.875" style="3053" customWidth="1"/>
    <col min="12" max="12" width="16.75" style="3054" customWidth="1"/>
    <col min="13" max="13" width="2.625" style="3053" customWidth="1"/>
    <col min="14" max="14" width="11.875" style="3053" customWidth="1"/>
    <col min="15" max="15" width="16.75" style="3054" customWidth="1"/>
    <col min="16" max="16" width="2.625" style="3053" customWidth="1"/>
    <col min="17" max="17" width="11.875" style="3053" customWidth="1"/>
    <col min="18" max="18" width="16.75" style="3055" customWidth="1"/>
    <col min="19" max="29" width="9" style="3048"/>
    <col min="30" max="16384" width="9" style="3049"/>
  </cols>
  <sheetData>
    <row r="1" s="3044" customFormat="1" ht="19.5" spans="1:29">
      <c r="A1" s="3056" t="s">
        <v>550</v>
      </c>
      <c r="B1" s="3057"/>
      <c r="C1" s="3057"/>
      <c r="D1" s="3057"/>
      <c r="E1" s="3057"/>
      <c r="F1" s="3057"/>
      <c r="G1" s="3057"/>
      <c r="H1" s="3058"/>
      <c r="I1" s="3110"/>
      <c r="J1" s="3058"/>
      <c r="K1" s="3058"/>
      <c r="L1" s="3110"/>
      <c r="M1" s="3058"/>
      <c r="N1" s="3058"/>
      <c r="O1" s="3110"/>
      <c r="P1" s="3058"/>
      <c r="Q1" s="3118"/>
      <c r="R1" s="3119"/>
      <c r="S1" s="3120"/>
      <c r="T1" s="3120"/>
      <c r="U1" s="3120"/>
      <c r="V1" s="3120"/>
      <c r="W1" s="3120"/>
      <c r="X1" s="3120"/>
      <c r="Y1" s="3120"/>
      <c r="Z1" s="3120"/>
      <c r="AA1" s="3120"/>
      <c r="AB1" s="3120"/>
      <c r="AC1" s="3120"/>
    </row>
    <row r="2" s="3045" customFormat="1" ht="13.5" spans="1:29">
      <c r="A2" s="3059"/>
      <c r="B2" s="3060"/>
      <c r="C2" s="3061" t="s">
        <v>551</v>
      </c>
      <c r="D2" s="3062"/>
      <c r="E2" s="3059"/>
      <c r="F2" s="3063"/>
      <c r="G2" s="3061" t="s">
        <v>552</v>
      </c>
      <c r="H2" s="3047"/>
      <c r="I2" s="3047"/>
      <c r="J2" s="3047"/>
      <c r="K2" s="3047"/>
      <c r="L2" s="3047"/>
      <c r="M2" s="3047"/>
      <c r="N2" s="3047"/>
      <c r="O2" s="3047"/>
      <c r="P2" s="3047"/>
      <c r="Q2" s="3047"/>
      <c r="R2" s="3047"/>
      <c r="S2" s="3047"/>
      <c r="T2" s="3047"/>
      <c r="U2" s="3047"/>
      <c r="V2" s="3047"/>
      <c r="W2" s="3047"/>
      <c r="X2" s="3047"/>
      <c r="Y2" s="3047"/>
      <c r="Z2" s="3047"/>
      <c r="AA2" s="3047"/>
      <c r="AB2" s="3047"/>
      <c r="AC2" s="3047"/>
    </row>
    <row r="3" s="3045" customFormat="1" ht="36" spans="1:29">
      <c r="A3" s="3064" t="s">
        <v>553</v>
      </c>
      <c r="B3" s="3065" t="s">
        <v>554</v>
      </c>
      <c r="C3" s="3066" t="s">
        <v>555</v>
      </c>
      <c r="D3" s="3067"/>
      <c r="E3" s="3068" t="s">
        <v>553</v>
      </c>
      <c r="F3" s="3069" t="s">
        <v>556</v>
      </c>
      <c r="G3" s="3070" t="s">
        <v>557</v>
      </c>
      <c r="H3" s="3047"/>
      <c r="I3" s="3047"/>
      <c r="J3" s="3047"/>
      <c r="K3" s="3047"/>
      <c r="L3" s="3047"/>
      <c r="M3" s="3047"/>
      <c r="N3" s="3047"/>
      <c r="O3" s="3047"/>
      <c r="P3" s="3047"/>
      <c r="Q3" s="3047"/>
      <c r="R3" s="3047"/>
      <c r="S3" s="3047"/>
      <c r="T3" s="3047"/>
      <c r="U3" s="3047"/>
      <c r="V3" s="3047"/>
      <c r="W3" s="3047"/>
      <c r="X3" s="3047"/>
      <c r="Y3" s="3047"/>
      <c r="Z3" s="3047"/>
      <c r="AA3" s="3047"/>
      <c r="AB3" s="3047"/>
      <c r="AC3" s="3047"/>
    </row>
    <row r="4" s="3045" customFormat="1" ht="24.75" spans="1:29">
      <c r="A4" s="3068"/>
      <c r="B4" s="2132" t="s">
        <v>558</v>
      </c>
      <c r="C4" s="3071" t="s">
        <v>559</v>
      </c>
      <c r="D4" s="3067"/>
      <c r="E4" s="3072"/>
      <c r="F4" s="2693" t="s">
        <v>560</v>
      </c>
      <c r="G4" s="3073" t="s">
        <v>561</v>
      </c>
      <c r="H4" s="3047"/>
      <c r="I4" s="3047"/>
      <c r="J4" s="3047"/>
      <c r="K4" s="3047"/>
      <c r="L4" s="3047"/>
      <c r="M4" s="3047"/>
      <c r="N4" s="3047"/>
      <c r="O4" s="3047"/>
      <c r="P4" s="3047"/>
      <c r="Q4" s="3047"/>
      <c r="R4" s="3047"/>
      <c r="S4" s="3047"/>
      <c r="T4" s="3047"/>
      <c r="U4" s="3047"/>
      <c r="V4" s="3047"/>
      <c r="W4" s="3047"/>
      <c r="X4" s="3047"/>
      <c r="Y4" s="3047"/>
      <c r="Z4" s="3047"/>
      <c r="AA4" s="3047"/>
      <c r="AB4" s="3047"/>
      <c r="AC4" s="3047"/>
    </row>
    <row r="5" s="3045" customFormat="1" ht="24.75" spans="1:29">
      <c r="A5" s="3068"/>
      <c r="B5" s="2132" t="s">
        <v>562</v>
      </c>
      <c r="C5" s="3071" t="s">
        <v>563</v>
      </c>
      <c r="D5" s="3067"/>
      <c r="E5" s="3072"/>
      <c r="F5" s="2132" t="s">
        <v>564</v>
      </c>
      <c r="G5" s="3073" t="s">
        <v>565</v>
      </c>
      <c r="H5" s="3047"/>
      <c r="I5" s="3047"/>
      <c r="J5" s="3047"/>
      <c r="K5" s="3047"/>
      <c r="L5" s="3047"/>
      <c r="M5" s="3047"/>
      <c r="N5" s="3047"/>
      <c r="O5" s="3047"/>
      <c r="P5" s="3047"/>
      <c r="Q5" s="3047"/>
      <c r="R5" s="3047"/>
      <c r="S5" s="3047"/>
      <c r="T5" s="3047"/>
      <c r="U5" s="3047"/>
      <c r="V5" s="3047"/>
      <c r="W5" s="3047"/>
      <c r="X5" s="3047"/>
      <c r="Y5" s="3047"/>
      <c r="Z5" s="3047"/>
      <c r="AA5" s="3047"/>
      <c r="AB5" s="3047"/>
      <c r="AC5" s="3047"/>
    </row>
    <row r="6" s="3045" customFormat="1" ht="36" spans="1:29">
      <c r="A6" s="3068"/>
      <c r="B6" s="2132" t="s">
        <v>560</v>
      </c>
      <c r="C6" s="3073" t="s">
        <v>561</v>
      </c>
      <c r="D6" s="3067"/>
      <c r="E6" s="3072"/>
      <c r="F6" s="2132" t="s">
        <v>566</v>
      </c>
      <c r="G6" s="3073" t="s">
        <v>567</v>
      </c>
      <c r="H6" s="3047"/>
      <c r="I6" s="3047"/>
      <c r="J6" s="3047"/>
      <c r="K6" s="3047"/>
      <c r="L6" s="3047"/>
      <c r="M6" s="3047"/>
      <c r="N6" s="3047"/>
      <c r="O6" s="3047"/>
      <c r="P6" s="3047"/>
      <c r="Q6" s="3047"/>
      <c r="R6" s="3047"/>
      <c r="S6" s="3047"/>
      <c r="T6" s="3047"/>
      <c r="U6" s="3047"/>
      <c r="V6" s="3047"/>
      <c r="W6" s="3047"/>
      <c r="X6" s="3047"/>
      <c r="Y6" s="3047"/>
      <c r="Z6" s="3047"/>
      <c r="AA6" s="3047"/>
      <c r="AB6" s="3047"/>
      <c r="AC6" s="3047"/>
    </row>
    <row r="7" s="3045" customFormat="1" ht="24.75" spans="1:29">
      <c r="A7" s="3068"/>
      <c r="B7" s="2132" t="s">
        <v>564</v>
      </c>
      <c r="C7" s="3073" t="s">
        <v>565</v>
      </c>
      <c r="D7" s="2697"/>
      <c r="E7" s="3074"/>
      <c r="F7" s="3075" t="s">
        <v>568</v>
      </c>
      <c r="G7" s="3076" t="s">
        <v>569</v>
      </c>
      <c r="H7" s="3047"/>
      <c r="I7" s="3047"/>
      <c r="J7" s="3047"/>
      <c r="K7" s="3047"/>
      <c r="L7" s="3047"/>
      <c r="M7" s="3047"/>
      <c r="N7" s="3047"/>
      <c r="O7" s="3047"/>
      <c r="P7" s="3047"/>
      <c r="Q7" s="3047"/>
      <c r="R7" s="3047"/>
      <c r="S7" s="3047"/>
      <c r="T7" s="3047"/>
      <c r="U7" s="3047"/>
      <c r="V7" s="3047"/>
      <c r="W7" s="3047"/>
      <c r="X7" s="3047"/>
      <c r="Y7" s="3047"/>
      <c r="Z7" s="3047"/>
      <c r="AA7" s="3047"/>
      <c r="AB7" s="3047"/>
      <c r="AC7" s="3047"/>
    </row>
    <row r="8" s="3045" customFormat="1" ht="12.75" spans="1:29">
      <c r="A8" s="3068"/>
      <c r="B8" s="2132" t="s">
        <v>566</v>
      </c>
      <c r="C8" s="3073" t="s">
        <v>567</v>
      </c>
      <c r="D8" s="2697"/>
      <c r="E8" s="2697"/>
      <c r="F8" s="2705"/>
      <c r="G8" s="2705"/>
      <c r="H8" s="3047"/>
      <c r="I8" s="3047"/>
      <c r="J8" s="3047"/>
      <c r="K8" s="3047"/>
      <c r="L8" s="3047"/>
      <c r="M8" s="3047"/>
      <c r="N8" s="3047"/>
      <c r="O8" s="3047"/>
      <c r="P8" s="3047"/>
      <c r="Q8" s="3047"/>
      <c r="R8" s="3047"/>
      <c r="S8" s="3047"/>
      <c r="T8" s="3047"/>
      <c r="U8" s="3047"/>
      <c r="V8" s="3047"/>
      <c r="W8" s="3047"/>
      <c r="X8" s="3047"/>
      <c r="Y8" s="3047"/>
      <c r="Z8" s="3047"/>
      <c r="AA8" s="3047"/>
      <c r="AB8" s="3047"/>
      <c r="AC8" s="3047"/>
    </row>
    <row r="9" s="3045" customFormat="1" ht="24" spans="1:29">
      <c r="A9" s="3068"/>
      <c r="B9" s="2132" t="s">
        <v>570</v>
      </c>
      <c r="C9" s="3071" t="s">
        <v>571</v>
      </c>
      <c r="D9" s="3067"/>
      <c r="E9" s="2697"/>
      <c r="F9" s="2705"/>
      <c r="G9" s="2705"/>
      <c r="H9" s="3047"/>
      <c r="I9" s="3047"/>
      <c r="J9" s="3047"/>
      <c r="K9" s="3047"/>
      <c r="L9" s="3047"/>
      <c r="M9" s="3047"/>
      <c r="N9" s="3047"/>
      <c r="O9" s="3047"/>
      <c r="P9" s="3047"/>
      <c r="Q9" s="3047"/>
      <c r="R9" s="3047"/>
      <c r="S9" s="3047"/>
      <c r="T9" s="3047"/>
      <c r="U9" s="3047"/>
      <c r="V9" s="3047"/>
      <c r="W9" s="3047"/>
      <c r="X9" s="3047"/>
      <c r="Y9" s="3047"/>
      <c r="Z9" s="3047"/>
      <c r="AA9" s="3047"/>
      <c r="AB9" s="3047"/>
      <c r="AC9" s="3047"/>
    </row>
    <row r="10" s="3046" customFormat="1" ht="13.5" spans="1:29">
      <c r="A10" s="3077"/>
      <c r="B10" s="2699" t="s">
        <v>572</v>
      </c>
      <c r="C10" s="3078"/>
      <c r="D10" s="3067"/>
      <c r="E10" s="3067"/>
      <c r="F10" s="2705"/>
      <c r="G10" s="2705"/>
      <c r="H10" s="2920"/>
      <c r="I10" s="3111"/>
      <c r="J10" s="3112"/>
      <c r="K10" s="2920"/>
      <c r="L10" s="3111"/>
      <c r="M10" s="3112"/>
      <c r="N10" s="2920"/>
      <c r="O10" s="3111"/>
      <c r="P10" s="3112"/>
      <c r="Q10" s="2920"/>
      <c r="R10" s="3111"/>
      <c r="S10" s="3047"/>
      <c r="T10" s="3047"/>
      <c r="U10" s="3047"/>
      <c r="V10" s="3047"/>
      <c r="W10" s="3047"/>
      <c r="X10" s="3047"/>
      <c r="Y10" s="3047"/>
      <c r="Z10" s="3047"/>
      <c r="AA10" s="3047"/>
      <c r="AB10" s="3047"/>
      <c r="AC10" s="3047"/>
    </row>
    <row r="11" s="3046" customFormat="1" ht="12.75" spans="1:29">
      <c r="A11" s="3079"/>
      <c r="B11" s="2697"/>
      <c r="C11" s="3067"/>
      <c r="D11" s="3067"/>
      <c r="E11" s="3067"/>
      <c r="F11" s="2697"/>
      <c r="G11" s="3080"/>
      <c r="H11" s="2920"/>
      <c r="I11" s="3111"/>
      <c r="J11" s="3112"/>
      <c r="K11" s="2920"/>
      <c r="L11" s="3111"/>
      <c r="M11" s="3112"/>
      <c r="N11" s="2920"/>
      <c r="O11" s="3111"/>
      <c r="P11" s="3112"/>
      <c r="Q11" s="2920"/>
      <c r="R11" s="3111"/>
      <c r="S11" s="3047"/>
      <c r="T11" s="3047"/>
      <c r="U11" s="3047"/>
      <c r="V11" s="3047"/>
      <c r="W11" s="3047"/>
      <c r="X11" s="3047"/>
      <c r="Y11" s="3047"/>
      <c r="Z11" s="3047"/>
      <c r="AA11" s="3047"/>
      <c r="AB11" s="3047"/>
      <c r="AC11" s="3047"/>
    </row>
    <row r="12" s="3044" customFormat="1" ht="18" spans="1:29">
      <c r="A12" s="3081"/>
      <c r="B12" s="3082"/>
      <c r="C12" s="3083"/>
      <c r="D12" s="3084"/>
      <c r="E12" s="3083"/>
      <c r="F12" s="3082"/>
      <c r="G12" s="2333"/>
      <c r="H12" s="3085"/>
      <c r="I12" s="3113"/>
      <c r="J12" s="3085"/>
      <c r="K12" s="3085"/>
      <c r="L12" s="3114"/>
      <c r="M12" s="3085"/>
      <c r="N12" s="3115"/>
      <c r="O12" s="3116"/>
      <c r="P12" s="3115"/>
      <c r="Q12" s="3115"/>
      <c r="R12" s="3119"/>
      <c r="S12" s="3120"/>
      <c r="T12" s="3120"/>
      <c r="U12" s="3120"/>
      <c r="V12" s="3120"/>
      <c r="W12" s="3120"/>
      <c r="X12" s="3120"/>
      <c r="Y12" s="3120"/>
      <c r="Z12" s="3120"/>
      <c r="AA12" s="3120"/>
      <c r="AB12" s="3120"/>
      <c r="AC12" s="3120"/>
    </row>
    <row r="13" ht="19.5" spans="1:7">
      <c r="A13" s="3086" t="s">
        <v>573</v>
      </c>
      <c r="B13" s="3084"/>
      <c r="C13" s="3084"/>
      <c r="D13" s="3087"/>
      <c r="E13" s="3084"/>
      <c r="F13" s="3084"/>
      <c r="G13" s="3084"/>
    </row>
    <row r="14" s="3045" customFormat="1" ht="13.5" spans="1:29">
      <c r="A14" s="3088"/>
      <c r="B14" s="3088"/>
      <c r="C14" s="3089" t="s">
        <v>551</v>
      </c>
      <c r="D14" s="3067"/>
      <c r="E14" s="3090"/>
      <c r="F14" s="3090"/>
      <c r="G14" s="3061" t="s">
        <v>552</v>
      </c>
      <c r="H14" s="3091"/>
      <c r="I14" s="3117"/>
      <c r="J14" s="3091"/>
      <c r="K14" s="3091"/>
      <c r="L14" s="3117"/>
      <c r="M14" s="3091"/>
      <c r="N14" s="3091"/>
      <c r="O14" s="3117"/>
      <c r="P14" s="3091"/>
      <c r="Q14" s="3091"/>
      <c r="R14" s="3121"/>
      <c r="S14" s="3047"/>
      <c r="T14" s="3047"/>
      <c r="U14" s="3047"/>
      <c r="V14" s="3047"/>
      <c r="W14" s="3047"/>
      <c r="X14" s="3047"/>
      <c r="Y14" s="3047"/>
      <c r="Z14" s="3047"/>
      <c r="AA14" s="3047"/>
      <c r="AB14" s="3047"/>
      <c r="AC14" s="3047"/>
    </row>
    <row r="15" s="3045" customFormat="1" ht="36" spans="1:29">
      <c r="A15" s="3092" t="s">
        <v>553</v>
      </c>
      <c r="B15" s="3093" t="s">
        <v>554</v>
      </c>
      <c r="C15" s="3094" t="str">
        <f>C3</f>
        <v>估价对象周边居住用地比例、居住小区规模和社区发展完善程度，综合评价居住社区成熟度一般</v>
      </c>
      <c r="D15" s="3067"/>
      <c r="E15" s="3095" t="s">
        <v>553</v>
      </c>
      <c r="F15" s="3093" t="s">
        <v>556</v>
      </c>
      <c r="G15" s="3096" t="str">
        <f>G3</f>
        <v>估价对象位于XX开发区，园区建设成熟度XX，产业集聚程度XX</v>
      </c>
      <c r="H15" s="3091"/>
      <c r="I15" s="3117"/>
      <c r="J15" s="3091"/>
      <c r="K15" s="3091"/>
      <c r="L15" s="3117"/>
      <c r="M15" s="3091"/>
      <c r="N15" s="3091"/>
      <c r="O15" s="3117"/>
      <c r="P15" s="3091"/>
      <c r="Q15" s="3091"/>
      <c r="R15" s="3121"/>
      <c r="S15" s="3047"/>
      <c r="T15" s="3047"/>
      <c r="U15" s="3047"/>
      <c r="V15" s="3047"/>
      <c r="W15" s="3047"/>
      <c r="X15" s="3047"/>
      <c r="Y15" s="3047"/>
      <c r="Z15" s="3047"/>
      <c r="AA15" s="3047"/>
      <c r="AB15" s="3047"/>
      <c r="AC15" s="3047"/>
    </row>
    <row r="16" s="3045" customFormat="1" ht="24.75" spans="1:29">
      <c r="A16" s="3097"/>
      <c r="B16" s="2688" t="s">
        <v>558</v>
      </c>
      <c r="C16" s="3098" t="str">
        <f>C4</f>
        <v>估价对象位于XX商圈，周边商业氛围成熟，人流量大，商业繁华度好</v>
      </c>
      <c r="D16" s="3067"/>
      <c r="E16" s="3099"/>
      <c r="F16" s="2690" t="s">
        <v>560</v>
      </c>
      <c r="G16" s="3100" t="str">
        <f>G4</f>
        <v>估价对象周边道路状况、公共交通通达情况、停车便捷程度，综合评价交通便捷度较好</v>
      </c>
      <c r="H16" s="3091"/>
      <c r="I16" s="3117"/>
      <c r="J16" s="3091"/>
      <c r="K16" s="3091"/>
      <c r="L16" s="3117"/>
      <c r="M16" s="3091"/>
      <c r="N16" s="3091"/>
      <c r="O16" s="3117"/>
      <c r="P16" s="3091"/>
      <c r="Q16" s="3091"/>
      <c r="R16" s="3121"/>
      <c r="S16" s="3047"/>
      <c r="T16" s="3047"/>
      <c r="U16" s="3047"/>
      <c r="V16" s="3047"/>
      <c r="W16" s="3047"/>
      <c r="X16" s="3047"/>
      <c r="Y16" s="3047"/>
      <c r="Z16" s="3047"/>
      <c r="AA16" s="3047"/>
      <c r="AB16" s="3047"/>
      <c r="AC16" s="3047"/>
    </row>
    <row r="17" s="3045" customFormat="1" ht="24.75" spans="1:29">
      <c r="A17" s="3097"/>
      <c r="B17" s="2688" t="s">
        <v>562</v>
      </c>
      <c r="C17" s="3098" t="str">
        <f>C5</f>
        <v>估价对象位于XX商圈，周边办公楼项目较多，入驻率高，办公集聚程度较好</v>
      </c>
      <c r="D17" s="2697"/>
      <c r="E17" s="3099"/>
      <c r="F17" s="2690" t="s">
        <v>574</v>
      </c>
      <c r="G17" s="3101"/>
      <c r="H17" s="3091"/>
      <c r="I17" s="3117"/>
      <c r="J17" s="3091"/>
      <c r="K17" s="3091"/>
      <c r="L17" s="3117"/>
      <c r="M17" s="3091"/>
      <c r="N17" s="3091"/>
      <c r="O17" s="3117"/>
      <c r="P17" s="3091"/>
      <c r="Q17" s="3091"/>
      <c r="R17" s="3121"/>
      <c r="S17" s="3047"/>
      <c r="T17" s="3047"/>
      <c r="U17" s="3047"/>
      <c r="V17" s="3047"/>
      <c r="W17" s="3047"/>
      <c r="X17" s="3047"/>
      <c r="Y17" s="3047"/>
      <c r="Z17" s="3047"/>
      <c r="AA17" s="3047"/>
      <c r="AB17" s="3047"/>
      <c r="AC17" s="3047"/>
    </row>
    <row r="18" s="3045" customFormat="1" ht="36" spans="1:29">
      <c r="A18" s="3097"/>
      <c r="B18" s="2690" t="s">
        <v>560</v>
      </c>
      <c r="C18" s="3100" t="str">
        <f>C6</f>
        <v>估价对象周边道路状况、公共交通通达情况、停车便捷程度，综合评价交通便捷度较好</v>
      </c>
      <c r="D18" s="2697"/>
      <c r="E18" s="3099"/>
      <c r="F18" s="2690" t="s">
        <v>568</v>
      </c>
      <c r="G18" s="3100" t="str">
        <f>G7</f>
        <v>该园区内是否有污染型企业，绿化情况，卫生条件，整体环境状况判断</v>
      </c>
      <c r="H18" s="3091"/>
      <c r="I18" s="3117"/>
      <c r="J18" s="3091"/>
      <c r="K18" s="3091"/>
      <c r="L18" s="3117"/>
      <c r="M18" s="3091"/>
      <c r="N18" s="3091"/>
      <c r="O18" s="3117"/>
      <c r="P18" s="3091"/>
      <c r="Q18" s="3091"/>
      <c r="R18" s="3121"/>
      <c r="S18" s="3047"/>
      <c r="T18" s="3047"/>
      <c r="U18" s="3047"/>
      <c r="V18" s="3047"/>
      <c r="W18" s="3047"/>
      <c r="X18" s="3047"/>
      <c r="Y18" s="3047"/>
      <c r="Z18" s="3047"/>
      <c r="AA18" s="3047"/>
      <c r="AB18" s="3047"/>
      <c r="AC18" s="3047"/>
    </row>
    <row r="19" s="3045" customFormat="1" ht="12.75" spans="1:29">
      <c r="A19" s="3097"/>
      <c r="B19" s="2690" t="s">
        <v>574</v>
      </c>
      <c r="C19" s="3101"/>
      <c r="D19" s="3067"/>
      <c r="E19" s="3099"/>
      <c r="F19" s="2132" t="s">
        <v>564</v>
      </c>
      <c r="G19" s="3100" t="str">
        <f>G5</f>
        <v>估价对象所在区域公共配套设施齐备情况</v>
      </c>
      <c r="H19" s="3091"/>
      <c r="I19" s="3117"/>
      <c r="J19" s="3091"/>
      <c r="K19" s="3091"/>
      <c r="L19" s="3117"/>
      <c r="M19" s="3091"/>
      <c r="N19" s="3091"/>
      <c r="O19" s="3117"/>
      <c r="P19" s="3091"/>
      <c r="Q19" s="3091"/>
      <c r="R19" s="3121"/>
      <c r="S19" s="3047"/>
      <c r="T19" s="3047"/>
      <c r="U19" s="3047"/>
      <c r="V19" s="3047"/>
      <c r="W19" s="3047"/>
      <c r="X19" s="3047"/>
      <c r="Y19" s="3047"/>
      <c r="Z19" s="3047"/>
      <c r="AA19" s="3047"/>
      <c r="AB19" s="3047"/>
      <c r="AC19" s="3047"/>
    </row>
    <row r="20" s="3045" customFormat="1" ht="24" spans="1:29">
      <c r="A20" s="3097"/>
      <c r="B20" s="2690" t="s">
        <v>575</v>
      </c>
      <c r="C20" s="3098" t="str">
        <f>C9</f>
        <v>区域自然环境：；人文环境；综合评价环境状况一般</v>
      </c>
      <c r="D20" s="2697"/>
      <c r="E20" s="3099"/>
      <c r="F20" s="2132" t="s">
        <v>566</v>
      </c>
      <c r="G20" s="3100" t="str">
        <f>G6</f>
        <v>估价对象所在区域基础设施水平</v>
      </c>
      <c r="H20" s="3091"/>
      <c r="I20" s="3117"/>
      <c r="J20" s="3091"/>
      <c r="K20" s="3091"/>
      <c r="L20" s="3117"/>
      <c r="M20" s="3091"/>
      <c r="N20" s="3091"/>
      <c r="O20" s="3117"/>
      <c r="P20" s="3091"/>
      <c r="Q20" s="3091"/>
      <c r="R20" s="3121"/>
      <c r="S20" s="3047"/>
      <c r="T20" s="3047"/>
      <c r="U20" s="3047"/>
      <c r="V20" s="3047"/>
      <c r="W20" s="3047"/>
      <c r="X20" s="3047"/>
      <c r="Y20" s="3047"/>
      <c r="Z20" s="3047"/>
      <c r="AA20" s="3047"/>
      <c r="AB20" s="3047"/>
      <c r="AC20" s="3047"/>
    </row>
    <row r="21" s="3045" customFormat="1" ht="24" spans="1:29">
      <c r="A21" s="3097"/>
      <c r="B21" s="2132" t="s">
        <v>564</v>
      </c>
      <c r="C21" s="3100" t="str">
        <f>C7</f>
        <v>估价对象所在区域公共配套设施齐备情况</v>
      </c>
      <c r="D21" s="3067"/>
      <c r="E21" s="3099"/>
      <c r="F21" s="2690" t="s">
        <v>576</v>
      </c>
      <c r="G21" s="3102"/>
      <c r="H21" s="3091"/>
      <c r="I21" s="3117"/>
      <c r="J21" s="3091"/>
      <c r="K21" s="3091"/>
      <c r="L21" s="3117"/>
      <c r="M21" s="3091"/>
      <c r="N21" s="3091"/>
      <c r="O21" s="3117"/>
      <c r="P21" s="3091"/>
      <c r="Q21" s="3091"/>
      <c r="R21" s="3121"/>
      <c r="S21" s="3047"/>
      <c r="T21" s="3047"/>
      <c r="U21" s="3047"/>
      <c r="V21" s="3047"/>
      <c r="W21" s="3047"/>
      <c r="X21" s="3047"/>
      <c r="Y21" s="3047"/>
      <c r="Z21" s="3047"/>
      <c r="AA21" s="3047"/>
      <c r="AB21" s="3047"/>
      <c r="AC21" s="3047"/>
    </row>
    <row r="22" s="3045" customFormat="1" ht="12.75" spans="1:29">
      <c r="A22" s="3097"/>
      <c r="B22" s="2132" t="s">
        <v>566</v>
      </c>
      <c r="C22" s="3100" t="str">
        <f>C8</f>
        <v>估价对象所在区域基础设施水平</v>
      </c>
      <c r="D22" s="3067"/>
      <c r="E22" s="3099"/>
      <c r="F22" s="2690" t="s">
        <v>572</v>
      </c>
      <c r="G22" s="3103"/>
      <c r="H22" s="3091"/>
      <c r="I22" s="3117"/>
      <c r="J22" s="3091"/>
      <c r="K22" s="3091"/>
      <c r="L22" s="3117"/>
      <c r="M22" s="3091"/>
      <c r="N22" s="3091"/>
      <c r="O22" s="3117"/>
      <c r="P22" s="3091"/>
      <c r="Q22" s="3091"/>
      <c r="R22" s="3121"/>
      <c r="S22" s="3047"/>
      <c r="T22" s="3047"/>
      <c r="U22" s="3047"/>
      <c r="V22" s="3047"/>
      <c r="W22" s="3047"/>
      <c r="X22" s="3047"/>
      <c r="Y22" s="3047"/>
      <c r="Z22" s="3047"/>
      <c r="AA22" s="3047"/>
      <c r="AB22" s="3047"/>
      <c r="AC22" s="3047"/>
    </row>
    <row r="23" s="3047" customFormat="1" ht="13.5" spans="1:18">
      <c r="A23" s="3097"/>
      <c r="B23" s="2690" t="s">
        <v>576</v>
      </c>
      <c r="C23" s="3102"/>
      <c r="D23" s="3091"/>
      <c r="E23" s="3104"/>
      <c r="F23" s="2698" t="s">
        <v>352</v>
      </c>
      <c r="G23" s="3105"/>
      <c r="H23" s="3091"/>
      <c r="I23" s="3117"/>
      <c r="J23" s="3091"/>
      <c r="K23" s="3091"/>
      <c r="L23" s="3117"/>
      <c r="M23" s="3091"/>
      <c r="N23" s="3091"/>
      <c r="O23" s="3117"/>
      <c r="P23" s="3091"/>
      <c r="Q23" s="3091"/>
      <c r="R23" s="3121"/>
    </row>
    <row r="24" s="3047" customFormat="1" ht="13.5" spans="1:18">
      <c r="A24" s="3106"/>
      <c r="B24" s="2698" t="s">
        <v>572</v>
      </c>
      <c r="C24" s="3107">
        <f>C10</f>
        <v>0</v>
      </c>
      <c r="D24" s="3091"/>
      <c r="E24" s="3108"/>
      <c r="F24" s="3108"/>
      <c r="G24" s="3109"/>
      <c r="H24" s="3091"/>
      <c r="I24" s="3117"/>
      <c r="J24" s="3091"/>
      <c r="K24" s="3091"/>
      <c r="L24" s="3117"/>
      <c r="M24" s="3091"/>
      <c r="N24" s="3091"/>
      <c r="O24" s="3117"/>
      <c r="P24" s="3091"/>
      <c r="Q24" s="3091"/>
      <c r="R24" s="3121"/>
    </row>
    <row r="25" s="3048" customFormat="1" spans="2:18">
      <c r="B25" s="3053"/>
      <c r="C25" s="3053"/>
      <c r="D25" s="3053"/>
      <c r="H25" s="3053"/>
      <c r="I25" s="3054"/>
      <c r="J25" s="3053"/>
      <c r="K25" s="3053"/>
      <c r="L25" s="3054"/>
      <c r="M25" s="3053"/>
      <c r="N25" s="3053"/>
      <c r="O25" s="3054"/>
      <c r="P25" s="3053"/>
      <c r="Q25" s="3053"/>
      <c r="R25" s="3055"/>
    </row>
    <row r="26" s="3048" customFormat="1" spans="2:18">
      <c r="B26" s="3053"/>
      <c r="C26" s="3053"/>
      <c r="D26" s="3053"/>
      <c r="H26" s="3053"/>
      <c r="I26" s="3054"/>
      <c r="J26" s="3053"/>
      <c r="K26" s="3053"/>
      <c r="L26" s="3054"/>
      <c r="M26" s="3053"/>
      <c r="N26" s="3053"/>
      <c r="O26" s="3054"/>
      <c r="P26" s="3053"/>
      <c r="Q26" s="3053"/>
      <c r="R26" s="3055"/>
    </row>
    <row r="27" s="3048" customFormat="1" spans="2:18">
      <c r="B27" s="3053"/>
      <c r="C27" s="3053"/>
      <c r="D27" s="3053"/>
      <c r="H27" s="3053"/>
      <c r="I27" s="3054"/>
      <c r="J27" s="3053"/>
      <c r="K27" s="3053"/>
      <c r="L27" s="3054"/>
      <c r="M27" s="3053"/>
      <c r="N27" s="3053"/>
      <c r="O27" s="3054"/>
      <c r="P27" s="3053"/>
      <c r="Q27" s="3053"/>
      <c r="R27" s="3055"/>
    </row>
    <row r="28" s="3048" customFormat="1" spans="2:18">
      <c r="B28" s="3053"/>
      <c r="C28" s="3053"/>
      <c r="D28" s="3053"/>
      <c r="H28" s="3053"/>
      <c r="I28" s="3054"/>
      <c r="J28" s="3053"/>
      <c r="K28" s="3053"/>
      <c r="L28" s="3054"/>
      <c r="M28" s="3053"/>
      <c r="N28" s="3053"/>
      <c r="O28" s="3054"/>
      <c r="P28" s="3053"/>
      <c r="Q28" s="3053"/>
      <c r="R28" s="3055"/>
    </row>
    <row r="29" s="3048" customFormat="1" spans="2:18">
      <c r="B29" s="3053"/>
      <c r="C29" s="3053"/>
      <c r="D29" s="3053"/>
      <c r="H29" s="3053"/>
      <c r="I29" s="3054"/>
      <c r="J29" s="3053"/>
      <c r="K29" s="3053"/>
      <c r="L29" s="3054"/>
      <c r="M29" s="3053"/>
      <c r="N29" s="3053"/>
      <c r="O29" s="3054"/>
      <c r="P29" s="3053"/>
      <c r="Q29" s="3053"/>
      <c r="R29" s="3055"/>
    </row>
    <row r="30" s="3048" customFormat="1" spans="2:18">
      <c r="B30" s="3053"/>
      <c r="C30" s="3053"/>
      <c r="D30" s="3053"/>
      <c r="H30" s="3053"/>
      <c r="I30" s="3054"/>
      <c r="J30" s="3053"/>
      <c r="K30" s="3053"/>
      <c r="L30" s="3054"/>
      <c r="M30" s="3053"/>
      <c r="N30" s="3053"/>
      <c r="O30" s="3054"/>
      <c r="P30" s="3053"/>
      <c r="Q30" s="3053"/>
      <c r="R30" s="3055"/>
    </row>
    <row r="31" s="3048" customFormat="1" spans="2:18">
      <c r="B31" s="3053"/>
      <c r="C31" s="3053"/>
      <c r="D31" s="3053"/>
      <c r="H31" s="3053"/>
      <c r="I31" s="3054"/>
      <c r="J31" s="3053"/>
      <c r="K31" s="3053"/>
      <c r="L31" s="3054"/>
      <c r="M31" s="3053"/>
      <c r="N31" s="3053"/>
      <c r="O31" s="3054"/>
      <c r="P31" s="3053"/>
      <c r="Q31" s="3053"/>
      <c r="R31" s="3055"/>
    </row>
    <row r="32" s="3048" customFormat="1" spans="2:18">
      <c r="B32" s="3053"/>
      <c r="C32" s="3053"/>
      <c r="D32" s="3053"/>
      <c r="H32" s="3053"/>
      <c r="I32" s="3054"/>
      <c r="J32" s="3053"/>
      <c r="K32" s="3053"/>
      <c r="L32" s="3054"/>
      <c r="M32" s="3053"/>
      <c r="N32" s="3053"/>
      <c r="O32" s="3054"/>
      <c r="P32" s="3053"/>
      <c r="Q32" s="3053"/>
      <c r="R32" s="3055"/>
    </row>
    <row r="33" s="3048" customFormat="1" spans="2:18">
      <c r="B33" s="3053"/>
      <c r="C33" s="3053"/>
      <c r="D33" s="3053"/>
      <c r="H33" s="3053"/>
      <c r="I33" s="3054"/>
      <c r="J33" s="3053"/>
      <c r="K33" s="3053"/>
      <c r="L33" s="3054"/>
      <c r="M33" s="3053"/>
      <c r="N33" s="3053"/>
      <c r="O33" s="3054"/>
      <c r="P33" s="3053"/>
      <c r="Q33" s="3053"/>
      <c r="R33" s="3055"/>
    </row>
    <row r="34" s="3048" customFormat="1" spans="2:18">
      <c r="B34" s="3053"/>
      <c r="C34" s="3053"/>
      <c r="D34" s="3053"/>
      <c r="H34" s="3053"/>
      <c r="I34" s="3054"/>
      <c r="J34" s="3053"/>
      <c r="K34" s="3053"/>
      <c r="L34" s="3054"/>
      <c r="M34" s="3053"/>
      <c r="N34" s="3053"/>
      <c r="O34" s="3054"/>
      <c r="P34" s="3053"/>
      <c r="Q34" s="3053"/>
      <c r="R34" s="3055"/>
    </row>
    <row r="35" s="3048" customFormat="1" spans="2:18">
      <c r="B35" s="3053"/>
      <c r="C35" s="3053"/>
      <c r="D35" s="3053"/>
      <c r="H35" s="3053"/>
      <c r="I35" s="3054"/>
      <c r="J35" s="3053"/>
      <c r="K35" s="3053"/>
      <c r="L35" s="3054"/>
      <c r="M35" s="3053"/>
      <c r="N35" s="3053"/>
      <c r="O35" s="3054"/>
      <c r="P35" s="3053"/>
      <c r="Q35" s="3053"/>
      <c r="R35" s="3055"/>
    </row>
    <row r="36" s="3048" customFormat="1" spans="2:18">
      <c r="B36" s="3053"/>
      <c r="C36" s="3053"/>
      <c r="D36" s="3053"/>
      <c r="H36" s="3053"/>
      <c r="I36" s="3054"/>
      <c r="J36" s="3053"/>
      <c r="K36" s="3053"/>
      <c r="L36" s="3054"/>
      <c r="M36" s="3053"/>
      <c r="N36" s="3053"/>
      <c r="O36" s="3054"/>
      <c r="P36" s="3053"/>
      <c r="Q36" s="3053"/>
      <c r="R36" s="3055"/>
    </row>
    <row r="37" s="3048" customFormat="1" spans="2:18">
      <c r="B37" s="3053"/>
      <c r="C37" s="3053"/>
      <c r="D37" s="3053"/>
      <c r="H37" s="3053"/>
      <c r="I37" s="3054"/>
      <c r="J37" s="3053"/>
      <c r="K37" s="3053"/>
      <c r="L37" s="3054"/>
      <c r="M37" s="3053"/>
      <c r="N37" s="3053"/>
      <c r="O37" s="3054"/>
      <c r="P37" s="3053"/>
      <c r="Q37" s="3053"/>
      <c r="R37" s="3055"/>
    </row>
    <row r="38" s="3048" customFormat="1" spans="2:18">
      <c r="B38" s="3053"/>
      <c r="C38" s="3053"/>
      <c r="D38" s="3053"/>
      <c r="E38" s="3053"/>
      <c r="F38" s="3053"/>
      <c r="G38" s="3054"/>
      <c r="H38" s="3053"/>
      <c r="I38" s="3054"/>
      <c r="J38" s="3053"/>
      <c r="K38" s="3053"/>
      <c r="L38" s="3054"/>
      <c r="M38" s="3053"/>
      <c r="N38" s="3053"/>
      <c r="O38" s="3054"/>
      <c r="P38" s="3053"/>
      <c r="Q38" s="3053"/>
      <c r="R38" s="3055"/>
    </row>
    <row r="39" s="3048" customFormat="1" spans="2:18">
      <c r="B39" s="3053"/>
      <c r="C39" s="3053"/>
      <c r="D39" s="3053"/>
      <c r="E39" s="3053"/>
      <c r="F39" s="3053"/>
      <c r="G39" s="3054"/>
      <c r="H39" s="3053"/>
      <c r="I39" s="3054"/>
      <c r="J39" s="3053"/>
      <c r="K39" s="3053"/>
      <c r="L39" s="3054"/>
      <c r="M39" s="3053"/>
      <c r="N39" s="3053"/>
      <c r="O39" s="3054"/>
      <c r="P39" s="3053"/>
      <c r="Q39" s="3053"/>
      <c r="R39" s="3055"/>
    </row>
    <row r="40" s="3048" customFormat="1" spans="2:18">
      <c r="B40" s="3053"/>
      <c r="C40" s="3053"/>
      <c r="D40" s="3053"/>
      <c r="E40" s="3053"/>
      <c r="F40" s="3053"/>
      <c r="G40" s="3054"/>
      <c r="H40" s="3053"/>
      <c r="I40" s="3054"/>
      <c r="J40" s="3053"/>
      <c r="K40" s="3053"/>
      <c r="L40" s="3054"/>
      <c r="M40" s="3053"/>
      <c r="N40" s="3053"/>
      <c r="O40" s="3054"/>
      <c r="P40" s="3053"/>
      <c r="Q40" s="3053"/>
      <c r="R40" s="3055"/>
    </row>
    <row r="41" s="3048" customFormat="1" spans="2:18">
      <c r="B41" s="3053"/>
      <c r="C41" s="3053"/>
      <c r="D41" s="3053"/>
      <c r="E41" s="3053"/>
      <c r="F41" s="3053"/>
      <c r="G41" s="3054"/>
      <c r="H41" s="3053"/>
      <c r="I41" s="3054"/>
      <c r="J41" s="3053"/>
      <c r="K41" s="3053"/>
      <c r="L41" s="3054"/>
      <c r="M41" s="3053"/>
      <c r="N41" s="3053"/>
      <c r="O41" s="3054"/>
      <c r="P41" s="3053"/>
      <c r="Q41" s="3053"/>
      <c r="R41" s="3055"/>
    </row>
    <row r="42" s="3048" customFormat="1" spans="2:18">
      <c r="B42" s="3053"/>
      <c r="C42" s="3053"/>
      <c r="D42" s="3053"/>
      <c r="E42" s="3053"/>
      <c r="F42" s="3053"/>
      <c r="G42" s="3054"/>
      <c r="H42" s="3053"/>
      <c r="I42" s="3054"/>
      <c r="J42" s="3053"/>
      <c r="K42" s="3053"/>
      <c r="L42" s="3054"/>
      <c r="M42" s="3053"/>
      <c r="N42" s="3053"/>
      <c r="O42" s="3054"/>
      <c r="P42" s="3053"/>
      <c r="Q42" s="3053"/>
      <c r="R42" s="3055"/>
    </row>
    <row r="43" s="3048" customFormat="1" spans="2:18">
      <c r="B43" s="3053"/>
      <c r="C43" s="3053"/>
      <c r="D43" s="3053"/>
      <c r="E43" s="3053"/>
      <c r="F43" s="3053"/>
      <c r="G43" s="3054"/>
      <c r="H43" s="3053"/>
      <c r="I43" s="3054"/>
      <c r="J43" s="3053"/>
      <c r="K43" s="3053"/>
      <c r="L43" s="3054"/>
      <c r="M43" s="3053"/>
      <c r="N43" s="3053"/>
      <c r="O43" s="3054"/>
      <c r="P43" s="3053"/>
      <c r="Q43" s="3053"/>
      <c r="R43" s="3055"/>
    </row>
    <row r="44" s="3048" customFormat="1" spans="2:18">
      <c r="B44" s="3053"/>
      <c r="C44" s="3053"/>
      <c r="D44" s="3053"/>
      <c r="E44" s="3053"/>
      <c r="F44" s="3053"/>
      <c r="G44" s="3054"/>
      <c r="H44" s="3053"/>
      <c r="I44" s="3054"/>
      <c r="J44" s="3053"/>
      <c r="K44" s="3053"/>
      <c r="L44" s="3054"/>
      <c r="M44" s="3053"/>
      <c r="N44" s="3053"/>
      <c r="O44" s="3054"/>
      <c r="P44" s="3053"/>
      <c r="Q44" s="3053"/>
      <c r="R44" s="3055"/>
    </row>
    <row r="45" s="3048" customFormat="1" spans="2:18">
      <c r="B45" s="3053"/>
      <c r="C45" s="3053"/>
      <c r="D45" s="3053"/>
      <c r="E45" s="3053"/>
      <c r="F45" s="3053"/>
      <c r="G45" s="3054"/>
      <c r="H45" s="3053"/>
      <c r="I45" s="3054"/>
      <c r="J45" s="3053"/>
      <c r="K45" s="3053"/>
      <c r="L45" s="3054"/>
      <c r="M45" s="3053"/>
      <c r="N45" s="3053"/>
      <c r="O45" s="3054"/>
      <c r="P45" s="3053"/>
      <c r="Q45" s="3053"/>
      <c r="R45" s="3055"/>
    </row>
    <row r="46" s="3048" customFormat="1" spans="2:18">
      <c r="B46" s="3053"/>
      <c r="C46" s="3053"/>
      <c r="D46" s="3053"/>
      <c r="E46" s="3053"/>
      <c r="F46" s="3053"/>
      <c r="G46" s="3054"/>
      <c r="H46" s="3053"/>
      <c r="I46" s="3054"/>
      <c r="J46" s="3053"/>
      <c r="K46" s="3053"/>
      <c r="L46" s="3054"/>
      <c r="M46" s="3053"/>
      <c r="N46" s="3053"/>
      <c r="O46" s="3054"/>
      <c r="P46" s="3053"/>
      <c r="Q46" s="3053"/>
      <c r="R46" s="3055"/>
    </row>
    <row r="47" s="3048" customFormat="1" spans="2:18">
      <c r="B47" s="3053"/>
      <c r="C47" s="3053"/>
      <c r="D47" s="3053"/>
      <c r="E47" s="3053"/>
      <c r="F47" s="3053"/>
      <c r="G47" s="3054"/>
      <c r="H47" s="3053"/>
      <c r="I47" s="3054"/>
      <c r="J47" s="3053"/>
      <c r="K47" s="3053"/>
      <c r="L47" s="3054"/>
      <c r="M47" s="3053"/>
      <c r="N47" s="3053"/>
      <c r="O47" s="3054"/>
      <c r="P47" s="3053"/>
      <c r="Q47" s="3053"/>
      <c r="R47" s="3055"/>
    </row>
    <row r="48" s="3048" customFormat="1" spans="2:18">
      <c r="B48" s="3053"/>
      <c r="C48" s="3053"/>
      <c r="D48" s="3053"/>
      <c r="E48" s="3053"/>
      <c r="F48" s="3053"/>
      <c r="G48" s="3054"/>
      <c r="H48" s="3053"/>
      <c r="I48" s="3054"/>
      <c r="J48" s="3053"/>
      <c r="K48" s="3053"/>
      <c r="L48" s="3054"/>
      <c r="M48" s="3053"/>
      <c r="N48" s="3053"/>
      <c r="O48" s="3054"/>
      <c r="P48" s="3053"/>
      <c r="Q48" s="3053"/>
      <c r="R48" s="3055"/>
    </row>
    <row r="49" s="3048" customFormat="1" spans="2:18">
      <c r="B49" s="3053"/>
      <c r="C49" s="3053"/>
      <c r="D49" s="3053"/>
      <c r="E49" s="3053"/>
      <c r="F49" s="3053"/>
      <c r="G49" s="3054"/>
      <c r="H49" s="3053"/>
      <c r="I49" s="3054"/>
      <c r="J49" s="3053"/>
      <c r="K49" s="3053"/>
      <c r="L49" s="3054"/>
      <c r="M49" s="3053"/>
      <c r="N49" s="3053"/>
      <c r="O49" s="3054"/>
      <c r="P49" s="3053"/>
      <c r="Q49" s="3053"/>
      <c r="R49" s="3055"/>
    </row>
    <row r="50" s="3048" customFormat="1" spans="2:18">
      <c r="B50" s="3053"/>
      <c r="C50" s="3053"/>
      <c r="D50" s="3053"/>
      <c r="E50" s="3053"/>
      <c r="F50" s="3053"/>
      <c r="G50" s="3054"/>
      <c r="H50" s="3053"/>
      <c r="I50" s="3054"/>
      <c r="J50" s="3053"/>
      <c r="K50" s="3053"/>
      <c r="L50" s="3054"/>
      <c r="M50" s="3053"/>
      <c r="N50" s="3053"/>
      <c r="O50" s="3054"/>
      <c r="P50" s="3053"/>
      <c r="Q50" s="3053"/>
      <c r="R50" s="3055"/>
    </row>
    <row r="51" s="3048" customFormat="1" spans="2:18">
      <c r="B51" s="3053"/>
      <c r="C51" s="3053"/>
      <c r="D51" s="3053"/>
      <c r="E51" s="3053"/>
      <c r="F51" s="3053"/>
      <c r="G51" s="3054"/>
      <c r="H51" s="3053"/>
      <c r="I51" s="3054"/>
      <c r="J51" s="3053"/>
      <c r="K51" s="3053"/>
      <c r="L51" s="3054"/>
      <c r="M51" s="3053"/>
      <c r="N51" s="3053"/>
      <c r="O51" s="3054"/>
      <c r="P51" s="3053"/>
      <c r="Q51" s="3053"/>
      <c r="R51" s="3055"/>
    </row>
    <row r="52" s="3048" customFormat="1" spans="2:18">
      <c r="B52" s="3053"/>
      <c r="C52" s="3053"/>
      <c r="D52" s="3053"/>
      <c r="E52" s="3053"/>
      <c r="F52" s="3053"/>
      <c r="G52" s="3054"/>
      <c r="H52" s="3053"/>
      <c r="I52" s="3054"/>
      <c r="J52" s="3053"/>
      <c r="K52" s="3053"/>
      <c r="L52" s="3054"/>
      <c r="M52" s="3053"/>
      <c r="N52" s="3053"/>
      <c r="O52" s="3054"/>
      <c r="P52" s="3053"/>
      <c r="Q52" s="3053"/>
      <c r="R52" s="3055"/>
    </row>
    <row r="53" s="3048" customFormat="1" spans="2:18">
      <c r="B53" s="3053"/>
      <c r="C53" s="3053"/>
      <c r="D53" s="3053"/>
      <c r="E53" s="3053"/>
      <c r="F53" s="3053"/>
      <c r="G53" s="3054"/>
      <c r="H53" s="3053"/>
      <c r="I53" s="3054"/>
      <c r="J53" s="3053"/>
      <c r="K53" s="3053"/>
      <c r="L53" s="3054"/>
      <c r="M53" s="3053"/>
      <c r="N53" s="3053"/>
      <c r="O53" s="3054"/>
      <c r="P53" s="3053"/>
      <c r="Q53" s="3053"/>
      <c r="R53" s="3055"/>
    </row>
    <row r="54" s="3048" customFormat="1" spans="2:18">
      <c r="B54" s="3053"/>
      <c r="C54" s="3053"/>
      <c r="D54" s="3053"/>
      <c r="E54" s="3053"/>
      <c r="F54" s="3053"/>
      <c r="G54" s="3054"/>
      <c r="H54" s="3053"/>
      <c r="I54" s="3054"/>
      <c r="J54" s="3053"/>
      <c r="K54" s="3053"/>
      <c r="L54" s="3054"/>
      <c r="M54" s="3053"/>
      <c r="N54" s="3053"/>
      <c r="O54" s="3054"/>
      <c r="P54" s="3053"/>
      <c r="Q54" s="3053"/>
      <c r="R54" s="3055"/>
    </row>
    <row r="55" s="3048" customFormat="1" spans="2:18">
      <c r="B55" s="3053"/>
      <c r="C55" s="3053"/>
      <c r="D55" s="3053"/>
      <c r="E55" s="3053"/>
      <c r="F55" s="3053"/>
      <c r="G55" s="3054"/>
      <c r="H55" s="3053"/>
      <c r="I55" s="3054"/>
      <c r="J55" s="3053"/>
      <c r="K55" s="3053"/>
      <c r="L55" s="3054"/>
      <c r="M55" s="3053"/>
      <c r="N55" s="3053"/>
      <c r="O55" s="3054"/>
      <c r="P55" s="3053"/>
      <c r="Q55" s="3053"/>
      <c r="R55" s="3055"/>
    </row>
    <row r="56" s="3048" customFormat="1" spans="2:18">
      <c r="B56" s="3053"/>
      <c r="C56" s="3053"/>
      <c r="D56" s="3053"/>
      <c r="E56" s="3053"/>
      <c r="F56" s="3053"/>
      <c r="G56" s="3054"/>
      <c r="H56" s="3053"/>
      <c r="I56" s="3054"/>
      <c r="J56" s="3053"/>
      <c r="K56" s="3053"/>
      <c r="L56" s="3054"/>
      <c r="M56" s="3053"/>
      <c r="N56" s="3053"/>
      <c r="O56" s="3054"/>
      <c r="P56" s="3053"/>
      <c r="Q56" s="3053"/>
      <c r="R56" s="3055"/>
    </row>
    <row r="57" s="3048" customFormat="1" spans="2:18">
      <c r="B57" s="3053"/>
      <c r="C57" s="3053"/>
      <c r="D57" s="3053"/>
      <c r="E57" s="3053"/>
      <c r="F57" s="3053"/>
      <c r="G57" s="3054"/>
      <c r="H57" s="3053"/>
      <c r="I57" s="3054"/>
      <c r="J57" s="3053"/>
      <c r="K57" s="3053"/>
      <c r="L57" s="3054"/>
      <c r="M57" s="3053"/>
      <c r="N57" s="3053"/>
      <c r="O57" s="3054"/>
      <c r="P57" s="3053"/>
      <c r="Q57" s="3053"/>
      <c r="R57" s="3055"/>
    </row>
    <row r="58" s="3048" customFormat="1" spans="2:18">
      <c r="B58" s="3053"/>
      <c r="C58" s="3053"/>
      <c r="D58" s="3053"/>
      <c r="E58" s="3053"/>
      <c r="F58" s="3053"/>
      <c r="G58" s="3054"/>
      <c r="H58" s="3053"/>
      <c r="I58" s="3054"/>
      <c r="J58" s="3053"/>
      <c r="K58" s="3053"/>
      <c r="L58" s="3054"/>
      <c r="M58" s="3053"/>
      <c r="N58" s="3053"/>
      <c r="O58" s="3054"/>
      <c r="P58" s="3053"/>
      <c r="Q58" s="3053"/>
      <c r="R58" s="3055"/>
    </row>
    <row r="59" s="3048" customFormat="1" spans="2:18">
      <c r="B59" s="3053"/>
      <c r="C59" s="3053"/>
      <c r="D59" s="3053"/>
      <c r="E59" s="3053"/>
      <c r="F59" s="3053"/>
      <c r="G59" s="3054"/>
      <c r="H59" s="3053"/>
      <c r="I59" s="3054"/>
      <c r="J59" s="3053"/>
      <c r="K59" s="3053"/>
      <c r="L59" s="3054"/>
      <c r="M59" s="3053"/>
      <c r="N59" s="3053"/>
      <c r="O59" s="3054"/>
      <c r="P59" s="3053"/>
      <c r="Q59" s="3053"/>
      <c r="R59" s="3055"/>
    </row>
    <row r="60" s="3048" customFormat="1" spans="2:18">
      <c r="B60" s="3053"/>
      <c r="C60" s="3053"/>
      <c r="D60" s="3053"/>
      <c r="E60" s="3053"/>
      <c r="F60" s="3053"/>
      <c r="G60" s="3054"/>
      <c r="H60" s="3053"/>
      <c r="I60" s="3054"/>
      <c r="J60" s="3053"/>
      <c r="K60" s="3053"/>
      <c r="L60" s="3054"/>
      <c r="M60" s="3053"/>
      <c r="N60" s="3053"/>
      <c r="O60" s="3054"/>
      <c r="P60" s="3053"/>
      <c r="Q60" s="3053"/>
      <c r="R60" s="3055"/>
    </row>
    <row r="61" s="3048" customFormat="1" spans="2:18">
      <c r="B61" s="3053"/>
      <c r="C61" s="3053"/>
      <c r="D61" s="3053"/>
      <c r="E61" s="3053"/>
      <c r="F61" s="3053"/>
      <c r="G61" s="3054"/>
      <c r="H61" s="3053"/>
      <c r="I61" s="3054"/>
      <c r="J61" s="3053"/>
      <c r="K61" s="3053"/>
      <c r="L61" s="3054"/>
      <c r="M61" s="3053"/>
      <c r="N61" s="3053"/>
      <c r="O61" s="3054"/>
      <c r="P61" s="3053"/>
      <c r="Q61" s="3053"/>
      <c r="R61" s="3055"/>
    </row>
    <row r="62" s="3048" customFormat="1" spans="2:18">
      <c r="B62" s="3053"/>
      <c r="C62" s="3053"/>
      <c r="D62" s="3053"/>
      <c r="E62" s="3053"/>
      <c r="F62" s="3053"/>
      <c r="G62" s="3054"/>
      <c r="H62" s="3053"/>
      <c r="I62" s="3054"/>
      <c r="J62" s="3053"/>
      <c r="K62" s="3053"/>
      <c r="L62" s="3054"/>
      <c r="M62" s="3053"/>
      <c r="N62" s="3053"/>
      <c r="O62" s="3054"/>
      <c r="P62" s="3053"/>
      <c r="Q62" s="3053"/>
      <c r="R62" s="3055"/>
    </row>
    <row r="63" s="3048" customFormat="1" spans="2:18">
      <c r="B63" s="3053"/>
      <c r="C63" s="3053"/>
      <c r="D63" s="3053"/>
      <c r="E63" s="3053"/>
      <c r="F63" s="3053"/>
      <c r="G63" s="3054"/>
      <c r="H63" s="3053"/>
      <c r="I63" s="3054"/>
      <c r="J63" s="3053"/>
      <c r="K63" s="3053"/>
      <c r="L63" s="3054"/>
      <c r="M63" s="3053"/>
      <c r="N63" s="3053"/>
      <c r="O63" s="3054"/>
      <c r="P63" s="3053"/>
      <c r="Q63" s="3053"/>
      <c r="R63" s="3055"/>
    </row>
    <row r="64" s="3048" customFormat="1" spans="2:18">
      <c r="B64" s="3053"/>
      <c r="C64" s="3053"/>
      <c r="D64" s="3053"/>
      <c r="E64" s="3053"/>
      <c r="F64" s="3053"/>
      <c r="G64" s="3054"/>
      <c r="H64" s="3053"/>
      <c r="I64" s="3054"/>
      <c r="J64" s="3053"/>
      <c r="K64" s="3053"/>
      <c r="L64" s="3054"/>
      <c r="M64" s="3053"/>
      <c r="N64" s="3053"/>
      <c r="O64" s="3054"/>
      <c r="P64" s="3053"/>
      <c r="Q64" s="3053"/>
      <c r="R64" s="3055"/>
    </row>
    <row r="65" s="3048" customFormat="1" spans="2:18">
      <c r="B65" s="3053"/>
      <c r="C65" s="3053"/>
      <c r="D65" s="3053"/>
      <c r="E65" s="3053"/>
      <c r="F65" s="3053"/>
      <c r="G65" s="3054"/>
      <c r="H65" s="3053"/>
      <c r="I65" s="3054"/>
      <c r="J65" s="3053"/>
      <c r="K65" s="3053"/>
      <c r="L65" s="3054"/>
      <c r="M65" s="3053"/>
      <c r="N65" s="3053"/>
      <c r="O65" s="3054"/>
      <c r="P65" s="3053"/>
      <c r="Q65" s="3053"/>
      <c r="R65" s="3055"/>
    </row>
    <row r="66" s="3048" customFormat="1" spans="2:18">
      <c r="B66" s="3053"/>
      <c r="C66" s="3053"/>
      <c r="D66" s="3053"/>
      <c r="E66" s="3053"/>
      <c r="F66" s="3053"/>
      <c r="G66" s="3054"/>
      <c r="H66" s="3053"/>
      <c r="I66" s="3054"/>
      <c r="J66" s="3053"/>
      <c r="K66" s="3053"/>
      <c r="L66" s="3054"/>
      <c r="M66" s="3053"/>
      <c r="N66" s="3053"/>
      <c r="O66" s="3054"/>
      <c r="P66" s="3053"/>
      <c r="Q66" s="3053"/>
      <c r="R66" s="3055"/>
    </row>
    <row r="67" s="3048" customFormat="1" spans="2:18">
      <c r="B67" s="3053"/>
      <c r="C67" s="3053"/>
      <c r="D67" s="3053"/>
      <c r="E67" s="3053"/>
      <c r="F67" s="3053"/>
      <c r="G67" s="3054"/>
      <c r="H67" s="3053"/>
      <c r="I67" s="3054"/>
      <c r="J67" s="3053"/>
      <c r="K67" s="3053"/>
      <c r="L67" s="3054"/>
      <c r="M67" s="3053"/>
      <c r="N67" s="3053"/>
      <c r="O67" s="3054"/>
      <c r="P67" s="3053"/>
      <c r="Q67" s="3053"/>
      <c r="R67" s="3055"/>
    </row>
    <row r="68" s="3048" customFormat="1" spans="2:18">
      <c r="B68" s="3053"/>
      <c r="C68" s="3053"/>
      <c r="D68" s="3053"/>
      <c r="E68" s="3053"/>
      <c r="F68" s="3053"/>
      <c r="G68" s="3054"/>
      <c r="H68" s="3053"/>
      <c r="I68" s="3054"/>
      <c r="J68" s="3053"/>
      <c r="K68" s="3053"/>
      <c r="L68" s="3054"/>
      <c r="M68" s="3053"/>
      <c r="N68" s="3053"/>
      <c r="O68" s="3054"/>
      <c r="P68" s="3053"/>
      <c r="Q68" s="3053"/>
      <c r="R68" s="3055"/>
    </row>
    <row r="69" s="3048" customFormat="1" spans="2:18">
      <c r="B69" s="3053"/>
      <c r="C69" s="3053"/>
      <c r="D69" s="3053"/>
      <c r="E69" s="3053"/>
      <c r="F69" s="3053"/>
      <c r="G69" s="3054"/>
      <c r="H69" s="3053"/>
      <c r="I69" s="3054"/>
      <c r="J69" s="3053"/>
      <c r="K69" s="3053"/>
      <c r="L69" s="3054"/>
      <c r="M69" s="3053"/>
      <c r="N69" s="3053"/>
      <c r="O69" s="3054"/>
      <c r="P69" s="3053"/>
      <c r="Q69" s="3053"/>
      <c r="R69" s="3055"/>
    </row>
    <row r="70" s="3048" customFormat="1" spans="2:18">
      <c r="B70" s="3053"/>
      <c r="C70" s="3053"/>
      <c r="D70" s="3053"/>
      <c r="E70" s="3053"/>
      <c r="F70" s="3053"/>
      <c r="G70" s="3054"/>
      <c r="H70" s="3053"/>
      <c r="I70" s="3054"/>
      <c r="J70" s="3053"/>
      <c r="K70" s="3053"/>
      <c r="L70" s="3054"/>
      <c r="M70" s="3053"/>
      <c r="N70" s="3053"/>
      <c r="O70" s="3054"/>
      <c r="P70" s="3053"/>
      <c r="Q70" s="3053"/>
      <c r="R70" s="3055"/>
    </row>
    <row r="71" s="3048" customFormat="1" spans="2:18">
      <c r="B71" s="3053"/>
      <c r="C71" s="3053"/>
      <c r="D71" s="3053"/>
      <c r="E71" s="3053"/>
      <c r="F71" s="3053"/>
      <c r="G71" s="3054"/>
      <c r="H71" s="3053"/>
      <c r="I71" s="3054"/>
      <c r="J71" s="3053"/>
      <c r="K71" s="3053"/>
      <c r="L71" s="3054"/>
      <c r="M71" s="3053"/>
      <c r="N71" s="3053"/>
      <c r="O71" s="3054"/>
      <c r="P71" s="3053"/>
      <c r="Q71" s="3053"/>
      <c r="R71" s="3055"/>
    </row>
    <row r="72" s="3048" customFormat="1" spans="2:18">
      <c r="B72" s="3053"/>
      <c r="C72" s="3053"/>
      <c r="D72" s="3053"/>
      <c r="E72" s="3053"/>
      <c r="F72" s="3053"/>
      <c r="G72" s="3054"/>
      <c r="H72" s="3053"/>
      <c r="I72" s="3054"/>
      <c r="J72" s="3053"/>
      <c r="K72" s="3053"/>
      <c r="L72" s="3054"/>
      <c r="M72" s="3053"/>
      <c r="N72" s="3053"/>
      <c r="O72" s="3054"/>
      <c r="P72" s="3053"/>
      <c r="Q72" s="3053"/>
      <c r="R72" s="3055"/>
    </row>
    <row r="73" s="3048" customFormat="1" spans="2:18">
      <c r="B73" s="3053"/>
      <c r="C73" s="3053"/>
      <c r="D73" s="3053"/>
      <c r="E73" s="3053"/>
      <c r="F73" s="3053"/>
      <c r="G73" s="3054"/>
      <c r="H73" s="3053"/>
      <c r="I73" s="3054"/>
      <c r="J73" s="3053"/>
      <c r="K73" s="3053"/>
      <c r="L73" s="3054"/>
      <c r="M73" s="3053"/>
      <c r="N73" s="3053"/>
      <c r="O73" s="3054"/>
      <c r="P73" s="3053"/>
      <c r="Q73" s="3053"/>
      <c r="R73" s="3055"/>
    </row>
    <row r="74" s="3048" customFormat="1" spans="2:18">
      <c r="B74" s="3053"/>
      <c r="C74" s="3053"/>
      <c r="D74" s="3053"/>
      <c r="E74" s="3053"/>
      <c r="F74" s="3053"/>
      <c r="G74" s="3054"/>
      <c r="H74" s="3053"/>
      <c r="I74" s="3054"/>
      <c r="J74" s="3053"/>
      <c r="K74" s="3053"/>
      <c r="L74" s="3054"/>
      <c r="M74" s="3053"/>
      <c r="N74" s="3053"/>
      <c r="O74" s="3054"/>
      <c r="P74" s="3053"/>
      <c r="Q74" s="3053"/>
      <c r="R74" s="3055"/>
    </row>
    <row r="75" s="3048" customFormat="1" spans="2:18">
      <c r="B75" s="3053"/>
      <c r="C75" s="3053"/>
      <c r="D75" s="3053"/>
      <c r="E75" s="3053"/>
      <c r="F75" s="3053"/>
      <c r="G75" s="3054"/>
      <c r="H75" s="3053"/>
      <c r="I75" s="3054"/>
      <c r="J75" s="3053"/>
      <c r="K75" s="3053"/>
      <c r="L75" s="3054"/>
      <c r="M75" s="3053"/>
      <c r="N75" s="3053"/>
      <c r="O75" s="3054"/>
      <c r="P75" s="3053"/>
      <c r="Q75" s="3053"/>
      <c r="R75" s="3055"/>
    </row>
    <row r="76" s="3048" customFormat="1" spans="2:18">
      <c r="B76" s="3053"/>
      <c r="C76" s="3053"/>
      <c r="D76" s="3053"/>
      <c r="E76" s="3053"/>
      <c r="F76" s="3053"/>
      <c r="G76" s="3054"/>
      <c r="H76" s="3053"/>
      <c r="I76" s="3054"/>
      <c r="J76" s="3053"/>
      <c r="K76" s="3053"/>
      <c r="L76" s="3054"/>
      <c r="M76" s="3053"/>
      <c r="N76" s="3053"/>
      <c r="O76" s="3054"/>
      <c r="P76" s="3053"/>
      <c r="Q76" s="3053"/>
      <c r="R76" s="3055"/>
    </row>
    <row r="77" s="3048" customFormat="1" spans="2:18">
      <c r="B77" s="3053"/>
      <c r="C77" s="3053"/>
      <c r="D77" s="3053"/>
      <c r="E77" s="3053"/>
      <c r="F77" s="3053"/>
      <c r="G77" s="3054"/>
      <c r="H77" s="3053"/>
      <c r="I77" s="3054"/>
      <c r="J77" s="3053"/>
      <c r="K77" s="3053"/>
      <c r="L77" s="3054"/>
      <c r="M77" s="3053"/>
      <c r="N77" s="3053"/>
      <c r="O77" s="3054"/>
      <c r="P77" s="3053"/>
      <c r="Q77" s="3053"/>
      <c r="R77" s="3055"/>
    </row>
    <row r="78" s="3048" customFormat="1" spans="2:18">
      <c r="B78" s="3053"/>
      <c r="C78" s="3053"/>
      <c r="D78" s="3053"/>
      <c r="E78" s="3053"/>
      <c r="F78" s="3053"/>
      <c r="G78" s="3054"/>
      <c r="H78" s="3053"/>
      <c r="I78" s="3054"/>
      <c r="J78" s="3053"/>
      <c r="K78" s="3053"/>
      <c r="L78" s="3054"/>
      <c r="M78" s="3053"/>
      <c r="N78" s="3053"/>
      <c r="O78" s="3054"/>
      <c r="P78" s="3053"/>
      <c r="Q78" s="3053"/>
      <c r="R78" s="3055"/>
    </row>
    <row r="79" s="3048" customFormat="1" spans="2:18">
      <c r="B79" s="3053"/>
      <c r="C79" s="3053"/>
      <c r="D79" s="3053"/>
      <c r="E79" s="3053"/>
      <c r="F79" s="3053"/>
      <c r="G79" s="3054"/>
      <c r="H79" s="3053"/>
      <c r="I79" s="3054"/>
      <c r="J79" s="3053"/>
      <c r="K79" s="3053"/>
      <c r="L79" s="3054"/>
      <c r="M79" s="3053"/>
      <c r="N79" s="3053"/>
      <c r="O79" s="3054"/>
      <c r="P79" s="3053"/>
      <c r="Q79" s="3053"/>
      <c r="R79" s="3055"/>
    </row>
    <row r="80" s="3048" customFormat="1" spans="2:18">
      <c r="B80" s="3053"/>
      <c r="C80" s="3053"/>
      <c r="D80" s="3053"/>
      <c r="E80" s="3053"/>
      <c r="F80" s="3053"/>
      <c r="G80" s="3054"/>
      <c r="H80" s="3053"/>
      <c r="I80" s="3054"/>
      <c r="J80" s="3053"/>
      <c r="K80" s="3053"/>
      <c r="L80" s="3054"/>
      <c r="M80" s="3053"/>
      <c r="N80" s="3053"/>
      <c r="O80" s="3054"/>
      <c r="P80" s="3053"/>
      <c r="Q80" s="3053"/>
      <c r="R80" s="3055"/>
    </row>
    <row r="81" s="3048" customFormat="1" spans="2:18">
      <c r="B81" s="3053"/>
      <c r="C81" s="3053"/>
      <c r="D81" s="3053"/>
      <c r="E81" s="3053"/>
      <c r="F81" s="3053"/>
      <c r="G81" s="3054"/>
      <c r="H81" s="3053"/>
      <c r="I81" s="3054"/>
      <c r="J81" s="3053"/>
      <c r="K81" s="3053"/>
      <c r="L81" s="3054"/>
      <c r="M81" s="3053"/>
      <c r="N81" s="3053"/>
      <c r="O81" s="3054"/>
      <c r="P81" s="3053"/>
      <c r="Q81" s="3053"/>
      <c r="R81" s="3055"/>
    </row>
    <row r="82" s="3048" customFormat="1" spans="2:18">
      <c r="B82" s="3053"/>
      <c r="C82" s="3053"/>
      <c r="D82" s="3053"/>
      <c r="E82" s="3053"/>
      <c r="F82" s="3053"/>
      <c r="G82" s="3054"/>
      <c r="H82" s="3053"/>
      <c r="I82" s="3054"/>
      <c r="J82" s="3053"/>
      <c r="K82" s="3053"/>
      <c r="L82" s="3054"/>
      <c r="M82" s="3053"/>
      <c r="N82" s="3053"/>
      <c r="O82" s="3054"/>
      <c r="P82" s="3053"/>
      <c r="Q82" s="3053"/>
      <c r="R82" s="3055"/>
    </row>
    <row r="83" s="3048" customFormat="1" spans="2:18">
      <c r="B83" s="3053"/>
      <c r="C83" s="3053"/>
      <c r="D83" s="3053"/>
      <c r="E83" s="3053"/>
      <c r="F83" s="3053"/>
      <c r="G83" s="3054"/>
      <c r="H83" s="3053"/>
      <c r="I83" s="3054"/>
      <c r="J83" s="3053"/>
      <c r="K83" s="3053"/>
      <c r="L83" s="3054"/>
      <c r="M83" s="3053"/>
      <c r="N83" s="3053"/>
      <c r="O83" s="3054"/>
      <c r="P83" s="3053"/>
      <c r="Q83" s="3053"/>
      <c r="R83" s="3055"/>
    </row>
    <row r="84" s="3048" customFormat="1" spans="2:18">
      <c r="B84" s="3053"/>
      <c r="C84" s="3053"/>
      <c r="D84" s="3053"/>
      <c r="E84" s="3053"/>
      <c r="F84" s="3053"/>
      <c r="G84" s="3054"/>
      <c r="H84" s="3053"/>
      <c r="I84" s="3054"/>
      <c r="J84" s="3053"/>
      <c r="K84" s="3053"/>
      <c r="L84" s="3054"/>
      <c r="M84" s="3053"/>
      <c r="N84" s="3053"/>
      <c r="O84" s="3054"/>
      <c r="P84" s="3053"/>
      <c r="Q84" s="3053"/>
      <c r="R84" s="3055"/>
    </row>
    <row r="85" s="3048" customFormat="1" spans="2:18">
      <c r="B85" s="3053"/>
      <c r="C85" s="3053"/>
      <c r="D85" s="3053"/>
      <c r="E85" s="3053"/>
      <c r="F85" s="3053"/>
      <c r="G85" s="3054"/>
      <c r="H85" s="3053"/>
      <c r="I85" s="3054"/>
      <c r="J85" s="3053"/>
      <c r="K85" s="3053"/>
      <c r="L85" s="3054"/>
      <c r="M85" s="3053"/>
      <c r="N85" s="3053"/>
      <c r="O85" s="3054"/>
      <c r="P85" s="3053"/>
      <c r="Q85" s="3053"/>
      <c r="R85" s="3055"/>
    </row>
    <row r="86" s="3048" customFormat="1" spans="2:18">
      <c r="B86" s="3053"/>
      <c r="C86" s="3053"/>
      <c r="D86" s="3053"/>
      <c r="E86" s="3053"/>
      <c r="F86" s="3053"/>
      <c r="G86" s="3054"/>
      <c r="H86" s="3053"/>
      <c r="I86" s="3054"/>
      <c r="J86" s="3053"/>
      <c r="K86" s="3053"/>
      <c r="L86" s="3054"/>
      <c r="M86" s="3053"/>
      <c r="N86" s="3053"/>
      <c r="O86" s="3054"/>
      <c r="P86" s="3053"/>
      <c r="Q86" s="3053"/>
      <c r="R86" s="3055"/>
    </row>
    <row r="87" s="3048" customFormat="1" spans="2:18">
      <c r="B87" s="3053"/>
      <c r="C87" s="3053"/>
      <c r="D87" s="3053"/>
      <c r="E87" s="3053"/>
      <c r="F87" s="3053"/>
      <c r="G87" s="3054"/>
      <c r="H87" s="3053"/>
      <c r="I87" s="3054"/>
      <c r="J87" s="3053"/>
      <c r="K87" s="3053"/>
      <c r="L87" s="3054"/>
      <c r="M87" s="3053"/>
      <c r="N87" s="3053"/>
      <c r="O87" s="3054"/>
      <c r="P87" s="3053"/>
      <c r="Q87" s="3053"/>
      <c r="R87" s="3055"/>
    </row>
    <row r="88" s="3048" customFormat="1" spans="2:18">
      <c r="B88" s="3053"/>
      <c r="C88" s="3053"/>
      <c r="D88" s="3053"/>
      <c r="E88" s="3053"/>
      <c r="F88" s="3053"/>
      <c r="G88" s="3054"/>
      <c r="H88" s="3053"/>
      <c r="I88" s="3054"/>
      <c r="J88" s="3053"/>
      <c r="K88" s="3053"/>
      <c r="L88" s="3054"/>
      <c r="M88" s="3053"/>
      <c r="N88" s="3053"/>
      <c r="O88" s="3054"/>
      <c r="P88" s="3053"/>
      <c r="Q88" s="3053"/>
      <c r="R88" s="3055"/>
    </row>
    <row r="89" s="3048" customFormat="1" spans="2:18">
      <c r="B89" s="3053"/>
      <c r="C89" s="3053"/>
      <c r="D89" s="3053"/>
      <c r="E89" s="3053"/>
      <c r="F89" s="3053"/>
      <c r="G89" s="3054"/>
      <c r="H89" s="3053"/>
      <c r="I89" s="3054"/>
      <c r="J89" s="3053"/>
      <c r="K89" s="3053"/>
      <c r="L89" s="3054"/>
      <c r="M89" s="3053"/>
      <c r="N89" s="3053"/>
      <c r="O89" s="3054"/>
      <c r="P89" s="3053"/>
      <c r="Q89" s="3053"/>
      <c r="R89" s="3055"/>
    </row>
    <row r="90" s="3048" customFormat="1" spans="2:18">
      <c r="B90" s="3053"/>
      <c r="C90" s="3053"/>
      <c r="D90" s="3053"/>
      <c r="E90" s="3053"/>
      <c r="F90" s="3053"/>
      <c r="G90" s="3054"/>
      <c r="H90" s="3053"/>
      <c r="I90" s="3054"/>
      <c r="J90" s="3053"/>
      <c r="K90" s="3053"/>
      <c r="L90" s="3054"/>
      <c r="M90" s="3053"/>
      <c r="N90" s="3053"/>
      <c r="O90" s="3054"/>
      <c r="P90" s="3053"/>
      <c r="Q90" s="3053"/>
      <c r="R90" s="3055"/>
    </row>
    <row r="91" s="3048" customFormat="1" spans="2:18">
      <c r="B91" s="3053"/>
      <c r="C91" s="3053"/>
      <c r="D91" s="3053"/>
      <c r="E91" s="3053"/>
      <c r="F91" s="3053"/>
      <c r="G91" s="3054"/>
      <c r="H91" s="3053"/>
      <c r="I91" s="3054"/>
      <c r="J91" s="3053"/>
      <c r="K91" s="3053"/>
      <c r="L91" s="3054"/>
      <c r="M91" s="3053"/>
      <c r="N91" s="3053"/>
      <c r="O91" s="3054"/>
      <c r="P91" s="3053"/>
      <c r="Q91" s="3053"/>
      <c r="R91" s="3055"/>
    </row>
    <row r="92" s="3048" customFormat="1" spans="2:18">
      <c r="B92" s="3053"/>
      <c r="C92" s="3053"/>
      <c r="D92" s="3053"/>
      <c r="E92" s="3053"/>
      <c r="F92" s="3053"/>
      <c r="G92" s="3054"/>
      <c r="H92" s="3053"/>
      <c r="I92" s="3054"/>
      <c r="J92" s="3053"/>
      <c r="K92" s="3053"/>
      <c r="L92" s="3054"/>
      <c r="M92" s="3053"/>
      <c r="N92" s="3053"/>
      <c r="O92" s="3054"/>
      <c r="P92" s="3053"/>
      <c r="Q92" s="3053"/>
      <c r="R92" s="3055"/>
    </row>
    <row r="93" s="3048" customFormat="1" spans="2:18">
      <c r="B93" s="3053"/>
      <c r="C93" s="3053"/>
      <c r="D93" s="3053"/>
      <c r="E93" s="3053"/>
      <c r="F93" s="3053"/>
      <c r="G93" s="3054"/>
      <c r="H93" s="3053"/>
      <c r="I93" s="3054"/>
      <c r="J93" s="3053"/>
      <c r="K93" s="3053"/>
      <c r="L93" s="3054"/>
      <c r="M93" s="3053"/>
      <c r="N93" s="3053"/>
      <c r="O93" s="3054"/>
      <c r="P93" s="3053"/>
      <c r="Q93" s="3053"/>
      <c r="R93" s="3055"/>
    </row>
    <row r="94" s="3048" customFormat="1" spans="2:18">
      <c r="B94" s="3053"/>
      <c r="C94" s="3053"/>
      <c r="D94" s="3053"/>
      <c r="E94" s="3053"/>
      <c r="F94" s="3053"/>
      <c r="G94" s="3054"/>
      <c r="H94" s="3053"/>
      <c r="I94" s="3054"/>
      <c r="J94" s="3053"/>
      <c r="K94" s="3053"/>
      <c r="L94" s="3054"/>
      <c r="M94" s="3053"/>
      <c r="N94" s="3053"/>
      <c r="O94" s="3054"/>
      <c r="P94" s="3053"/>
      <c r="Q94" s="3053"/>
      <c r="R94" s="3055"/>
    </row>
    <row r="95" s="3048" customFormat="1" spans="2:18">
      <c r="B95" s="3053"/>
      <c r="C95" s="3053"/>
      <c r="D95" s="3053"/>
      <c r="E95" s="3053"/>
      <c r="F95" s="3053"/>
      <c r="G95" s="3054"/>
      <c r="H95" s="3053"/>
      <c r="I95" s="3054"/>
      <c r="J95" s="3053"/>
      <c r="K95" s="3053"/>
      <c r="L95" s="3054"/>
      <c r="M95" s="3053"/>
      <c r="N95" s="3053"/>
      <c r="O95" s="3054"/>
      <c r="P95" s="3053"/>
      <c r="Q95" s="3053"/>
      <c r="R95" s="3055"/>
    </row>
    <row r="96" s="3048" customFormat="1" spans="2:18">
      <c r="B96" s="3053"/>
      <c r="C96" s="3053"/>
      <c r="D96" s="3053"/>
      <c r="E96" s="3053"/>
      <c r="F96" s="3053"/>
      <c r="G96" s="3054"/>
      <c r="H96" s="3053"/>
      <c r="I96" s="3054"/>
      <c r="J96" s="3053"/>
      <c r="K96" s="3053"/>
      <c r="L96" s="3054"/>
      <c r="M96" s="3053"/>
      <c r="N96" s="3053"/>
      <c r="O96" s="3054"/>
      <c r="P96" s="3053"/>
      <c r="Q96" s="3053"/>
      <c r="R96" s="3055"/>
    </row>
    <row r="97" s="3048" customFormat="1" spans="2:18">
      <c r="B97" s="3053"/>
      <c r="C97" s="3053"/>
      <c r="D97" s="3053"/>
      <c r="E97" s="3053"/>
      <c r="F97" s="3053"/>
      <c r="G97" s="3054"/>
      <c r="H97" s="3053"/>
      <c r="I97" s="3054"/>
      <c r="J97" s="3053"/>
      <c r="K97" s="3053"/>
      <c r="L97" s="3054"/>
      <c r="M97" s="3053"/>
      <c r="N97" s="3053"/>
      <c r="O97" s="3054"/>
      <c r="P97" s="3053"/>
      <c r="Q97" s="3053"/>
      <c r="R97" s="3055"/>
    </row>
    <row r="98" s="3048" customFormat="1" spans="2:18">
      <c r="B98" s="3053"/>
      <c r="C98" s="3053"/>
      <c r="D98" s="3053"/>
      <c r="E98" s="3053"/>
      <c r="F98" s="3053"/>
      <c r="G98" s="3054"/>
      <c r="H98" s="3053"/>
      <c r="I98" s="3054"/>
      <c r="J98" s="3053"/>
      <c r="K98" s="3053"/>
      <c r="L98" s="3054"/>
      <c r="M98" s="3053"/>
      <c r="N98" s="3053"/>
      <c r="O98" s="3054"/>
      <c r="P98" s="3053"/>
      <c r="Q98" s="3053"/>
      <c r="R98" s="3055"/>
    </row>
    <row r="99" s="3048" customFormat="1" spans="2:18">
      <c r="B99" s="3053"/>
      <c r="C99" s="3053"/>
      <c r="D99" s="3053"/>
      <c r="E99" s="3053"/>
      <c r="F99" s="3053"/>
      <c r="G99" s="3054"/>
      <c r="H99" s="3053"/>
      <c r="I99" s="3054"/>
      <c r="J99" s="3053"/>
      <c r="K99" s="3053"/>
      <c r="L99" s="3054"/>
      <c r="M99" s="3053"/>
      <c r="N99" s="3053"/>
      <c r="O99" s="3054"/>
      <c r="P99" s="3053"/>
      <c r="Q99" s="3053"/>
      <c r="R99" s="3055"/>
    </row>
    <row r="100" s="3048" customFormat="1" spans="2:18">
      <c r="B100" s="3053"/>
      <c r="C100" s="3053"/>
      <c r="D100" s="3053"/>
      <c r="E100" s="3053"/>
      <c r="F100" s="3053"/>
      <c r="G100" s="3054"/>
      <c r="H100" s="3053"/>
      <c r="I100" s="3054"/>
      <c r="J100" s="3053"/>
      <c r="K100" s="3053"/>
      <c r="L100" s="3054"/>
      <c r="M100" s="3053"/>
      <c r="N100" s="3053"/>
      <c r="O100" s="3054"/>
      <c r="P100" s="3053"/>
      <c r="Q100" s="3053"/>
      <c r="R100" s="3055"/>
    </row>
    <row r="101" s="3048" customFormat="1" spans="2:18">
      <c r="B101" s="3053"/>
      <c r="C101" s="3053"/>
      <c r="D101" s="3053"/>
      <c r="E101" s="3053"/>
      <c r="F101" s="3053"/>
      <c r="G101" s="3054"/>
      <c r="H101" s="3053"/>
      <c r="I101" s="3054"/>
      <c r="J101" s="3053"/>
      <c r="K101" s="3053"/>
      <c r="L101" s="3054"/>
      <c r="M101" s="3053"/>
      <c r="N101" s="3053"/>
      <c r="O101" s="3054"/>
      <c r="P101" s="3053"/>
      <c r="Q101" s="3053"/>
      <c r="R101" s="3055"/>
    </row>
    <row r="102" s="3048" customFormat="1" spans="2:18">
      <c r="B102" s="3053"/>
      <c r="C102" s="3053"/>
      <c r="D102" s="3053"/>
      <c r="E102" s="3053"/>
      <c r="F102" s="3053"/>
      <c r="G102" s="3054"/>
      <c r="H102" s="3053"/>
      <c r="I102" s="3054"/>
      <c r="J102" s="3053"/>
      <c r="K102" s="3053"/>
      <c r="L102" s="3054"/>
      <c r="M102" s="3053"/>
      <c r="N102" s="3053"/>
      <c r="O102" s="3054"/>
      <c r="P102" s="3053"/>
      <c r="Q102" s="3053"/>
      <c r="R102" s="3055"/>
    </row>
    <row r="103" s="3048" customFormat="1" spans="2:18">
      <c r="B103" s="3053"/>
      <c r="C103" s="3053"/>
      <c r="D103" s="3053"/>
      <c r="E103" s="3053"/>
      <c r="F103" s="3053"/>
      <c r="G103" s="3054"/>
      <c r="H103" s="3053"/>
      <c r="I103" s="3054"/>
      <c r="J103" s="3053"/>
      <c r="K103" s="3053"/>
      <c r="L103" s="3054"/>
      <c r="M103" s="3053"/>
      <c r="N103" s="3053"/>
      <c r="O103" s="3054"/>
      <c r="P103" s="3053"/>
      <c r="Q103" s="3053"/>
      <c r="R103" s="3055"/>
    </row>
    <row r="104" s="3048" customFormat="1" spans="2:18">
      <c r="B104" s="3053"/>
      <c r="C104" s="3053"/>
      <c r="D104" s="3053"/>
      <c r="E104" s="3053"/>
      <c r="F104" s="3053"/>
      <c r="G104" s="3054"/>
      <c r="H104" s="3053"/>
      <c r="I104" s="3054"/>
      <c r="J104" s="3053"/>
      <c r="K104" s="3053"/>
      <c r="L104" s="3054"/>
      <c r="M104" s="3053"/>
      <c r="N104" s="3053"/>
      <c r="O104" s="3054"/>
      <c r="P104" s="3053"/>
      <c r="Q104" s="3053"/>
      <c r="R104" s="3055"/>
    </row>
    <row r="105" s="3048" customFormat="1" spans="2:18">
      <c r="B105" s="3053"/>
      <c r="C105" s="3053"/>
      <c r="D105" s="3053"/>
      <c r="E105" s="3053"/>
      <c r="F105" s="3053"/>
      <c r="G105" s="3054"/>
      <c r="H105" s="3053"/>
      <c r="I105" s="3054"/>
      <c r="J105" s="3053"/>
      <c r="K105" s="3053"/>
      <c r="L105" s="3054"/>
      <c r="M105" s="3053"/>
      <c r="N105" s="3053"/>
      <c r="O105" s="3054"/>
      <c r="P105" s="3053"/>
      <c r="Q105" s="3053"/>
      <c r="R105" s="3055"/>
    </row>
    <row r="106" s="3048" customFormat="1" spans="2:18">
      <c r="B106" s="3053"/>
      <c r="C106" s="3053"/>
      <c r="D106" s="3053"/>
      <c r="E106" s="3053"/>
      <c r="F106" s="3053"/>
      <c r="G106" s="3054"/>
      <c r="H106" s="3053"/>
      <c r="I106" s="3054"/>
      <c r="J106" s="3053"/>
      <c r="K106" s="3053"/>
      <c r="L106" s="3054"/>
      <c r="M106" s="3053"/>
      <c r="N106" s="3053"/>
      <c r="O106" s="3054"/>
      <c r="P106" s="3053"/>
      <c r="Q106" s="3053"/>
      <c r="R106" s="3055"/>
    </row>
    <row r="107" s="3048" customFormat="1" spans="2:18">
      <c r="B107" s="3053"/>
      <c r="C107" s="3053"/>
      <c r="D107" s="3053"/>
      <c r="E107" s="3053"/>
      <c r="F107" s="3053"/>
      <c r="G107" s="3054"/>
      <c r="H107" s="3053"/>
      <c r="I107" s="3054"/>
      <c r="J107" s="3053"/>
      <c r="K107" s="3053"/>
      <c r="L107" s="3054"/>
      <c r="M107" s="3053"/>
      <c r="N107" s="3053"/>
      <c r="O107" s="3054"/>
      <c r="P107" s="3053"/>
      <c r="Q107" s="3053"/>
      <c r="R107" s="3055"/>
    </row>
    <row r="108" s="3048" customFormat="1" spans="2:18">
      <c r="B108" s="3053"/>
      <c r="C108" s="3053"/>
      <c r="D108" s="3053"/>
      <c r="E108" s="3053"/>
      <c r="F108" s="3053"/>
      <c r="G108" s="3054"/>
      <c r="H108" s="3053"/>
      <c r="I108" s="3054"/>
      <c r="J108" s="3053"/>
      <c r="K108" s="3053"/>
      <c r="L108" s="3054"/>
      <c r="M108" s="3053"/>
      <c r="N108" s="3053"/>
      <c r="O108" s="3054"/>
      <c r="P108" s="3053"/>
      <c r="Q108" s="3053"/>
      <c r="R108" s="3055"/>
    </row>
    <row r="109" s="3048" customFormat="1" spans="2:18">
      <c r="B109" s="3053"/>
      <c r="C109" s="3053"/>
      <c r="D109" s="3053"/>
      <c r="E109" s="3053"/>
      <c r="F109" s="3053"/>
      <c r="G109" s="3054"/>
      <c r="H109" s="3053"/>
      <c r="I109" s="3054"/>
      <c r="J109" s="3053"/>
      <c r="K109" s="3053"/>
      <c r="L109" s="3054"/>
      <c r="M109" s="3053"/>
      <c r="N109" s="3053"/>
      <c r="O109" s="3054"/>
      <c r="P109" s="3053"/>
      <c r="Q109" s="3053"/>
      <c r="R109" s="3055"/>
    </row>
    <row r="110" s="3048" customFormat="1" spans="2:18">
      <c r="B110" s="3053"/>
      <c r="C110" s="3053"/>
      <c r="D110" s="3053"/>
      <c r="E110" s="3053"/>
      <c r="F110" s="3053"/>
      <c r="G110" s="3054"/>
      <c r="H110" s="3053"/>
      <c r="I110" s="3054"/>
      <c r="J110" s="3053"/>
      <c r="K110" s="3053"/>
      <c r="L110" s="3054"/>
      <c r="M110" s="3053"/>
      <c r="N110" s="3053"/>
      <c r="O110" s="3054"/>
      <c r="P110" s="3053"/>
      <c r="Q110" s="3053"/>
      <c r="R110" s="3055"/>
    </row>
    <row r="111" s="3048" customFormat="1" spans="2:18">
      <c r="B111" s="3053"/>
      <c r="C111" s="3053"/>
      <c r="D111" s="3053"/>
      <c r="E111" s="3053"/>
      <c r="F111" s="3053"/>
      <c r="G111" s="3054"/>
      <c r="H111" s="3053"/>
      <c r="I111" s="3054"/>
      <c r="J111" s="3053"/>
      <c r="K111" s="3053"/>
      <c r="L111" s="3054"/>
      <c r="M111" s="3053"/>
      <c r="N111" s="3053"/>
      <c r="O111" s="3054"/>
      <c r="P111" s="3053"/>
      <c r="Q111" s="3053"/>
      <c r="R111" s="3055"/>
    </row>
    <row r="112" s="3048" customFormat="1" spans="2:18">
      <c r="B112" s="3053"/>
      <c r="C112" s="3053"/>
      <c r="D112" s="3053"/>
      <c r="E112" s="3053"/>
      <c r="F112" s="3053"/>
      <c r="G112" s="3054"/>
      <c r="H112" s="3053"/>
      <c r="I112" s="3054"/>
      <c r="J112" s="3053"/>
      <c r="K112" s="3053"/>
      <c r="L112" s="3054"/>
      <c r="M112" s="3053"/>
      <c r="N112" s="3053"/>
      <c r="O112" s="3054"/>
      <c r="P112" s="3053"/>
      <c r="Q112" s="3053"/>
      <c r="R112" s="3055"/>
    </row>
    <row r="113" s="3048" customFormat="1" spans="2:18">
      <c r="B113" s="3053"/>
      <c r="C113" s="3053"/>
      <c r="D113" s="3053"/>
      <c r="E113" s="3053"/>
      <c r="F113" s="3053"/>
      <c r="G113" s="3054"/>
      <c r="H113" s="3053"/>
      <c r="I113" s="3054"/>
      <c r="J113" s="3053"/>
      <c r="K113" s="3053"/>
      <c r="L113" s="3054"/>
      <c r="M113" s="3053"/>
      <c r="N113" s="3053"/>
      <c r="O113" s="3054"/>
      <c r="P113" s="3053"/>
      <c r="Q113" s="3053"/>
      <c r="R113" s="3055"/>
    </row>
    <row r="114" s="3048" customFormat="1" spans="2:18">
      <c r="B114" s="3053"/>
      <c r="C114" s="3053"/>
      <c r="D114" s="3053"/>
      <c r="E114" s="3053"/>
      <c r="F114" s="3053"/>
      <c r="G114" s="3054"/>
      <c r="H114" s="3053"/>
      <c r="I114" s="3054"/>
      <c r="J114" s="3053"/>
      <c r="K114" s="3053"/>
      <c r="L114" s="3054"/>
      <c r="M114" s="3053"/>
      <c r="N114" s="3053"/>
      <c r="O114" s="3054"/>
      <c r="P114" s="3053"/>
      <c r="Q114" s="3053"/>
      <c r="R114" s="3055"/>
    </row>
    <row r="115" s="3048" customFormat="1" spans="2:18">
      <c r="B115" s="3053"/>
      <c r="C115" s="3053"/>
      <c r="D115" s="3053"/>
      <c r="E115" s="3053"/>
      <c r="F115" s="3053"/>
      <c r="G115" s="3054"/>
      <c r="H115" s="3053"/>
      <c r="I115" s="3054"/>
      <c r="J115" s="3053"/>
      <c r="K115" s="3053"/>
      <c r="L115" s="3054"/>
      <c r="M115" s="3053"/>
      <c r="N115" s="3053"/>
      <c r="O115" s="3054"/>
      <c r="P115" s="3053"/>
      <c r="Q115" s="3053"/>
      <c r="R115" s="3055"/>
    </row>
    <row r="116" s="3048" customFormat="1" spans="2:18">
      <c r="B116" s="3053"/>
      <c r="C116" s="3053"/>
      <c r="D116" s="3053"/>
      <c r="E116" s="3053"/>
      <c r="F116" s="3053"/>
      <c r="G116" s="3054"/>
      <c r="H116" s="3053"/>
      <c r="I116" s="3054"/>
      <c r="J116" s="3053"/>
      <c r="K116" s="3053"/>
      <c r="L116" s="3054"/>
      <c r="M116" s="3053"/>
      <c r="N116" s="3053"/>
      <c r="O116" s="3054"/>
      <c r="P116" s="3053"/>
      <c r="Q116" s="3053"/>
      <c r="R116" s="3055"/>
    </row>
    <row r="117" s="3048" customFormat="1" spans="2:18">
      <c r="B117" s="3053"/>
      <c r="C117" s="3053"/>
      <c r="D117" s="3053"/>
      <c r="E117" s="3053"/>
      <c r="F117" s="3053"/>
      <c r="G117" s="3054"/>
      <c r="H117" s="3053"/>
      <c r="I117" s="3054"/>
      <c r="J117" s="3053"/>
      <c r="K117" s="3053"/>
      <c r="L117" s="3054"/>
      <c r="M117" s="3053"/>
      <c r="N117" s="3053"/>
      <c r="O117" s="3054"/>
      <c r="P117" s="3053"/>
      <c r="Q117" s="3053"/>
      <c r="R117" s="3055"/>
    </row>
    <row r="118" s="3048" customFormat="1" spans="2:18">
      <c r="B118" s="3053"/>
      <c r="C118" s="3053"/>
      <c r="D118" s="3053"/>
      <c r="E118" s="3053"/>
      <c r="F118" s="3053"/>
      <c r="G118" s="3054"/>
      <c r="H118" s="3053"/>
      <c r="I118" s="3054"/>
      <c r="J118" s="3053"/>
      <c r="K118" s="3053"/>
      <c r="L118" s="3054"/>
      <c r="M118" s="3053"/>
      <c r="N118" s="3053"/>
      <c r="O118" s="3054"/>
      <c r="P118" s="3053"/>
      <c r="Q118" s="3053"/>
      <c r="R118" s="3055"/>
    </row>
    <row r="119" s="3048" customFormat="1" spans="2:18">
      <c r="B119" s="3053"/>
      <c r="C119" s="3053"/>
      <c r="D119" s="3053"/>
      <c r="E119" s="3053"/>
      <c r="F119" s="3053"/>
      <c r="G119" s="3054"/>
      <c r="H119" s="3053"/>
      <c r="I119" s="3054"/>
      <c r="J119" s="3053"/>
      <c r="K119" s="3053"/>
      <c r="L119" s="3054"/>
      <c r="M119" s="3053"/>
      <c r="N119" s="3053"/>
      <c r="O119" s="3054"/>
      <c r="P119" s="3053"/>
      <c r="Q119" s="3053"/>
      <c r="R119" s="3055"/>
    </row>
    <row r="120" s="3048" customFormat="1" spans="2:18">
      <c r="B120" s="3053"/>
      <c r="C120" s="3053"/>
      <c r="D120" s="3053"/>
      <c r="E120" s="3053"/>
      <c r="F120" s="3053"/>
      <c r="G120" s="3054"/>
      <c r="H120" s="3053"/>
      <c r="I120" s="3054"/>
      <c r="J120" s="3053"/>
      <c r="K120" s="3053"/>
      <c r="L120" s="3054"/>
      <c r="M120" s="3053"/>
      <c r="N120" s="3053"/>
      <c r="O120" s="3054"/>
      <c r="P120" s="3053"/>
      <c r="Q120" s="3053"/>
      <c r="R120" s="3055"/>
    </row>
    <row r="121" s="3048" customFormat="1" spans="2:18">
      <c r="B121" s="3053"/>
      <c r="C121" s="3053"/>
      <c r="D121" s="3053"/>
      <c r="E121" s="3053"/>
      <c r="F121" s="3053"/>
      <c r="G121" s="3054"/>
      <c r="H121" s="3053"/>
      <c r="I121" s="3054"/>
      <c r="J121" s="3053"/>
      <c r="K121" s="3053"/>
      <c r="L121" s="3054"/>
      <c r="M121" s="3053"/>
      <c r="N121" s="3053"/>
      <c r="O121" s="3054"/>
      <c r="P121" s="3053"/>
      <c r="Q121" s="3053"/>
      <c r="R121" s="3055"/>
    </row>
    <row r="122" s="3048" customFormat="1" spans="2:18">
      <c r="B122" s="3053"/>
      <c r="C122" s="3053"/>
      <c r="D122" s="3053"/>
      <c r="E122" s="3053"/>
      <c r="F122" s="3053"/>
      <c r="G122" s="3054"/>
      <c r="H122" s="3053"/>
      <c r="I122" s="3054"/>
      <c r="J122" s="3053"/>
      <c r="K122" s="3053"/>
      <c r="L122" s="3054"/>
      <c r="M122" s="3053"/>
      <c r="N122" s="3053"/>
      <c r="O122" s="3054"/>
      <c r="P122" s="3053"/>
      <c r="Q122" s="3053"/>
      <c r="R122" s="3055"/>
    </row>
    <row r="123" s="3048" customFormat="1" spans="2:18">
      <c r="B123" s="3053"/>
      <c r="C123" s="3053"/>
      <c r="D123" s="3053"/>
      <c r="E123" s="3053"/>
      <c r="F123" s="3053"/>
      <c r="G123" s="3054"/>
      <c r="H123" s="3053"/>
      <c r="I123" s="3054"/>
      <c r="J123" s="3053"/>
      <c r="K123" s="3053"/>
      <c r="L123" s="3054"/>
      <c r="M123" s="3053"/>
      <c r="N123" s="3053"/>
      <c r="O123" s="3054"/>
      <c r="P123" s="3053"/>
      <c r="Q123" s="3053"/>
      <c r="R123" s="3055"/>
    </row>
    <row r="124" s="3048" customFormat="1" spans="2:18">
      <c r="B124" s="3053"/>
      <c r="C124" s="3053"/>
      <c r="D124" s="3053"/>
      <c r="E124" s="3053"/>
      <c r="F124" s="3053"/>
      <c r="G124" s="3054"/>
      <c r="H124" s="3053"/>
      <c r="I124" s="3054"/>
      <c r="J124" s="3053"/>
      <c r="K124" s="3053"/>
      <c r="L124" s="3054"/>
      <c r="M124" s="3053"/>
      <c r="N124" s="3053"/>
      <c r="O124" s="3054"/>
      <c r="P124" s="3053"/>
      <c r="Q124" s="3053"/>
      <c r="R124" s="3055"/>
    </row>
    <row r="125" s="3048" customFormat="1" spans="2:18">
      <c r="B125" s="3053"/>
      <c r="C125" s="3053"/>
      <c r="D125" s="3053"/>
      <c r="E125" s="3053"/>
      <c r="F125" s="3053"/>
      <c r="G125" s="3054"/>
      <c r="H125" s="3053"/>
      <c r="I125" s="3054"/>
      <c r="J125" s="3053"/>
      <c r="K125" s="3053"/>
      <c r="L125" s="3054"/>
      <c r="M125" s="3053"/>
      <c r="N125" s="3053"/>
      <c r="O125" s="3054"/>
      <c r="P125" s="3053"/>
      <c r="Q125" s="3053"/>
      <c r="R125" s="3055"/>
    </row>
    <row r="126" s="3048" customFormat="1" spans="2:18">
      <c r="B126" s="3053"/>
      <c r="C126" s="3053"/>
      <c r="D126" s="3053"/>
      <c r="E126" s="3053"/>
      <c r="F126" s="3053"/>
      <c r="G126" s="3054"/>
      <c r="H126" s="3053"/>
      <c r="I126" s="3054"/>
      <c r="J126" s="3053"/>
      <c r="K126" s="3053"/>
      <c r="L126" s="3054"/>
      <c r="M126" s="3053"/>
      <c r="N126" s="3053"/>
      <c r="O126" s="3054"/>
      <c r="P126" s="3053"/>
      <c r="Q126" s="3053"/>
      <c r="R126" s="3055"/>
    </row>
    <row r="127" s="3048" customFormat="1" spans="2:18">
      <c r="B127" s="3053"/>
      <c r="C127" s="3053"/>
      <c r="D127" s="3053"/>
      <c r="E127" s="3053"/>
      <c r="F127" s="3053"/>
      <c r="G127" s="3054"/>
      <c r="H127" s="3053"/>
      <c r="I127" s="3054"/>
      <c r="J127" s="3053"/>
      <c r="K127" s="3053"/>
      <c r="L127" s="3054"/>
      <c r="M127" s="3053"/>
      <c r="N127" s="3053"/>
      <c r="O127" s="3054"/>
      <c r="P127" s="3053"/>
      <c r="Q127" s="3053"/>
      <c r="R127" s="3055"/>
    </row>
    <row r="128" s="3048" customFormat="1" spans="2:18">
      <c r="B128" s="3053"/>
      <c r="C128" s="3053"/>
      <c r="D128" s="3053"/>
      <c r="E128" s="3053"/>
      <c r="F128" s="3053"/>
      <c r="G128" s="3054"/>
      <c r="H128" s="3053"/>
      <c r="I128" s="3054"/>
      <c r="J128" s="3053"/>
      <c r="K128" s="3053"/>
      <c r="L128" s="3054"/>
      <c r="M128" s="3053"/>
      <c r="N128" s="3053"/>
      <c r="O128" s="3054"/>
      <c r="P128" s="3053"/>
      <c r="Q128" s="3053"/>
      <c r="R128" s="3055"/>
    </row>
    <row r="129" s="3048" customFormat="1" spans="2:18">
      <c r="B129" s="3053"/>
      <c r="C129" s="3053"/>
      <c r="D129" s="3053"/>
      <c r="E129" s="3053"/>
      <c r="F129" s="3053"/>
      <c r="G129" s="3054"/>
      <c r="H129" s="3053"/>
      <c r="I129" s="3054"/>
      <c r="J129" s="3053"/>
      <c r="K129" s="3053"/>
      <c r="L129" s="3054"/>
      <c r="M129" s="3053"/>
      <c r="N129" s="3053"/>
      <c r="O129" s="3054"/>
      <c r="P129" s="3053"/>
      <c r="Q129" s="3053"/>
      <c r="R129" s="3055"/>
    </row>
    <row r="130" s="3048" customFormat="1" spans="2:18">
      <c r="B130" s="3053"/>
      <c r="C130" s="3053"/>
      <c r="D130" s="3053"/>
      <c r="E130" s="3053"/>
      <c r="F130" s="3053"/>
      <c r="G130" s="3054"/>
      <c r="H130" s="3053"/>
      <c r="I130" s="3054"/>
      <c r="J130" s="3053"/>
      <c r="K130" s="3053"/>
      <c r="L130" s="3054"/>
      <c r="M130" s="3053"/>
      <c r="N130" s="3053"/>
      <c r="O130" s="3054"/>
      <c r="P130" s="3053"/>
      <c r="Q130" s="3053"/>
      <c r="R130" s="3055"/>
    </row>
    <row r="131" s="3048" customFormat="1" spans="2:18">
      <c r="B131" s="3053"/>
      <c r="C131" s="3053"/>
      <c r="D131" s="3053"/>
      <c r="E131" s="3053"/>
      <c r="F131" s="3053"/>
      <c r="G131" s="3054"/>
      <c r="H131" s="3053"/>
      <c r="I131" s="3054"/>
      <c r="J131" s="3053"/>
      <c r="K131" s="3053"/>
      <c r="L131" s="3054"/>
      <c r="M131" s="3053"/>
      <c r="N131" s="3053"/>
      <c r="O131" s="3054"/>
      <c r="P131" s="3053"/>
      <c r="Q131" s="3053"/>
      <c r="R131" s="3055"/>
    </row>
    <row r="132" s="3048" customFormat="1" spans="2:18">
      <c r="B132" s="3053"/>
      <c r="C132" s="3053"/>
      <c r="D132" s="3053"/>
      <c r="E132" s="3053"/>
      <c r="F132" s="3053"/>
      <c r="G132" s="3054"/>
      <c r="H132" s="3053"/>
      <c r="I132" s="3054"/>
      <c r="J132" s="3053"/>
      <c r="K132" s="3053"/>
      <c r="L132" s="3054"/>
      <c r="M132" s="3053"/>
      <c r="N132" s="3053"/>
      <c r="O132" s="3054"/>
      <c r="P132" s="3053"/>
      <c r="Q132" s="3053"/>
      <c r="R132" s="3055"/>
    </row>
    <row r="133" s="3048" customFormat="1" spans="2:18">
      <c r="B133" s="3053"/>
      <c r="C133" s="3053"/>
      <c r="D133" s="3053"/>
      <c r="E133" s="3053"/>
      <c r="F133" s="3053"/>
      <c r="G133" s="3054"/>
      <c r="H133" s="3053"/>
      <c r="I133" s="3054"/>
      <c r="J133" s="3053"/>
      <c r="K133" s="3053"/>
      <c r="L133" s="3054"/>
      <c r="M133" s="3053"/>
      <c r="N133" s="3053"/>
      <c r="O133" s="3054"/>
      <c r="P133" s="3053"/>
      <c r="Q133" s="3053"/>
      <c r="R133" s="3055"/>
    </row>
    <row r="134" s="3048" customFormat="1" spans="2:18">
      <c r="B134" s="3053"/>
      <c r="C134" s="3053"/>
      <c r="D134" s="3053"/>
      <c r="E134" s="3053"/>
      <c r="F134" s="3053"/>
      <c r="G134" s="3054"/>
      <c r="H134" s="3053"/>
      <c r="I134" s="3054"/>
      <c r="J134" s="3053"/>
      <c r="K134" s="3053"/>
      <c r="L134" s="3054"/>
      <c r="M134" s="3053"/>
      <c r="N134" s="3053"/>
      <c r="O134" s="3054"/>
      <c r="P134" s="3053"/>
      <c r="Q134" s="3053"/>
      <c r="R134" s="3055"/>
    </row>
    <row r="135" s="3048" customFormat="1" spans="2:18">
      <c r="B135" s="3053"/>
      <c r="C135" s="3053"/>
      <c r="D135" s="3053"/>
      <c r="E135" s="3053"/>
      <c r="F135" s="3053"/>
      <c r="G135" s="3054"/>
      <c r="H135" s="3053"/>
      <c r="I135" s="3054"/>
      <c r="J135" s="3053"/>
      <c r="K135" s="3053"/>
      <c r="L135" s="3054"/>
      <c r="M135" s="3053"/>
      <c r="N135" s="3053"/>
      <c r="O135" s="3054"/>
      <c r="P135" s="3053"/>
      <c r="Q135" s="3053"/>
      <c r="R135" s="3055"/>
    </row>
    <row r="136" s="3048" customFormat="1" spans="2:18">
      <c r="B136" s="3053"/>
      <c r="C136" s="3053"/>
      <c r="D136" s="3053"/>
      <c r="E136" s="3053"/>
      <c r="F136" s="3053"/>
      <c r="G136" s="3054"/>
      <c r="H136" s="3053"/>
      <c r="I136" s="3054"/>
      <c r="J136" s="3053"/>
      <c r="K136" s="3053"/>
      <c r="L136" s="3054"/>
      <c r="M136" s="3053"/>
      <c r="N136" s="3053"/>
      <c r="O136" s="3054"/>
      <c r="P136" s="3053"/>
      <c r="Q136" s="3053"/>
      <c r="R136" s="3055"/>
    </row>
    <row r="137" s="3048" customFormat="1" spans="2:18">
      <c r="B137" s="3053"/>
      <c r="C137" s="3053"/>
      <c r="D137" s="3053"/>
      <c r="E137" s="3053"/>
      <c r="F137" s="3053"/>
      <c r="G137" s="3054"/>
      <c r="H137" s="3053"/>
      <c r="I137" s="3054"/>
      <c r="J137" s="3053"/>
      <c r="K137" s="3053"/>
      <c r="L137" s="3054"/>
      <c r="M137" s="3053"/>
      <c r="N137" s="3053"/>
      <c r="O137" s="3054"/>
      <c r="P137" s="3053"/>
      <c r="Q137" s="3053"/>
      <c r="R137" s="3055"/>
    </row>
    <row r="138" s="3048" customFormat="1" spans="2:18">
      <c r="B138" s="3053"/>
      <c r="C138" s="3053"/>
      <c r="D138" s="3053"/>
      <c r="E138" s="3053"/>
      <c r="F138" s="3053"/>
      <c r="G138" s="3054"/>
      <c r="H138" s="3053"/>
      <c r="I138" s="3054"/>
      <c r="J138" s="3053"/>
      <c r="K138" s="3053"/>
      <c r="L138" s="3054"/>
      <c r="M138" s="3053"/>
      <c r="N138" s="3053"/>
      <c r="O138" s="3054"/>
      <c r="P138" s="3053"/>
      <c r="Q138" s="3053"/>
      <c r="R138" s="3055"/>
    </row>
    <row r="139" s="3048" customFormat="1" spans="2:18">
      <c r="B139" s="3053"/>
      <c r="C139" s="3053"/>
      <c r="D139" s="3053"/>
      <c r="E139" s="3053"/>
      <c r="F139" s="3053"/>
      <c r="G139" s="3054"/>
      <c r="H139" s="3053"/>
      <c r="I139" s="3054"/>
      <c r="J139" s="3053"/>
      <c r="K139" s="3053"/>
      <c r="L139" s="3054"/>
      <c r="M139" s="3053"/>
      <c r="N139" s="3053"/>
      <c r="O139" s="3054"/>
      <c r="P139" s="3053"/>
      <c r="Q139" s="3053"/>
      <c r="R139" s="3055"/>
    </row>
    <row r="140" s="3048" customFormat="1" spans="2:18">
      <c r="B140" s="3053"/>
      <c r="C140" s="3053"/>
      <c r="D140" s="3053"/>
      <c r="E140" s="3053"/>
      <c r="F140" s="3053"/>
      <c r="G140" s="3054"/>
      <c r="H140" s="3053"/>
      <c r="I140" s="3054"/>
      <c r="J140" s="3053"/>
      <c r="K140" s="3053"/>
      <c r="L140" s="3054"/>
      <c r="M140" s="3053"/>
      <c r="N140" s="3053"/>
      <c r="O140" s="3054"/>
      <c r="P140" s="3053"/>
      <c r="Q140" s="3053"/>
      <c r="R140" s="3055"/>
    </row>
    <row r="141" s="3048" customFormat="1" spans="2:18">
      <c r="B141" s="3053"/>
      <c r="C141" s="3053"/>
      <c r="D141" s="3053"/>
      <c r="E141" s="3053"/>
      <c r="F141" s="3053"/>
      <c r="G141" s="3054"/>
      <c r="H141" s="3053"/>
      <c r="I141" s="3054"/>
      <c r="J141" s="3053"/>
      <c r="K141" s="3053"/>
      <c r="L141" s="3054"/>
      <c r="M141" s="3053"/>
      <c r="N141" s="3053"/>
      <c r="O141" s="3054"/>
      <c r="P141" s="3053"/>
      <c r="Q141" s="3053"/>
      <c r="R141" s="3055"/>
    </row>
    <row r="142" s="3048" customFormat="1" spans="2:18">
      <c r="B142" s="3053"/>
      <c r="C142" s="3053"/>
      <c r="D142" s="3053"/>
      <c r="E142" s="3053"/>
      <c r="F142" s="3053"/>
      <c r="G142" s="3054"/>
      <c r="H142" s="3053"/>
      <c r="I142" s="3054"/>
      <c r="J142" s="3053"/>
      <c r="K142" s="3053"/>
      <c r="L142" s="3054"/>
      <c r="M142" s="3053"/>
      <c r="N142" s="3053"/>
      <c r="O142" s="3054"/>
      <c r="P142" s="3053"/>
      <c r="Q142" s="3053"/>
      <c r="R142" s="3055"/>
    </row>
    <row r="143" s="3048" customFormat="1" spans="2:18">
      <c r="B143" s="3053"/>
      <c r="C143" s="3053"/>
      <c r="D143" s="3053"/>
      <c r="E143" s="3053"/>
      <c r="F143" s="3053"/>
      <c r="G143" s="3054"/>
      <c r="H143" s="3053"/>
      <c r="I143" s="3054"/>
      <c r="J143" s="3053"/>
      <c r="K143" s="3053"/>
      <c r="L143" s="3054"/>
      <c r="M143" s="3053"/>
      <c r="N143" s="3053"/>
      <c r="O143" s="3054"/>
      <c r="P143" s="3053"/>
      <c r="Q143" s="3053"/>
      <c r="R143" s="3055"/>
    </row>
    <row r="144" s="3048" customFormat="1" spans="2:18">
      <c r="B144" s="3053"/>
      <c r="C144" s="3053"/>
      <c r="D144" s="3053"/>
      <c r="E144" s="3053"/>
      <c r="F144" s="3053"/>
      <c r="G144" s="3054"/>
      <c r="H144" s="3053"/>
      <c r="I144" s="3054"/>
      <c r="J144" s="3053"/>
      <c r="K144" s="3053"/>
      <c r="L144" s="3054"/>
      <c r="M144" s="3053"/>
      <c r="N144" s="3053"/>
      <c r="O144" s="3054"/>
      <c r="P144" s="3053"/>
      <c r="Q144" s="3053"/>
      <c r="R144" s="3055"/>
    </row>
    <row r="145" s="3048" customFormat="1" spans="2:18">
      <c r="B145" s="3053"/>
      <c r="C145" s="3053"/>
      <c r="D145" s="3053"/>
      <c r="E145" s="3053"/>
      <c r="F145" s="3053"/>
      <c r="G145" s="3054"/>
      <c r="H145" s="3053"/>
      <c r="I145" s="3054"/>
      <c r="J145" s="3053"/>
      <c r="K145" s="3053"/>
      <c r="L145" s="3054"/>
      <c r="M145" s="3053"/>
      <c r="N145" s="3053"/>
      <c r="O145" s="3054"/>
      <c r="P145" s="3053"/>
      <c r="Q145" s="3053"/>
      <c r="R145" s="3055"/>
    </row>
    <row r="146" s="3048" customFormat="1" spans="2:18">
      <c r="B146" s="3053"/>
      <c r="C146" s="3053"/>
      <c r="D146" s="3053"/>
      <c r="E146" s="3053"/>
      <c r="F146" s="3053"/>
      <c r="G146" s="3054"/>
      <c r="H146" s="3053"/>
      <c r="I146" s="3054"/>
      <c r="J146" s="3053"/>
      <c r="K146" s="3053"/>
      <c r="L146" s="3054"/>
      <c r="M146" s="3053"/>
      <c r="N146" s="3053"/>
      <c r="O146" s="3054"/>
      <c r="P146" s="3053"/>
      <c r="Q146" s="3053"/>
      <c r="R146" s="3055"/>
    </row>
    <row r="147" s="3048" customFormat="1" spans="2:18">
      <c r="B147" s="3053"/>
      <c r="C147" s="3053"/>
      <c r="D147" s="3053"/>
      <c r="E147" s="3053"/>
      <c r="F147" s="3053"/>
      <c r="G147" s="3054"/>
      <c r="H147" s="3053"/>
      <c r="I147" s="3054"/>
      <c r="J147" s="3053"/>
      <c r="K147" s="3053"/>
      <c r="L147" s="3054"/>
      <c r="M147" s="3053"/>
      <c r="N147" s="3053"/>
      <c r="O147" s="3054"/>
      <c r="P147" s="3053"/>
      <c r="Q147" s="3053"/>
      <c r="R147" s="3055"/>
    </row>
    <row r="148" s="3048" customFormat="1" spans="2:18">
      <c r="B148" s="3053"/>
      <c r="C148" s="3053"/>
      <c r="D148" s="3053"/>
      <c r="E148" s="3053"/>
      <c r="F148" s="3053"/>
      <c r="G148" s="3054"/>
      <c r="H148" s="3053"/>
      <c r="I148" s="3054"/>
      <c r="J148" s="3053"/>
      <c r="K148" s="3053"/>
      <c r="L148" s="3054"/>
      <c r="M148" s="3053"/>
      <c r="N148" s="3053"/>
      <c r="O148" s="3054"/>
      <c r="P148" s="3053"/>
      <c r="Q148" s="3053"/>
      <c r="R148" s="3055"/>
    </row>
    <row r="149" s="3048" customFormat="1" spans="2:18">
      <c r="B149" s="3053"/>
      <c r="C149" s="3053"/>
      <c r="D149" s="3053"/>
      <c r="E149" s="3053"/>
      <c r="F149" s="3053"/>
      <c r="G149" s="3054"/>
      <c r="H149" s="3053"/>
      <c r="I149" s="3054"/>
      <c r="J149" s="3053"/>
      <c r="K149" s="3053"/>
      <c r="L149" s="3054"/>
      <c r="M149" s="3053"/>
      <c r="N149" s="3053"/>
      <c r="O149" s="3054"/>
      <c r="P149" s="3053"/>
      <c r="Q149" s="3053"/>
      <c r="R149" s="3055"/>
    </row>
    <row r="150" s="3048" customFormat="1" spans="2:18">
      <c r="B150" s="3053"/>
      <c r="C150" s="3053"/>
      <c r="D150" s="3053"/>
      <c r="E150" s="3053"/>
      <c r="F150" s="3053"/>
      <c r="G150" s="3054"/>
      <c r="H150" s="3053"/>
      <c r="I150" s="3054"/>
      <c r="J150" s="3053"/>
      <c r="K150" s="3053"/>
      <c r="L150" s="3054"/>
      <c r="M150" s="3053"/>
      <c r="N150" s="3053"/>
      <c r="O150" s="3054"/>
      <c r="P150" s="3053"/>
      <c r="Q150" s="3053"/>
      <c r="R150" s="3055"/>
    </row>
    <row r="151" s="3048" customFormat="1" spans="2:18">
      <c r="B151" s="3053"/>
      <c r="C151" s="3053"/>
      <c r="D151" s="3053"/>
      <c r="E151" s="3053"/>
      <c r="F151" s="3053"/>
      <c r="G151" s="3054"/>
      <c r="H151" s="3053"/>
      <c r="I151" s="3054"/>
      <c r="J151" s="3053"/>
      <c r="K151" s="3053"/>
      <c r="L151" s="3054"/>
      <c r="M151" s="3053"/>
      <c r="N151" s="3053"/>
      <c r="O151" s="3054"/>
      <c r="P151" s="3053"/>
      <c r="Q151" s="3053"/>
      <c r="R151" s="3055"/>
    </row>
    <row r="152" s="3048" customFormat="1" spans="2:18">
      <c r="B152" s="3053"/>
      <c r="C152" s="3053"/>
      <c r="D152" s="3053"/>
      <c r="E152" s="3053"/>
      <c r="F152" s="3053"/>
      <c r="G152" s="3054"/>
      <c r="H152" s="3053"/>
      <c r="I152" s="3054"/>
      <c r="J152" s="3053"/>
      <c r="K152" s="3053"/>
      <c r="L152" s="3054"/>
      <c r="M152" s="3053"/>
      <c r="N152" s="3053"/>
      <c r="O152" s="3054"/>
      <c r="P152" s="3053"/>
      <c r="Q152" s="3053"/>
      <c r="R152" s="3055"/>
    </row>
    <row r="153" s="3048" customFormat="1" spans="2:18">
      <c r="B153" s="3053"/>
      <c r="C153" s="3053"/>
      <c r="D153" s="3053"/>
      <c r="E153" s="3053"/>
      <c r="F153" s="3053"/>
      <c r="G153" s="3054"/>
      <c r="H153" s="3053"/>
      <c r="I153" s="3054"/>
      <c r="J153" s="3053"/>
      <c r="K153" s="3053"/>
      <c r="L153" s="3054"/>
      <c r="M153" s="3053"/>
      <c r="N153" s="3053"/>
      <c r="O153" s="3054"/>
      <c r="P153" s="3053"/>
      <c r="Q153" s="3053"/>
      <c r="R153" s="3055"/>
    </row>
    <row r="154" s="3048" customFormat="1" spans="2:18">
      <c r="B154" s="3053"/>
      <c r="C154" s="3053"/>
      <c r="D154" s="3053"/>
      <c r="E154" s="3053"/>
      <c r="F154" s="3053"/>
      <c r="G154" s="3054"/>
      <c r="H154" s="3053"/>
      <c r="I154" s="3054"/>
      <c r="J154" s="3053"/>
      <c r="K154" s="3053"/>
      <c r="L154" s="3054"/>
      <c r="M154" s="3053"/>
      <c r="N154" s="3053"/>
      <c r="O154" s="3054"/>
      <c r="P154" s="3053"/>
      <c r="Q154" s="3053"/>
      <c r="R154" s="3055"/>
    </row>
    <row r="155" s="3048" customFormat="1" spans="2:18">
      <c r="B155" s="3053"/>
      <c r="C155" s="3053"/>
      <c r="D155" s="3053"/>
      <c r="E155" s="3053"/>
      <c r="F155" s="3053"/>
      <c r="G155" s="3054"/>
      <c r="H155" s="3053"/>
      <c r="I155" s="3054"/>
      <c r="J155" s="3053"/>
      <c r="K155" s="3053"/>
      <c r="L155" s="3054"/>
      <c r="M155" s="3053"/>
      <c r="N155" s="3053"/>
      <c r="O155" s="3054"/>
      <c r="P155" s="3053"/>
      <c r="Q155" s="3053"/>
      <c r="R155" s="3055"/>
    </row>
    <row r="156" s="3048" customFormat="1" spans="2:18">
      <c r="B156" s="3053"/>
      <c r="C156" s="3053"/>
      <c r="D156" s="3053"/>
      <c r="E156" s="3053"/>
      <c r="F156" s="3053"/>
      <c r="G156" s="3054"/>
      <c r="H156" s="3053"/>
      <c r="I156" s="3054"/>
      <c r="J156" s="3053"/>
      <c r="K156" s="3053"/>
      <c r="L156" s="3054"/>
      <c r="M156" s="3053"/>
      <c r="N156" s="3053"/>
      <c r="O156" s="3054"/>
      <c r="P156" s="3053"/>
      <c r="Q156" s="3053"/>
      <c r="R156" s="3055"/>
    </row>
    <row r="157" s="3048" customFormat="1" spans="2:18">
      <c r="B157" s="3053"/>
      <c r="C157" s="3053"/>
      <c r="D157" s="3053"/>
      <c r="E157" s="3053"/>
      <c r="F157" s="3053"/>
      <c r="G157" s="3054"/>
      <c r="H157" s="3053"/>
      <c r="I157" s="3054"/>
      <c r="J157" s="3053"/>
      <c r="K157" s="3053"/>
      <c r="L157" s="3054"/>
      <c r="M157" s="3053"/>
      <c r="N157" s="3053"/>
      <c r="O157" s="3054"/>
      <c r="P157" s="3053"/>
      <c r="Q157" s="3053"/>
      <c r="R157" s="3055"/>
    </row>
    <row r="158" s="3048" customFormat="1" spans="2:18">
      <c r="B158" s="3053"/>
      <c r="C158" s="3053"/>
      <c r="D158" s="3053"/>
      <c r="E158" s="3053"/>
      <c r="F158" s="3053"/>
      <c r="G158" s="3054"/>
      <c r="H158" s="3053"/>
      <c r="I158" s="3054"/>
      <c r="J158" s="3053"/>
      <c r="K158" s="3053"/>
      <c r="L158" s="3054"/>
      <c r="M158" s="3053"/>
      <c r="N158" s="3053"/>
      <c r="O158" s="3054"/>
      <c r="P158" s="3053"/>
      <c r="Q158" s="3053"/>
      <c r="R158" s="3055"/>
    </row>
    <row r="159" s="3048" customFormat="1" spans="2:18">
      <c r="B159" s="3053"/>
      <c r="C159" s="3053"/>
      <c r="D159" s="3053"/>
      <c r="E159" s="3053"/>
      <c r="F159" s="3053"/>
      <c r="G159" s="3054"/>
      <c r="H159" s="3053"/>
      <c r="I159" s="3054"/>
      <c r="J159" s="3053"/>
      <c r="K159" s="3053"/>
      <c r="L159" s="3054"/>
      <c r="M159" s="3053"/>
      <c r="N159" s="3053"/>
      <c r="O159" s="3054"/>
      <c r="P159" s="3053"/>
      <c r="Q159" s="3053"/>
      <c r="R159" s="3055"/>
    </row>
    <row r="160" s="3048" customFormat="1" spans="2:18">
      <c r="B160" s="3053"/>
      <c r="C160" s="3053"/>
      <c r="D160" s="3053"/>
      <c r="E160" s="3053"/>
      <c r="F160" s="3053"/>
      <c r="G160" s="3054"/>
      <c r="H160" s="3053"/>
      <c r="I160" s="3054"/>
      <c r="J160" s="3053"/>
      <c r="K160" s="3053"/>
      <c r="L160" s="3054"/>
      <c r="M160" s="3053"/>
      <c r="N160" s="3053"/>
      <c r="O160" s="3054"/>
      <c r="P160" s="3053"/>
      <c r="Q160" s="3053"/>
      <c r="R160" s="3055"/>
    </row>
    <row r="161" s="3048" customFormat="1" spans="2:18">
      <c r="B161" s="3053"/>
      <c r="C161" s="3053"/>
      <c r="D161" s="3053"/>
      <c r="E161" s="3053"/>
      <c r="F161" s="3053"/>
      <c r="G161" s="3054"/>
      <c r="H161" s="3053"/>
      <c r="I161" s="3054"/>
      <c r="J161" s="3053"/>
      <c r="K161" s="3053"/>
      <c r="L161" s="3054"/>
      <c r="M161" s="3053"/>
      <c r="N161" s="3053"/>
      <c r="O161" s="3054"/>
      <c r="P161" s="3053"/>
      <c r="Q161" s="3053"/>
      <c r="R161" s="3055"/>
    </row>
    <row r="162" s="3048" customFormat="1" spans="2:18">
      <c r="B162" s="3053"/>
      <c r="C162" s="3053"/>
      <c r="D162" s="3053"/>
      <c r="E162" s="3053"/>
      <c r="F162" s="3053"/>
      <c r="G162" s="3054"/>
      <c r="H162" s="3053"/>
      <c r="I162" s="3054"/>
      <c r="J162" s="3053"/>
      <c r="K162" s="3053"/>
      <c r="L162" s="3054"/>
      <c r="M162" s="3053"/>
      <c r="N162" s="3053"/>
      <c r="O162" s="3054"/>
      <c r="P162" s="3053"/>
      <c r="Q162" s="3053"/>
      <c r="R162" s="3055"/>
    </row>
    <row r="163" s="3048" customFormat="1" spans="2:18">
      <c r="B163" s="3053"/>
      <c r="C163" s="3053"/>
      <c r="D163" s="3053"/>
      <c r="E163" s="3053"/>
      <c r="F163" s="3053"/>
      <c r="G163" s="3054"/>
      <c r="H163" s="3053"/>
      <c r="I163" s="3054"/>
      <c r="J163" s="3053"/>
      <c r="K163" s="3053"/>
      <c r="L163" s="3054"/>
      <c r="M163" s="3053"/>
      <c r="N163" s="3053"/>
      <c r="O163" s="3054"/>
      <c r="P163" s="3053"/>
      <c r="Q163" s="3053"/>
      <c r="R163" s="3055"/>
    </row>
    <row r="164" s="3048" customFormat="1" spans="2:18">
      <c r="B164" s="3053"/>
      <c r="C164" s="3053"/>
      <c r="D164" s="3053"/>
      <c r="E164" s="3053"/>
      <c r="F164" s="3053"/>
      <c r="G164" s="3054"/>
      <c r="H164" s="3053"/>
      <c r="I164" s="3054"/>
      <c r="J164" s="3053"/>
      <c r="K164" s="3053"/>
      <c r="L164" s="3054"/>
      <c r="M164" s="3053"/>
      <c r="N164" s="3053"/>
      <c r="O164" s="3054"/>
      <c r="P164" s="3053"/>
      <c r="Q164" s="3053"/>
      <c r="R164" s="3055"/>
    </row>
    <row r="165" s="3048" customFormat="1" spans="2:18">
      <c r="B165" s="3053"/>
      <c r="C165" s="3053"/>
      <c r="D165" s="3053"/>
      <c r="E165" s="3053"/>
      <c r="F165" s="3053"/>
      <c r="G165" s="3054"/>
      <c r="H165" s="3053"/>
      <c r="I165" s="3054"/>
      <c r="J165" s="3053"/>
      <c r="K165" s="3053"/>
      <c r="L165" s="3054"/>
      <c r="M165" s="3053"/>
      <c r="N165" s="3053"/>
      <c r="O165" s="3054"/>
      <c r="P165" s="3053"/>
      <c r="Q165" s="3053"/>
      <c r="R165" s="3055"/>
    </row>
    <row r="166" s="3048" customFormat="1" spans="2:18">
      <c r="B166" s="3053"/>
      <c r="C166" s="3053"/>
      <c r="D166" s="3053"/>
      <c r="E166" s="3053"/>
      <c r="F166" s="3053"/>
      <c r="G166" s="3054"/>
      <c r="H166" s="3053"/>
      <c r="I166" s="3054"/>
      <c r="J166" s="3053"/>
      <c r="K166" s="3053"/>
      <c r="L166" s="3054"/>
      <c r="M166" s="3053"/>
      <c r="N166" s="3053"/>
      <c r="O166" s="3054"/>
      <c r="P166" s="3053"/>
      <c r="Q166" s="3053"/>
      <c r="R166" s="3055"/>
    </row>
    <row r="167" s="3048" customFormat="1" spans="2:18">
      <c r="B167" s="3053"/>
      <c r="C167" s="3053"/>
      <c r="D167" s="3053"/>
      <c r="E167" s="3053"/>
      <c r="F167" s="3053"/>
      <c r="G167" s="3054"/>
      <c r="H167" s="3053"/>
      <c r="I167" s="3054"/>
      <c r="J167" s="3053"/>
      <c r="K167" s="3053"/>
      <c r="L167" s="3054"/>
      <c r="M167" s="3053"/>
      <c r="N167" s="3053"/>
      <c r="O167" s="3054"/>
      <c r="P167" s="3053"/>
      <c r="Q167" s="3053"/>
      <c r="R167" s="3055"/>
    </row>
    <row r="168" s="3048" customFormat="1" spans="2:18">
      <c r="B168" s="3053"/>
      <c r="C168" s="3053"/>
      <c r="D168" s="3053"/>
      <c r="E168" s="3053"/>
      <c r="F168" s="3053"/>
      <c r="G168" s="3054"/>
      <c r="H168" s="3053"/>
      <c r="I168" s="3054"/>
      <c r="J168" s="3053"/>
      <c r="K168" s="3053"/>
      <c r="L168" s="3054"/>
      <c r="M168" s="3053"/>
      <c r="N168" s="3053"/>
      <c r="O168" s="3054"/>
      <c r="P168" s="3053"/>
      <c r="Q168" s="3053"/>
      <c r="R168" s="3055"/>
    </row>
    <row r="169" s="3048" customFormat="1" spans="2:18">
      <c r="B169" s="3053"/>
      <c r="C169" s="3053"/>
      <c r="D169" s="3053"/>
      <c r="E169" s="3053"/>
      <c r="F169" s="3053"/>
      <c r="G169" s="3054"/>
      <c r="H169" s="3053"/>
      <c r="I169" s="3054"/>
      <c r="J169" s="3053"/>
      <c r="K169" s="3053"/>
      <c r="L169" s="3054"/>
      <c r="M169" s="3053"/>
      <c r="N169" s="3053"/>
      <c r="O169" s="3054"/>
      <c r="P169" s="3053"/>
      <c r="Q169" s="3053"/>
      <c r="R169" s="3055"/>
    </row>
    <row r="170" s="3048" customFormat="1" spans="2:18">
      <c r="B170" s="3053"/>
      <c r="C170" s="3053"/>
      <c r="D170" s="3053"/>
      <c r="E170" s="3053"/>
      <c r="F170" s="3053"/>
      <c r="G170" s="3054"/>
      <c r="H170" s="3053"/>
      <c r="I170" s="3054"/>
      <c r="J170" s="3053"/>
      <c r="K170" s="3053"/>
      <c r="L170" s="3054"/>
      <c r="M170" s="3053"/>
      <c r="N170" s="3053"/>
      <c r="O170" s="3054"/>
      <c r="P170" s="3053"/>
      <c r="Q170" s="3053"/>
      <c r="R170" s="3055"/>
    </row>
    <row r="171" s="3048" customFormat="1" spans="2:18">
      <c r="B171" s="3053"/>
      <c r="C171" s="3053"/>
      <c r="D171" s="3053"/>
      <c r="E171" s="3053"/>
      <c r="F171" s="3053"/>
      <c r="G171" s="3054"/>
      <c r="H171" s="3053"/>
      <c r="I171" s="3054"/>
      <c r="J171" s="3053"/>
      <c r="K171" s="3053"/>
      <c r="L171" s="3054"/>
      <c r="M171" s="3053"/>
      <c r="N171" s="3053"/>
      <c r="O171" s="3054"/>
      <c r="P171" s="3053"/>
      <c r="Q171" s="3053"/>
      <c r="R171" s="3055"/>
    </row>
    <row r="172" s="3048" customFormat="1" spans="2:18">
      <c r="B172" s="3053"/>
      <c r="C172" s="3053"/>
      <c r="D172" s="3053"/>
      <c r="E172" s="3053"/>
      <c r="F172" s="3053"/>
      <c r="G172" s="3054"/>
      <c r="H172" s="3053"/>
      <c r="I172" s="3054"/>
      <c r="J172" s="3053"/>
      <c r="K172" s="3053"/>
      <c r="L172" s="3054"/>
      <c r="M172" s="3053"/>
      <c r="N172" s="3053"/>
      <c r="O172" s="3054"/>
      <c r="P172" s="3053"/>
      <c r="Q172" s="3053"/>
      <c r="R172" s="3055"/>
    </row>
    <row r="173" s="3048" customFormat="1" spans="2:18">
      <c r="B173" s="3053"/>
      <c r="C173" s="3053"/>
      <c r="D173" s="3053"/>
      <c r="E173" s="3053"/>
      <c r="F173" s="3053"/>
      <c r="G173" s="3054"/>
      <c r="H173" s="3053"/>
      <c r="I173" s="3054"/>
      <c r="J173" s="3053"/>
      <c r="K173" s="3053"/>
      <c r="L173" s="3054"/>
      <c r="M173" s="3053"/>
      <c r="N173" s="3053"/>
      <c r="O173" s="3054"/>
      <c r="P173" s="3053"/>
      <c r="Q173" s="3053"/>
      <c r="R173" s="3055"/>
    </row>
    <row r="174" s="3048" customFormat="1" spans="2:18">
      <c r="B174" s="3053"/>
      <c r="C174" s="3053"/>
      <c r="D174" s="3053"/>
      <c r="E174" s="3053"/>
      <c r="F174" s="3053"/>
      <c r="G174" s="3054"/>
      <c r="H174" s="3053"/>
      <c r="I174" s="3054"/>
      <c r="J174" s="3053"/>
      <c r="K174" s="3053"/>
      <c r="L174" s="3054"/>
      <c r="M174" s="3053"/>
      <c r="N174" s="3053"/>
      <c r="O174" s="3054"/>
      <c r="P174" s="3053"/>
      <c r="Q174" s="3053"/>
      <c r="R174" s="3055"/>
    </row>
    <row r="175" s="3048" customFormat="1" spans="2:18">
      <c r="B175" s="3053"/>
      <c r="C175" s="3053"/>
      <c r="D175" s="3053"/>
      <c r="E175" s="3053"/>
      <c r="F175" s="3053"/>
      <c r="G175" s="3054"/>
      <c r="H175" s="3053"/>
      <c r="I175" s="3054"/>
      <c r="J175" s="3053"/>
      <c r="K175" s="3053"/>
      <c r="L175" s="3054"/>
      <c r="M175" s="3053"/>
      <c r="N175" s="3053"/>
      <c r="O175" s="3054"/>
      <c r="P175" s="3053"/>
      <c r="Q175" s="3053"/>
      <c r="R175" s="3055"/>
    </row>
    <row r="176" s="3048" customFormat="1" spans="2:18">
      <c r="B176" s="3053"/>
      <c r="C176" s="3053"/>
      <c r="D176" s="3053"/>
      <c r="E176" s="3053"/>
      <c r="F176" s="3053"/>
      <c r="G176" s="3054"/>
      <c r="H176" s="3053"/>
      <c r="I176" s="3054"/>
      <c r="J176" s="3053"/>
      <c r="K176" s="3053"/>
      <c r="L176" s="3054"/>
      <c r="M176" s="3053"/>
      <c r="N176" s="3053"/>
      <c r="O176" s="3054"/>
      <c r="P176" s="3053"/>
      <c r="Q176" s="3053"/>
      <c r="R176" s="3055"/>
    </row>
    <row r="177" s="3048" customFormat="1" spans="2:18">
      <c r="B177" s="3053"/>
      <c r="C177" s="3053"/>
      <c r="D177" s="3053"/>
      <c r="E177" s="3053"/>
      <c r="F177" s="3053"/>
      <c r="G177" s="3054"/>
      <c r="H177" s="3053"/>
      <c r="I177" s="3054"/>
      <c r="J177" s="3053"/>
      <c r="K177" s="3053"/>
      <c r="L177" s="3054"/>
      <c r="M177" s="3053"/>
      <c r="N177" s="3053"/>
      <c r="O177" s="3054"/>
      <c r="P177" s="3053"/>
      <c r="Q177" s="3053"/>
      <c r="R177" s="3055"/>
    </row>
    <row r="178" s="3048" customFormat="1" spans="2:18">
      <c r="B178" s="3053"/>
      <c r="C178" s="3053"/>
      <c r="D178" s="3053"/>
      <c r="E178" s="3053"/>
      <c r="F178" s="3053"/>
      <c r="G178" s="3054"/>
      <c r="H178" s="3053"/>
      <c r="I178" s="3054"/>
      <c r="J178" s="3053"/>
      <c r="K178" s="3053"/>
      <c r="L178" s="3054"/>
      <c r="M178" s="3053"/>
      <c r="N178" s="3053"/>
      <c r="O178" s="3054"/>
      <c r="P178" s="3053"/>
      <c r="Q178" s="3053"/>
      <c r="R178" s="3055"/>
    </row>
    <row r="179" s="3048" customFormat="1" spans="2:18">
      <c r="B179" s="3053"/>
      <c r="C179" s="3053"/>
      <c r="D179" s="3053"/>
      <c r="E179" s="3053"/>
      <c r="F179" s="3053"/>
      <c r="G179" s="3054"/>
      <c r="H179" s="3053"/>
      <c r="I179" s="3054"/>
      <c r="J179" s="3053"/>
      <c r="K179" s="3053"/>
      <c r="L179" s="3054"/>
      <c r="M179" s="3053"/>
      <c r="N179" s="3053"/>
      <c r="O179" s="3054"/>
      <c r="P179" s="3053"/>
      <c r="Q179" s="3053"/>
      <c r="R179" s="3055"/>
    </row>
    <row r="180" s="3048" customFormat="1" spans="2:18">
      <c r="B180" s="3053"/>
      <c r="C180" s="3053"/>
      <c r="D180" s="3053"/>
      <c r="E180" s="3053"/>
      <c r="F180" s="3053"/>
      <c r="G180" s="3054"/>
      <c r="H180" s="3053"/>
      <c r="I180" s="3054"/>
      <c r="J180" s="3053"/>
      <c r="K180" s="3053"/>
      <c r="L180" s="3054"/>
      <c r="M180" s="3053"/>
      <c r="N180" s="3053"/>
      <c r="O180" s="3054"/>
      <c r="P180" s="3053"/>
      <c r="Q180" s="3053"/>
      <c r="R180" s="3055"/>
    </row>
    <row r="181" s="3048" customFormat="1" spans="2:18">
      <c r="B181" s="3053"/>
      <c r="C181" s="3053"/>
      <c r="D181" s="3053"/>
      <c r="E181" s="3053"/>
      <c r="F181" s="3053"/>
      <c r="G181" s="3054"/>
      <c r="H181" s="3053"/>
      <c r="I181" s="3054"/>
      <c r="J181" s="3053"/>
      <c r="K181" s="3053"/>
      <c r="L181" s="3054"/>
      <c r="M181" s="3053"/>
      <c r="N181" s="3053"/>
      <c r="O181" s="3054"/>
      <c r="P181" s="3053"/>
      <c r="Q181" s="3053"/>
      <c r="R181" s="3055"/>
    </row>
    <row r="182" s="3048" customFormat="1" spans="2:18">
      <c r="B182" s="3053"/>
      <c r="C182" s="3053"/>
      <c r="D182" s="3053"/>
      <c r="E182" s="3053"/>
      <c r="F182" s="3053"/>
      <c r="G182" s="3054"/>
      <c r="H182" s="3053"/>
      <c r="I182" s="3054"/>
      <c r="J182" s="3053"/>
      <c r="K182" s="3053"/>
      <c r="L182" s="3054"/>
      <c r="M182" s="3053"/>
      <c r="N182" s="3053"/>
      <c r="O182" s="3054"/>
      <c r="P182" s="3053"/>
      <c r="Q182" s="3053"/>
      <c r="R182" s="3055"/>
    </row>
    <row r="183" s="3048" customFormat="1" spans="2:18">
      <c r="B183" s="3053"/>
      <c r="C183" s="3053"/>
      <c r="D183" s="3053"/>
      <c r="E183" s="3053"/>
      <c r="F183" s="3053"/>
      <c r="G183" s="3054"/>
      <c r="H183" s="3053"/>
      <c r="I183" s="3054"/>
      <c r="J183" s="3053"/>
      <c r="K183" s="3053"/>
      <c r="L183" s="3054"/>
      <c r="M183" s="3053"/>
      <c r="N183" s="3053"/>
      <c r="O183" s="3054"/>
      <c r="P183" s="3053"/>
      <c r="Q183" s="3053"/>
      <c r="R183" s="3055"/>
    </row>
    <row r="184" s="3048" customFormat="1" spans="2:18">
      <c r="B184" s="3053"/>
      <c r="C184" s="3053"/>
      <c r="D184" s="3053"/>
      <c r="E184" s="3053"/>
      <c r="F184" s="3053"/>
      <c r="G184" s="3054"/>
      <c r="H184" s="3053"/>
      <c r="I184" s="3054"/>
      <c r="J184" s="3053"/>
      <c r="K184" s="3053"/>
      <c r="L184" s="3054"/>
      <c r="M184" s="3053"/>
      <c r="N184" s="3053"/>
      <c r="O184" s="3054"/>
      <c r="P184" s="3053"/>
      <c r="Q184" s="3053"/>
      <c r="R184" s="3055"/>
    </row>
    <row r="185" s="3048" customFormat="1" spans="2:18">
      <c r="B185" s="3053"/>
      <c r="C185" s="3053"/>
      <c r="D185" s="3053"/>
      <c r="E185" s="3053"/>
      <c r="F185" s="3053"/>
      <c r="G185" s="3054"/>
      <c r="H185" s="3053"/>
      <c r="I185" s="3054"/>
      <c r="J185" s="3053"/>
      <c r="K185" s="3053"/>
      <c r="L185" s="3054"/>
      <c r="M185" s="3053"/>
      <c r="N185" s="3053"/>
      <c r="O185" s="3054"/>
      <c r="P185" s="3053"/>
      <c r="Q185" s="3053"/>
      <c r="R185" s="3055"/>
    </row>
    <row r="186" spans="1:7">
      <c r="A186" s="3048"/>
      <c r="B186" s="3053"/>
      <c r="C186" s="3053"/>
      <c r="E186" s="3053"/>
      <c r="F186" s="3053"/>
      <c r="G186" s="3054"/>
    </row>
    <row r="187" spans="1:7">
      <c r="A187" s="3048"/>
      <c r="B187" s="3053"/>
      <c r="C187" s="3053"/>
      <c r="E187" s="3053"/>
      <c r="F187" s="3053"/>
      <c r="G187" s="3054"/>
    </row>
  </sheetData>
  <sheetProtection password="CEE9" sheet="1" formatCells="0" formatColumns="0" formatRows="0" objects="1" scenarios="1"/>
  <mergeCells count="1">
    <mergeCell ref="A1:G1"/>
  </mergeCells>
  <dataValidations count="1">
    <dataValidation type="list" allowBlank="1" showInputMessage="1" showErrorMessage="1" sqref="G21 C23">
      <formula1>临街状况</formula1>
    </dataValidation>
  </dataValidations>
  <pageMargins left="0.7" right="0.7" top="0.75" bottom="0.75" header="0.3" footer="0.3"/>
  <pageSetup paperSize="9" scale="65" fitToHeight="0" orientation="portrait"/>
  <headerFooter/>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I23"/>
  <sheetViews>
    <sheetView view="pageBreakPreview" zoomScaleNormal="100" topLeftCell="C1" workbookViewId="0">
      <selection activeCell="J34" sqref="J34"/>
    </sheetView>
  </sheetViews>
  <sheetFormatPr defaultColWidth="14.625" defaultRowHeight="13.5"/>
  <cols>
    <col min="1" max="1" width="24.375" style="3030" customWidth="1"/>
    <col min="2" max="16384" width="14.625" style="3030"/>
  </cols>
  <sheetData>
    <row r="1" ht="16.5" spans="1:7">
      <c r="A1" s="3031" t="s">
        <v>577</v>
      </c>
      <c r="B1" s="3031">
        <f>SUM(B14:B23)</f>
        <v>246.59</v>
      </c>
      <c r="C1" s="3032"/>
      <c r="D1" s="3032"/>
      <c r="E1" s="3032"/>
      <c r="F1" s="3032"/>
      <c r="G1" s="3033"/>
    </row>
    <row r="2" ht="16.5" spans="1:7">
      <c r="A2" s="3031" t="s">
        <v>578</v>
      </c>
      <c r="B2" s="3031">
        <f>SUM(C14:C23)</f>
        <v>0</v>
      </c>
      <c r="C2" s="3032"/>
      <c r="D2" s="3032"/>
      <c r="E2" s="3032"/>
      <c r="F2" s="3032"/>
      <c r="G2" s="3033"/>
    </row>
    <row r="3" ht="16.5" spans="1:7">
      <c r="A3" s="3031" t="s">
        <v>579</v>
      </c>
      <c r="B3" s="3034">
        <f>项目基本情况!D2</f>
        <v>44567</v>
      </c>
      <c r="C3" s="3032"/>
      <c r="D3" s="3032"/>
      <c r="E3" s="3032"/>
      <c r="F3" s="3032"/>
      <c r="G3" s="3033"/>
    </row>
    <row r="4" ht="33" spans="1:7">
      <c r="A4" s="3031" t="s">
        <v>580</v>
      </c>
      <c r="B4" s="3031" t="s">
        <v>581</v>
      </c>
      <c r="C4" s="3031" t="s">
        <v>582</v>
      </c>
      <c r="D4" s="3031" t="s">
        <v>583</v>
      </c>
      <c r="E4" s="3032"/>
      <c r="F4" s="3033"/>
      <c r="G4" s="3033"/>
    </row>
    <row r="5" ht="16.5" spans="1:7">
      <c r="A5" s="3031" t="s">
        <v>584</v>
      </c>
      <c r="B5" s="3031">
        <f ca="1">SUM(D14:D23)</f>
        <v>1907.5709</v>
      </c>
      <c r="C5" s="3031">
        <f ca="1">ROUND(B5*10000/$B$1,0)</f>
        <v>77358</v>
      </c>
      <c r="D5" s="3031" t="e">
        <f ca="1">ROUND(B5*10000/$B$2,0)</f>
        <v>#DIV/0!</v>
      </c>
      <c r="E5" s="3032"/>
      <c r="F5" s="3033"/>
      <c r="G5" s="3033"/>
    </row>
    <row r="6" ht="16.5" spans="1:7">
      <c r="A6" s="3031" t="s">
        <v>585</v>
      </c>
      <c r="B6" s="3031">
        <f>SUM(G14:G23)</f>
        <v>0</v>
      </c>
      <c r="C6" s="3031">
        <f t="shared" ref="C6:C8" si="0">ROUND(B6*10000/$B$1,0)</f>
        <v>0</v>
      </c>
      <c r="D6" s="3031" t="e">
        <f t="shared" ref="D6:D8" si="1">ROUND(B6*10000/$B$2,0)</f>
        <v>#DIV/0!</v>
      </c>
      <c r="E6" s="3032"/>
      <c r="F6" s="3033"/>
      <c r="G6" s="3033"/>
    </row>
    <row r="7" ht="16.5" spans="1:7">
      <c r="A7" s="3031" t="s">
        <v>586</v>
      </c>
      <c r="B7" s="3031" t="e">
        <f ca="1">SUM(H14:H23)</f>
        <v>#VALUE!</v>
      </c>
      <c r="C7" s="3031" t="e">
        <f ca="1">ROUND(B7*10000/$B$1,0)</f>
        <v>#VALUE!</v>
      </c>
      <c r="D7" s="3031" t="e">
        <f ca="1" t="shared" si="1"/>
        <v>#VALUE!</v>
      </c>
      <c r="E7" s="3032"/>
      <c r="F7" s="3033"/>
      <c r="G7" s="3033"/>
    </row>
    <row r="8" ht="16.5" spans="1:7">
      <c r="A8" s="3031" t="s">
        <v>587</v>
      </c>
      <c r="B8" s="3031" t="e">
        <f ca="1">SUM(I14:I23)</f>
        <v>#VALUE!</v>
      </c>
      <c r="C8" s="3031" t="e">
        <f ca="1" t="shared" si="0"/>
        <v>#VALUE!</v>
      </c>
      <c r="D8" s="3031" t="e">
        <f ca="1" t="shared" si="1"/>
        <v>#VALUE!</v>
      </c>
      <c r="E8" s="3032"/>
      <c r="F8" s="3033"/>
      <c r="G8" s="3033"/>
    </row>
    <row r="9" ht="16.5" spans="1:7">
      <c r="A9" s="3031" t="s">
        <v>588</v>
      </c>
      <c r="B9" s="3035"/>
      <c r="C9" s="3032"/>
      <c r="D9" s="3032"/>
      <c r="E9" s="3032"/>
      <c r="F9" s="3033"/>
      <c r="G9" s="3033"/>
    </row>
    <row r="10" ht="16.5" spans="1:7">
      <c r="A10" s="3031" t="s">
        <v>589</v>
      </c>
      <c r="B10" s="3035"/>
      <c r="C10" s="3032"/>
      <c r="D10" s="3032"/>
      <c r="E10" s="3032"/>
      <c r="F10" s="3033"/>
      <c r="G10" s="3033"/>
    </row>
    <row r="11" ht="16.5" spans="1:7">
      <c r="A11" s="3031" t="s">
        <v>590</v>
      </c>
      <c r="B11" s="3035"/>
      <c r="C11" s="3032"/>
      <c r="D11" s="3032"/>
      <c r="E11" s="3032"/>
      <c r="F11" s="3033"/>
      <c r="G11" s="3033"/>
    </row>
    <row r="12" ht="16.5" spans="1:7">
      <c r="A12" s="3032"/>
      <c r="B12" s="3032"/>
      <c r="C12" s="3032"/>
      <c r="D12" s="3032"/>
      <c r="E12" s="3032"/>
      <c r="F12" s="3033"/>
      <c r="G12" s="3033"/>
    </row>
    <row r="13" ht="33" spans="1:9">
      <c r="A13" s="3036" t="s">
        <v>591</v>
      </c>
      <c r="B13" s="3037" t="s">
        <v>577</v>
      </c>
      <c r="C13" s="3037" t="s">
        <v>578</v>
      </c>
      <c r="D13" s="3037" t="s">
        <v>592</v>
      </c>
      <c r="E13" s="3031" t="s">
        <v>582</v>
      </c>
      <c r="F13" s="3031" t="s">
        <v>583</v>
      </c>
      <c r="G13" s="3037" t="s">
        <v>593</v>
      </c>
      <c r="H13" s="3037" t="s">
        <v>594</v>
      </c>
      <c r="I13" s="3037" t="s">
        <v>595</v>
      </c>
    </row>
    <row r="14" ht="16.5" spans="1:9">
      <c r="A14" s="3038" t="s">
        <v>596</v>
      </c>
      <c r="B14" s="3039">
        <f>'数据-取费表'!B5</f>
        <v>246.59</v>
      </c>
      <c r="C14" s="3039">
        <f>项目基本情况!C13</f>
        <v>0</v>
      </c>
      <c r="D14" s="3039">
        <f ca="1">ROUND(E14*B14/10000,4)</f>
        <v>1907.5709</v>
      </c>
      <c r="E14" s="3039">
        <f ca="1">'结果表 (1修多)'!G20</f>
        <v>77358</v>
      </c>
      <c r="F14" s="3039" t="e">
        <f ca="1">ROUND(D14*10000/C14,0)</f>
        <v>#DIV/0!</v>
      </c>
      <c r="G14" s="3039"/>
      <c r="H14" s="3039" t="e">
        <f ca="1">IF('数据-取费表'!B3="万元",IF(A14="估价对象1（结果表）",结果表!D127,'结果表 (1修多)'!D131),IF(A14="估价对象1（结果表）",结果表!D127,'结果表 (1修多)'!D131)/10000)</f>
        <v>#VALUE!</v>
      </c>
      <c r="I14" s="3039" t="e">
        <f ca="1">IF('数据-取费表'!B3="万元",IF(A14="估价对象1（结果表）",结果表!D129,'结果表 (1修多)'!D133),IF(A14="估价对象1（结果表）",结果表!D129,'结果表 (1修多)'!D133)/10000)</f>
        <v>#VALUE!</v>
      </c>
    </row>
    <row r="15" ht="16.5" spans="1:9">
      <c r="A15" s="3040" t="s">
        <v>597</v>
      </c>
      <c r="B15" s="3041"/>
      <c r="C15" s="3041"/>
      <c r="D15" s="3041"/>
      <c r="E15" s="3039" t="e">
        <f t="shared" ref="E15:E23" si="2">ROUND(D15*10000/B15,0)</f>
        <v>#DIV/0!</v>
      </c>
      <c r="F15" s="3039" t="e">
        <f t="shared" ref="F15:F23" si="3">ROUND(D15*10000/C15,0)</f>
        <v>#DIV/0!</v>
      </c>
      <c r="G15" s="3042"/>
      <c r="H15" s="3042"/>
      <c r="I15" s="3041"/>
    </row>
    <row r="16" ht="16.5" spans="1:9">
      <c r="A16" s="3040" t="s">
        <v>598</v>
      </c>
      <c r="B16" s="3041"/>
      <c r="C16" s="3041"/>
      <c r="D16" s="3041"/>
      <c r="E16" s="3039" t="e">
        <f t="shared" si="2"/>
        <v>#DIV/0!</v>
      </c>
      <c r="F16" s="3039" t="e">
        <f t="shared" si="3"/>
        <v>#DIV/0!</v>
      </c>
      <c r="G16" s="3042"/>
      <c r="H16" s="3042"/>
      <c r="I16" s="3041"/>
    </row>
    <row r="17" ht="16.5" spans="1:9">
      <c r="A17" s="3040" t="s">
        <v>599</v>
      </c>
      <c r="B17" s="3041"/>
      <c r="C17" s="3041"/>
      <c r="D17" s="3041"/>
      <c r="E17" s="3039" t="e">
        <f t="shared" si="2"/>
        <v>#DIV/0!</v>
      </c>
      <c r="F17" s="3039" t="e">
        <f t="shared" si="3"/>
        <v>#DIV/0!</v>
      </c>
      <c r="G17" s="3042"/>
      <c r="H17" s="3042"/>
      <c r="I17" s="3041"/>
    </row>
    <row r="18" ht="16.5" spans="1:9">
      <c r="A18" s="3040" t="s">
        <v>600</v>
      </c>
      <c r="B18" s="3041"/>
      <c r="C18" s="3041"/>
      <c r="D18" s="3041"/>
      <c r="E18" s="3039" t="e">
        <f t="shared" si="2"/>
        <v>#DIV/0!</v>
      </c>
      <c r="F18" s="3039" t="e">
        <f t="shared" si="3"/>
        <v>#DIV/0!</v>
      </c>
      <c r="G18" s="3041"/>
      <c r="H18" s="3041"/>
      <c r="I18" s="3041"/>
    </row>
    <row r="19" ht="16.5" spans="1:9">
      <c r="A19" s="3040" t="s">
        <v>601</v>
      </c>
      <c r="B19" s="3041"/>
      <c r="C19" s="3041"/>
      <c r="D19" s="3041"/>
      <c r="E19" s="3039" t="e">
        <f t="shared" si="2"/>
        <v>#DIV/0!</v>
      </c>
      <c r="F19" s="3039" t="e">
        <f t="shared" si="3"/>
        <v>#DIV/0!</v>
      </c>
      <c r="G19" s="3041"/>
      <c r="H19" s="3041"/>
      <c r="I19" s="3041"/>
    </row>
    <row r="20" ht="16.5" spans="1:9">
      <c r="A20" s="3040" t="s">
        <v>602</v>
      </c>
      <c r="B20" s="3041"/>
      <c r="C20" s="3041"/>
      <c r="D20" s="3041"/>
      <c r="E20" s="3039" t="e">
        <f t="shared" si="2"/>
        <v>#DIV/0!</v>
      </c>
      <c r="F20" s="3039" t="e">
        <f t="shared" si="3"/>
        <v>#DIV/0!</v>
      </c>
      <c r="G20" s="3041"/>
      <c r="H20" s="3041"/>
      <c r="I20" s="3041"/>
    </row>
    <row r="21" ht="16.5" spans="1:9">
      <c r="A21" s="3040" t="s">
        <v>603</v>
      </c>
      <c r="B21" s="3041"/>
      <c r="C21" s="3041"/>
      <c r="D21" s="3041"/>
      <c r="E21" s="3039" t="e">
        <f t="shared" si="2"/>
        <v>#DIV/0!</v>
      </c>
      <c r="F21" s="3039" t="e">
        <f t="shared" si="3"/>
        <v>#DIV/0!</v>
      </c>
      <c r="G21" s="3041"/>
      <c r="H21" s="3041"/>
      <c r="I21" s="3041"/>
    </row>
    <row r="22" ht="16.5" spans="1:9">
      <c r="A22" s="3040" t="s">
        <v>604</v>
      </c>
      <c r="B22" s="3041"/>
      <c r="C22" s="3041"/>
      <c r="D22" s="3041"/>
      <c r="E22" s="3039" t="e">
        <f t="shared" si="2"/>
        <v>#DIV/0!</v>
      </c>
      <c r="F22" s="3039" t="e">
        <f t="shared" si="3"/>
        <v>#DIV/0!</v>
      </c>
      <c r="G22" s="3041"/>
      <c r="H22" s="3041"/>
      <c r="I22" s="3041"/>
    </row>
    <row r="23" ht="16.5" spans="1:9">
      <c r="A23" s="3040" t="s">
        <v>605</v>
      </c>
      <c r="B23" s="3041"/>
      <c r="C23" s="3041"/>
      <c r="D23" s="3041"/>
      <c r="E23" s="3043" t="e">
        <f t="shared" si="2"/>
        <v>#DIV/0!</v>
      </c>
      <c r="F23" s="3043" t="e">
        <f t="shared" si="3"/>
        <v>#DIV/0!</v>
      </c>
      <c r="G23" s="3041"/>
      <c r="H23" s="3041"/>
      <c r="I23" s="3041"/>
    </row>
  </sheetData>
  <sheetProtection password="CEE9" sheet="1" formatCells="0" formatColumns="0" formatRows="0" objects="1" scenarios="1"/>
  <dataValidations count="1">
    <dataValidation type="list" allowBlank="1" showInputMessage="1" showErrorMessage="1" sqref="A14">
      <formula1>"估价对象1（结果表）,估价对象1（结果表1修多）"</formula1>
    </dataValidation>
  </dataValidations>
  <pageMargins left="0.7" right="0.7" top="0.75" bottom="0.75" header="0.3" footer="0.3"/>
  <pageSetup paperSize="9" scale="94" orientation="landscape"/>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
    <tabColor rgb="FFFF0000"/>
  </sheetPr>
  <dimension ref="A1:AJ516"/>
  <sheetViews>
    <sheetView view="pageBreakPreview" zoomScale="80" zoomScalePageLayoutView="80" zoomScaleNormal="100" workbookViewId="0">
      <selection activeCell="D19" sqref="D19"/>
    </sheetView>
  </sheetViews>
  <sheetFormatPr defaultColWidth="12.625" defaultRowHeight="21.75" customHeight="1"/>
  <cols>
    <col min="1" max="2" width="12.625" style="2572"/>
    <col min="3" max="4" width="12.625" style="2572" customWidth="1"/>
    <col min="5" max="9" width="12.625" style="2572"/>
    <col min="10" max="10" width="3.625" style="2573" customWidth="1"/>
    <col min="11" max="12" width="12.625" style="1712" customWidth="1"/>
    <col min="13" max="13" width="12.625" style="1712"/>
    <col min="14" max="14" width="14.125" style="1712" customWidth="1"/>
    <col min="15" max="27" width="12.625" style="1712"/>
    <col min="28" max="36" width="12.625" style="2571"/>
    <col min="37" max="16384" width="12.625" style="2572"/>
  </cols>
  <sheetData>
    <row r="1" customHeight="1" spans="1:9">
      <c r="A1" s="2574" t="s">
        <v>606</v>
      </c>
      <c r="B1" s="2575"/>
      <c r="C1" s="2575"/>
      <c r="D1" s="2575"/>
      <c r="E1" s="2575"/>
      <c r="F1" s="2575"/>
      <c r="G1" s="2575"/>
      <c r="H1" s="2575"/>
      <c r="I1" s="2575"/>
    </row>
    <row r="2" customHeight="1" spans="1:10">
      <c r="A2" s="2941" t="str">
        <f>项目基本情况!B1</f>
        <v>北京市预评估</v>
      </c>
      <c r="B2" s="2941"/>
      <c r="C2" s="2941"/>
      <c r="D2" s="2941"/>
      <c r="E2" s="2941"/>
      <c r="F2" s="2941"/>
      <c r="G2" s="2941"/>
      <c r="H2" s="2941"/>
      <c r="I2" s="2941"/>
      <c r="J2" s="2971"/>
    </row>
    <row r="3" ht="13.5" spans="1:10">
      <c r="A3" s="2577" t="s">
        <v>607</v>
      </c>
      <c r="B3" s="2128"/>
      <c r="C3" s="2128"/>
      <c r="D3" s="2128"/>
      <c r="E3" s="2128"/>
      <c r="F3" s="2128"/>
      <c r="G3" s="2128"/>
      <c r="H3" s="2128"/>
      <c r="I3" s="2128"/>
      <c r="J3" s="2709"/>
    </row>
    <row r="4" ht="14.25" spans="1:15">
      <c r="A4" s="2578" t="s">
        <v>608</v>
      </c>
      <c r="B4" s="2578" t="s">
        <v>609</v>
      </c>
      <c r="C4" s="2579" t="s">
        <v>610</v>
      </c>
      <c r="D4" s="2579" t="s">
        <v>610</v>
      </c>
      <c r="E4" s="2110" t="s">
        <v>611</v>
      </c>
      <c r="F4" s="2111"/>
      <c r="G4" s="2111"/>
      <c r="H4" s="2111"/>
      <c r="I4" s="2693"/>
      <c r="J4" s="2710"/>
      <c r="L4" s="2575" t="str">
        <f>IF(ISNUMBER(FIND("比较法",结果表!C4)),"比较法",IF(ISNUMBER(FIND("成本法",结果表!C4)),"成本法",IF(ISNUMBER(FIND("假设开发法",结果表!C4)),"假设开发法",IF(ISNUMBER(FIND("收益法",结果表!C4)),"收益法","基准地价系数修正法"))))</f>
        <v>基准地价系数修正法</v>
      </c>
      <c r="M4" s="2575" t="str">
        <f>IF(ISNUMBER(FIND("比较法",结果表!D4)),"比较法",IF(ISNUMBER(FIND("成本法",结果表!D4)),"成本法",IF(ISNUMBER(FIND("假设开发法",结果表!D4)),"假设开发法",IF(ISNUMBER(FIND("收益法",结果表!D4)),"收益法","基准地价系数修正法"))))</f>
        <v>基准地价系数修正法</v>
      </c>
      <c r="N4" s="2575"/>
      <c r="O4" s="2575"/>
    </row>
    <row r="5" ht="13.5" spans="1:10">
      <c r="A5" s="1294" t="s">
        <v>612</v>
      </c>
      <c r="B5" s="1294">
        <v>25</v>
      </c>
      <c r="C5" s="2580"/>
      <c r="D5" s="2581"/>
      <c r="E5" s="2191" t="s">
        <v>613</v>
      </c>
      <c r="F5" s="2111"/>
      <c r="G5" s="2111"/>
      <c r="H5" s="2111"/>
      <c r="I5" s="2693"/>
      <c r="J5" s="2710"/>
    </row>
    <row r="6" ht="13.5" spans="1:10">
      <c r="A6" s="1294"/>
      <c r="B6" s="1294"/>
      <c r="C6" s="2582"/>
      <c r="D6" s="2581"/>
      <c r="E6" s="2191" t="s">
        <v>614</v>
      </c>
      <c r="F6" s="2111"/>
      <c r="G6" s="2111"/>
      <c r="H6" s="2111"/>
      <c r="I6" s="2693"/>
      <c r="J6" s="2710"/>
    </row>
    <row r="7" ht="13.5" spans="1:10">
      <c r="A7" s="1294"/>
      <c r="B7" s="1294"/>
      <c r="C7" s="2583"/>
      <c r="D7" s="2581"/>
      <c r="E7" s="2191" t="s">
        <v>615</v>
      </c>
      <c r="F7" s="2111"/>
      <c r="G7" s="2111"/>
      <c r="H7" s="2111"/>
      <c r="I7" s="2693"/>
      <c r="J7" s="2710"/>
    </row>
    <row r="8" ht="13.5" spans="1:10">
      <c r="A8" s="1294" t="s">
        <v>616</v>
      </c>
      <c r="B8" s="1294">
        <v>15</v>
      </c>
      <c r="C8" s="2580"/>
      <c r="D8" s="2581"/>
      <c r="E8" s="2191" t="s">
        <v>617</v>
      </c>
      <c r="F8" s="2111"/>
      <c r="G8" s="2111"/>
      <c r="H8" s="2111"/>
      <c r="I8" s="2693"/>
      <c r="J8" s="2710"/>
    </row>
    <row r="9" ht="13.5" spans="1:10">
      <c r="A9" s="1294"/>
      <c r="B9" s="1294"/>
      <c r="C9" s="2583"/>
      <c r="D9" s="2581"/>
      <c r="E9" s="2191" t="s">
        <v>618</v>
      </c>
      <c r="F9" s="2111"/>
      <c r="G9" s="2111"/>
      <c r="H9" s="2111"/>
      <c r="I9" s="2693"/>
      <c r="J9" s="2710"/>
    </row>
    <row r="10" ht="13.5" spans="1:10">
      <c r="A10" s="1294" t="s">
        <v>619</v>
      </c>
      <c r="B10" s="1294">
        <v>15</v>
      </c>
      <c r="C10" s="2580"/>
      <c r="D10" s="2581"/>
      <c r="E10" s="2191" t="s">
        <v>620</v>
      </c>
      <c r="F10" s="2111"/>
      <c r="G10" s="2111"/>
      <c r="H10" s="2111"/>
      <c r="I10" s="2693"/>
      <c r="J10" s="2710"/>
    </row>
    <row r="11" ht="13.5" spans="1:10">
      <c r="A11" s="1294"/>
      <c r="B11" s="1294"/>
      <c r="C11" s="2583"/>
      <c r="D11" s="2581"/>
      <c r="E11" s="2191" t="s">
        <v>621</v>
      </c>
      <c r="F11" s="2111"/>
      <c r="G11" s="2111"/>
      <c r="H11" s="2111"/>
      <c r="I11" s="2693"/>
      <c r="J11" s="2710"/>
    </row>
    <row r="12" ht="13.5" spans="1:10">
      <c r="A12" s="1294" t="s">
        <v>622</v>
      </c>
      <c r="B12" s="1294">
        <v>15</v>
      </c>
      <c r="C12" s="2580"/>
      <c r="D12" s="2581"/>
      <c r="E12" s="2191" t="s">
        <v>623</v>
      </c>
      <c r="F12" s="2111"/>
      <c r="G12" s="2111"/>
      <c r="H12" s="2111"/>
      <c r="I12" s="2693"/>
      <c r="J12" s="2710"/>
    </row>
    <row r="13" ht="13.5" spans="1:10">
      <c r="A13" s="1294"/>
      <c r="B13" s="1294"/>
      <c r="C13" s="2583"/>
      <c r="D13" s="2581"/>
      <c r="E13" s="2191" t="s">
        <v>624</v>
      </c>
      <c r="F13" s="2111"/>
      <c r="G13" s="2111"/>
      <c r="H13" s="2111"/>
      <c r="I13" s="2693"/>
      <c r="J13" s="2710"/>
    </row>
    <row r="14" ht="13.5" spans="1:10">
      <c r="A14" s="1294" t="s">
        <v>625</v>
      </c>
      <c r="B14" s="1294">
        <v>30</v>
      </c>
      <c r="C14" s="2580">
        <v>1</v>
      </c>
      <c r="D14" s="2581">
        <v>1</v>
      </c>
      <c r="E14" s="2191" t="s">
        <v>626</v>
      </c>
      <c r="F14" s="2111"/>
      <c r="G14" s="2111"/>
      <c r="H14" s="2111"/>
      <c r="I14" s="2693"/>
      <c r="J14" s="2710"/>
    </row>
    <row r="15" ht="13.5" spans="1:10">
      <c r="A15" s="1294"/>
      <c r="B15" s="1294"/>
      <c r="C15" s="2582"/>
      <c r="D15" s="2581"/>
      <c r="E15" s="2191" t="s">
        <v>627</v>
      </c>
      <c r="F15" s="2111"/>
      <c r="G15" s="2111"/>
      <c r="H15" s="2111"/>
      <c r="I15" s="2693"/>
      <c r="J15" s="2710"/>
    </row>
    <row r="16" ht="13.5" spans="1:10">
      <c r="A16" s="1294"/>
      <c r="B16" s="1294"/>
      <c r="C16" s="2583"/>
      <c r="D16" s="2581"/>
      <c r="E16" s="2191" t="s">
        <v>628</v>
      </c>
      <c r="F16" s="2111"/>
      <c r="G16" s="2111"/>
      <c r="H16" s="2111"/>
      <c r="I16" s="2693"/>
      <c r="J16" s="2710"/>
    </row>
    <row r="17" ht="14.25" spans="1:10">
      <c r="A17" s="2584" t="s">
        <v>629</v>
      </c>
      <c r="B17" s="1293"/>
      <c r="C17" s="2585">
        <f>SUM(C5:C16)</f>
        <v>1</v>
      </c>
      <c r="D17" s="2585">
        <f>SUM(D5:D16)</f>
        <v>1</v>
      </c>
      <c r="E17" s="2586"/>
      <c r="F17" s="2586"/>
      <c r="G17" s="2586"/>
      <c r="H17" s="2586"/>
      <c r="I17" s="2586"/>
      <c r="J17" s="2711"/>
    </row>
    <row r="18" ht="30" customHeight="1" spans="1:10">
      <c r="A18" s="2587" t="s">
        <v>630</v>
      </c>
      <c r="B18" s="2588"/>
      <c r="C18" s="2589">
        <f>ROUND(C17/SUM(C17:D17),2)</f>
        <v>0.5</v>
      </c>
      <c r="D18" s="2589">
        <f>1-C18</f>
        <v>0.5</v>
      </c>
      <c r="E18" s="2590" t="s">
        <v>631</v>
      </c>
      <c r="F18" s="2591"/>
      <c r="G18" s="2591"/>
      <c r="H18" s="2591"/>
      <c r="I18" s="2591"/>
      <c r="J18" s="2711"/>
    </row>
    <row r="19" ht="14.25" spans="1:10">
      <c r="A19" s="2592" t="s">
        <v>632</v>
      </c>
      <c r="B19" s="2593" t="s">
        <v>633</v>
      </c>
      <c r="C19" s="2594">
        <f ca="1">SUMIF(INDIRECT("'"&amp;C4&amp;"'"&amp;"!A:A"),结果表!B19,INDIRECT("'"&amp;C4&amp;"'"&amp;"!B:B"))</f>
        <v>38130532</v>
      </c>
      <c r="D19" s="2595">
        <f ca="1">SUMIF(INDIRECT("'"&amp;D4&amp;"'"&amp;"!A:A"),结果表!B19,INDIRECT("'"&amp;D4&amp;"'"&amp;"!B:B"))</f>
        <v>38130532</v>
      </c>
      <c r="E19" s="2592" t="s">
        <v>634</v>
      </c>
      <c r="F19" s="2593" t="s">
        <v>633</v>
      </c>
      <c r="G19" s="2596">
        <f ca="1">ROUND(C19*$C$18+D19*$D$18,0)</f>
        <v>38130532</v>
      </c>
      <c r="H19" s="2597" t="str">
        <f>'数据-取费表'!B3</f>
        <v>元</v>
      </c>
      <c r="I19" s="2972"/>
      <c r="J19" s="2973"/>
    </row>
    <row r="20" ht="15" spans="1:10">
      <c r="A20" s="2598"/>
      <c r="B20" s="1311" t="s">
        <v>635</v>
      </c>
      <c r="C20" s="1218">
        <f ca="1">SUMIF(INDIRECT("'"&amp;C4&amp;"'"&amp;"!A:A"),结果表!B20,INDIRECT("'"&amp;C4&amp;"'"&amp;"!B:B"))</f>
        <v>773580004</v>
      </c>
      <c r="D20" s="2356">
        <f ca="1">SUMIF(INDIRECT("'"&amp;D4&amp;"'"&amp;"!A:A"),结果表!B20,INDIRECT("'"&amp;D4&amp;"'"&amp;"!B:B"))</f>
        <v>773580004</v>
      </c>
      <c r="E20" s="2598"/>
      <c r="F20" s="1311" t="s">
        <v>635</v>
      </c>
      <c r="G20" s="1242">
        <f ca="1">ROUND(C20*$C$18+D20*$D$18,0)</f>
        <v>773580004</v>
      </c>
      <c r="H20" s="2599" t="s">
        <v>636</v>
      </c>
      <c r="I20" s="2586"/>
      <c r="J20" s="2711"/>
    </row>
    <row r="21" ht="15" customHeight="1" spans="1:10">
      <c r="A21" s="2600"/>
      <c r="B21" s="2601"/>
      <c r="C21" s="2601"/>
      <c r="D21" s="2602"/>
      <c r="E21" s="2600"/>
      <c r="F21" s="2601"/>
      <c r="G21" s="2603"/>
      <c r="H21" s="2604"/>
      <c r="I21" s="2586"/>
      <c r="J21" s="2711"/>
    </row>
    <row r="22" ht="15" spans="1:10">
      <c r="A22" s="2605" t="s">
        <v>637</v>
      </c>
      <c r="B22" s="2606"/>
      <c r="C22" s="2607"/>
      <c r="D22" s="2608">
        <f ca="1">IF(C19&lt;D19,D19/C19-1,C19/D19-1)</f>
        <v>0</v>
      </c>
      <c r="E22" s="2229"/>
      <c r="F22" s="2229"/>
      <c r="G22" s="2229"/>
      <c r="H22" s="2229"/>
      <c r="I22" s="2229"/>
      <c r="J22" s="2711"/>
    </row>
    <row r="23" ht="14.25" spans="1:10">
      <c r="A23" s="2586"/>
      <c r="B23" s="2586"/>
      <c r="C23" s="2586"/>
      <c r="D23" s="2586"/>
      <c r="E23" s="2229"/>
      <c r="F23" s="2229"/>
      <c r="G23" s="2229"/>
      <c r="H23" s="2229"/>
      <c r="I23" s="2229"/>
      <c r="J23" s="2711"/>
    </row>
    <row r="24" customHeight="1" spans="1:10">
      <c r="A24" s="1122" t="s">
        <v>638</v>
      </c>
      <c r="B24" s="2593" t="s">
        <v>633</v>
      </c>
      <c r="C24" s="2596">
        <f>D30</f>
        <v>0</v>
      </c>
      <c r="D24" s="2610"/>
      <c r="E24" s="2229"/>
      <c r="F24" s="2229"/>
      <c r="G24" s="2229"/>
      <c r="H24" s="2229"/>
      <c r="I24" s="2229"/>
      <c r="J24" s="2711"/>
    </row>
    <row r="25" customHeight="1" spans="1:10">
      <c r="A25" s="2611"/>
      <c r="B25" s="1311" t="s">
        <v>635</v>
      </c>
      <c r="C25" s="2612">
        <f>IF(B30=0,0,C30)</f>
        <v>0</v>
      </c>
      <c r="D25" s="2613"/>
      <c r="E25" s="2229"/>
      <c r="F25" s="2229"/>
      <c r="G25" s="2229"/>
      <c r="H25" s="2229"/>
      <c r="I25" s="2229"/>
      <c r="J25" s="2711"/>
    </row>
    <row r="26" ht="13.5" customHeight="1" spans="1:10">
      <c r="A26" s="2614" t="s">
        <v>639</v>
      </c>
      <c r="B26" s="2615" t="s">
        <v>640</v>
      </c>
      <c r="C26" s="2615" t="s">
        <v>641</v>
      </c>
      <c r="D26" s="2616" t="s">
        <v>642</v>
      </c>
      <c r="E26" s="2229"/>
      <c r="F26" s="2229"/>
      <c r="G26" s="2229"/>
      <c r="H26" s="2229"/>
      <c r="I26" s="2229"/>
      <c r="J26" s="2711"/>
    </row>
    <row r="27" ht="14.25" spans="1:10">
      <c r="A27" s="2617"/>
      <c r="B27" s="2615">
        <v>0</v>
      </c>
      <c r="C27" s="2615">
        <v>0</v>
      </c>
      <c r="D27" s="2616">
        <f>ROUND(C27*B27/10000,0)</f>
        <v>0</v>
      </c>
      <c r="E27" s="2229"/>
      <c r="F27" s="2229"/>
      <c r="G27" s="2229"/>
      <c r="H27" s="2229"/>
      <c r="I27" s="2229"/>
      <c r="J27" s="2711"/>
    </row>
    <row r="28" ht="14.25" spans="1:10">
      <c r="A28" s="2614"/>
      <c r="B28" s="2615"/>
      <c r="C28" s="2615"/>
      <c r="D28" s="2616">
        <f t="shared" ref="D28:D29" si="0">ROUND(C28*B28/10000,0)</f>
        <v>0</v>
      </c>
      <c r="E28" s="2229"/>
      <c r="F28" s="2229"/>
      <c r="G28" s="2229"/>
      <c r="H28" s="2229"/>
      <c r="I28" s="2229"/>
      <c r="J28" s="2711"/>
    </row>
    <row r="29" ht="14.25" spans="1:10">
      <c r="A29" s="2614"/>
      <c r="B29" s="2615"/>
      <c r="C29" s="2615"/>
      <c r="D29" s="2616">
        <f t="shared" si="0"/>
        <v>0</v>
      </c>
      <c r="E29" s="2229"/>
      <c r="F29" s="2229"/>
      <c r="G29" s="2229"/>
      <c r="H29" s="2229"/>
      <c r="I29" s="2229"/>
      <c r="J29" s="2711"/>
    </row>
    <row r="30" ht="15" spans="1:10">
      <c r="A30" s="2619" t="s">
        <v>643</v>
      </c>
      <c r="B30" s="2619"/>
      <c r="C30" s="2619"/>
      <c r="D30" s="2619"/>
      <c r="E30" s="2620" t="s">
        <v>644</v>
      </c>
      <c r="F30" s="2586"/>
      <c r="G30" s="2586"/>
      <c r="H30" s="2586"/>
      <c r="I30" s="2586"/>
      <c r="J30" s="2711"/>
    </row>
    <row r="31" s="2568" customFormat="1" ht="26.45" customHeight="1" spans="1:36">
      <c r="A31" s="2621"/>
      <c r="B31" s="2622"/>
      <c r="C31" s="2622"/>
      <c r="D31" s="2622"/>
      <c r="E31" s="2622"/>
      <c r="F31" s="2622"/>
      <c r="G31" s="2622"/>
      <c r="H31" s="2622"/>
      <c r="I31" s="2712" t="s">
        <v>645</v>
      </c>
      <c r="J31" s="2713"/>
      <c r="K31" s="2714"/>
      <c r="L31" s="2714"/>
      <c r="M31" s="2714"/>
      <c r="N31" s="2714"/>
      <c r="O31" s="2714"/>
      <c r="P31" s="2714"/>
      <c r="Q31" s="2714"/>
      <c r="R31" s="2714"/>
      <c r="S31" s="2714"/>
      <c r="T31" s="2714"/>
      <c r="U31" s="2714"/>
      <c r="V31" s="2714"/>
      <c r="W31" s="2714"/>
      <c r="X31" s="2714"/>
      <c r="Y31" s="2714"/>
      <c r="Z31" s="2714"/>
      <c r="AA31" s="2714"/>
      <c r="AB31" s="2759"/>
      <c r="AC31" s="2759"/>
      <c r="AD31" s="2759"/>
      <c r="AE31" s="2759"/>
      <c r="AF31" s="2759"/>
      <c r="AG31" s="2759"/>
      <c r="AH31" s="2759"/>
      <c r="AI31" s="2759"/>
      <c r="AJ31" s="2759"/>
    </row>
    <row r="32" s="2940" customFormat="1" ht="16.5" spans="1:36">
      <c r="A32" s="2942" t="s">
        <v>646</v>
      </c>
      <c r="B32" s="2943" t="str">
        <f>'数据-取费表'!B4</f>
        <v>楼面单价</v>
      </c>
      <c r="C32" s="2944">
        <f ca="1">IF(B32="总价",G19-C24,G20-C25)</f>
        <v>773580004</v>
      </c>
      <c r="D32" s="2945" t="str">
        <f>IF(B32="楼面单价","元/平方米",H19)</f>
        <v>元/平方米</v>
      </c>
      <c r="E32" s="2946"/>
      <c r="F32" s="2946"/>
      <c r="G32" s="2946"/>
      <c r="H32" s="2946"/>
      <c r="I32" s="2946"/>
      <c r="J32" s="2974"/>
      <c r="K32" s="2975"/>
      <c r="L32" s="2975"/>
      <c r="M32" s="2975"/>
      <c r="N32" s="2975"/>
      <c r="O32" s="2975"/>
      <c r="P32" s="2975"/>
      <c r="Q32" s="2975"/>
      <c r="R32" s="2975"/>
      <c r="S32" s="2975"/>
      <c r="T32" s="2975"/>
      <c r="U32" s="2975"/>
      <c r="V32" s="2975"/>
      <c r="W32" s="2975"/>
      <c r="X32" s="2975"/>
      <c r="Y32" s="2975"/>
      <c r="Z32" s="2975"/>
      <c r="AA32" s="2975"/>
      <c r="AB32" s="3010"/>
      <c r="AC32" s="3010"/>
      <c r="AD32" s="3010"/>
      <c r="AE32" s="3010"/>
      <c r="AF32" s="3010"/>
      <c r="AG32" s="3010"/>
      <c r="AH32" s="3010"/>
      <c r="AI32" s="3010"/>
      <c r="AJ32" s="3010"/>
    </row>
    <row r="33" ht="15" spans="1:10">
      <c r="A33" s="2947" t="s">
        <v>647</v>
      </c>
      <c r="B33" s="2113"/>
      <c r="C33" s="2948"/>
      <c r="D33" s="2949"/>
      <c r="E33" s="2950" t="s">
        <v>648</v>
      </c>
      <c r="F33" s="2951" t="str">
        <f>IF(B32="楼面单价","取值（单价）","取值（总价）")</f>
        <v>取值（单价）</v>
      </c>
      <c r="G33" s="2229"/>
      <c r="H33" s="2229"/>
      <c r="I33" s="2229"/>
      <c r="J33" s="2711"/>
    </row>
    <row r="34" ht="15" spans="1:10">
      <c r="A34" s="2952"/>
      <c r="B34" s="2953" t="s">
        <v>649</v>
      </c>
      <c r="C34" s="2954">
        <f ca="1">IF(D33="自定义",F34,C32-C35)</f>
        <v>691580524</v>
      </c>
      <c r="D34" s="2955">
        <f ca="1">IF(D33="自定义",ROUND(C34/C32,3),1-D35)</f>
        <v>0.894</v>
      </c>
      <c r="E34" s="2956" t="s">
        <v>650</v>
      </c>
      <c r="F34" s="2957">
        <v>2000</v>
      </c>
      <c r="G34" s="2229"/>
      <c r="H34" s="2229"/>
      <c r="I34" s="2229"/>
      <c r="J34" s="2711"/>
    </row>
    <row r="35" ht="15.75" spans="1:10">
      <c r="A35" s="2636"/>
      <c r="B35" s="2958" t="s">
        <v>651</v>
      </c>
      <c r="C35" s="2959">
        <f ca="1">IF(D33="自定义",F35,ROUND(C32*D35,0))</f>
        <v>81999480</v>
      </c>
      <c r="D35" s="2960">
        <f ca="1">IF(D33="自定义",ROUND(C35/C32,3),IF(D33="成本法成本比率",成本法!C56,IF(D33="收益法收益比率",收益法!J38,收益法!J41)))</f>
        <v>0.106</v>
      </c>
      <c r="E35" s="2961" t="s">
        <v>652</v>
      </c>
      <c r="F35" s="2657">
        <v>4460</v>
      </c>
      <c r="G35" s="2229"/>
      <c r="H35" s="2229"/>
      <c r="I35" s="2229"/>
      <c r="J35" s="2711"/>
    </row>
    <row r="36" ht="15.75" spans="1:10">
      <c r="A36" s="1122" t="s">
        <v>653</v>
      </c>
      <c r="B36" s="2634" t="s">
        <v>654</v>
      </c>
      <c r="C36" s="2639">
        <v>0</v>
      </c>
      <c r="D36" s="2640"/>
      <c r="E36" s="2641"/>
      <c r="F36" s="2641"/>
      <c r="G36" s="2229"/>
      <c r="H36" s="2229"/>
      <c r="I36" s="2229"/>
      <c r="J36" s="2711"/>
    </row>
    <row r="37" ht="15.75" spans="1:10">
      <c r="A37" s="1134"/>
      <c r="B37" s="1293" t="s">
        <v>655</v>
      </c>
      <c r="C37" s="2642">
        <v>0</v>
      </c>
      <c r="D37" s="2643"/>
      <c r="E37" s="2643"/>
      <c r="F37" s="2641"/>
      <c r="G37" s="2643"/>
      <c r="H37" s="2643"/>
      <c r="I37" s="2643"/>
      <c r="J37" s="2716"/>
    </row>
    <row r="38" ht="15.75" spans="1:10">
      <c r="A38" s="2644"/>
      <c r="B38" s="2637" t="s">
        <v>656</v>
      </c>
      <c r="C38" s="2645">
        <v>0</v>
      </c>
      <c r="D38" s="2646" t="s">
        <v>657</v>
      </c>
      <c r="E38" s="2643"/>
      <c r="F38" s="2641"/>
      <c r="G38" s="2643"/>
      <c r="H38" s="2643"/>
      <c r="I38" s="2643"/>
      <c r="J38" s="2716"/>
    </row>
    <row r="39" ht="14.25" spans="1:10">
      <c r="A39" s="2598" t="s">
        <v>658</v>
      </c>
      <c r="B39" s="2647" t="s">
        <v>640</v>
      </c>
      <c r="C39" s="2648" t="s">
        <v>641</v>
      </c>
      <c r="D39" s="2648" t="s">
        <v>659</v>
      </c>
      <c r="E39" s="2649" t="s">
        <v>642</v>
      </c>
      <c r="F39" s="2641"/>
      <c r="G39" s="2643"/>
      <c r="H39" s="2643"/>
      <c r="I39" s="2643"/>
      <c r="J39" s="2716"/>
    </row>
    <row r="40" ht="14.25" spans="1:10">
      <c r="A40" s="2650" t="s">
        <v>660</v>
      </c>
      <c r="B40" s="2651"/>
      <c r="C40" s="2652"/>
      <c r="D40" s="2652"/>
      <c r="E40" s="2653"/>
      <c r="F40" s="2641"/>
      <c r="G40" s="2643"/>
      <c r="H40" s="2643"/>
      <c r="I40" s="2643"/>
      <c r="J40" s="2716"/>
    </row>
    <row r="41" ht="14.25" spans="1:10">
      <c r="A41" s="2650" t="s">
        <v>661</v>
      </c>
      <c r="B41" s="2651"/>
      <c r="C41" s="2652"/>
      <c r="D41" s="2652"/>
      <c r="E41" s="2653"/>
      <c r="F41" s="2641"/>
      <c r="G41" s="2643"/>
      <c r="H41" s="2643"/>
      <c r="I41" s="2643"/>
      <c r="J41" s="2716"/>
    </row>
    <row r="42" ht="15" spans="1:10">
      <c r="A42" s="2654"/>
      <c r="B42" s="2655"/>
      <c r="C42" s="2656"/>
      <c r="D42" s="2656"/>
      <c r="E42" s="2657"/>
      <c r="F42" s="2641"/>
      <c r="G42" s="2643"/>
      <c r="H42" s="2643"/>
      <c r="I42" s="2643"/>
      <c r="J42" s="2716"/>
    </row>
    <row r="43" ht="13.5" spans="1:10">
      <c r="A43" s="2705"/>
      <c r="B43" s="2705"/>
      <c r="C43" s="2705"/>
      <c r="D43" s="2705"/>
      <c r="E43" s="2705"/>
      <c r="F43" s="2962"/>
      <c r="G43" s="2962"/>
      <c r="H43" s="2962"/>
      <c r="I43" s="2976"/>
      <c r="J43" s="2718"/>
    </row>
    <row r="44" ht="18.75" spans="1:17">
      <c r="A44" s="2660" t="s">
        <v>662</v>
      </c>
      <c r="B44" s="2661"/>
      <c r="C44" s="2661"/>
      <c r="D44" s="2963"/>
      <c r="E44" s="2963"/>
      <c r="F44" s="2964"/>
      <c r="G44" s="2964"/>
      <c r="H44" s="2964"/>
      <c r="I44" s="2719" t="s">
        <v>663</v>
      </c>
      <c r="J44" s="2977"/>
      <c r="K44" s="2721" t="s">
        <v>664</v>
      </c>
      <c r="L44" s="2722"/>
      <c r="M44" s="2722"/>
      <c r="N44" s="2722"/>
      <c r="O44" s="2722"/>
      <c r="P44" s="2722"/>
      <c r="Q44" s="2571"/>
    </row>
    <row r="45" ht="14.25" customHeight="1" spans="1:17">
      <c r="A45" s="2663" t="s">
        <v>665</v>
      </c>
      <c r="B45" s="2664"/>
      <c r="C45" s="2665"/>
      <c r="D45" s="2089">
        <f ca="1">ROUND(I102*F45,0)</f>
        <v>190757093186</v>
      </c>
      <c r="E45" s="2178" t="s">
        <v>666</v>
      </c>
      <c r="F45" s="2666">
        <v>1</v>
      </c>
      <c r="G45" s="2667" t="s">
        <v>667</v>
      </c>
      <c r="H45" s="2229"/>
      <c r="I45" s="2229"/>
      <c r="J45" s="2711"/>
      <c r="K45" s="2978" t="s">
        <v>668</v>
      </c>
      <c r="L45" s="2978"/>
      <c r="M45" s="2978"/>
      <c r="N45" s="2978"/>
      <c r="O45" s="2978"/>
      <c r="P45" s="2978"/>
      <c r="Q45" s="2571"/>
    </row>
    <row r="46" ht="14.25" customHeight="1" spans="1:17">
      <c r="A46" s="2668" t="s">
        <v>669</v>
      </c>
      <c r="B46" s="2669"/>
      <c r="C46" s="2669"/>
      <c r="D46" s="2669"/>
      <c r="E46" s="2669"/>
      <c r="F46" s="2669"/>
      <c r="G46" s="2670"/>
      <c r="H46" s="2671"/>
      <c r="I46" s="2229"/>
      <c r="J46" s="2711"/>
      <c r="K46" s="2979">
        <v>1</v>
      </c>
      <c r="L46" s="2980" t="s">
        <v>97</v>
      </c>
      <c r="M46" s="2980"/>
      <c r="N46" s="2981" t="str">
        <f>项目基本情况!B1</f>
        <v>北京市预评估</v>
      </c>
      <c r="O46" s="2981"/>
      <c r="P46" s="2981"/>
      <c r="Q46" s="2571"/>
    </row>
    <row r="47" ht="12" customHeight="1" spans="1:17">
      <c r="A47" s="2672" t="s">
        <v>670</v>
      </c>
      <c r="B47" s="2673"/>
      <c r="C47" s="2674"/>
      <c r="D47" s="2127" t="s">
        <v>671</v>
      </c>
      <c r="E47" s="2077" t="s">
        <v>672</v>
      </c>
      <c r="F47" s="2295" t="s">
        <v>673</v>
      </c>
      <c r="G47" s="2675" t="s">
        <v>674</v>
      </c>
      <c r="H47" s="2671"/>
      <c r="I47" s="2229"/>
      <c r="J47" s="2711"/>
      <c r="K47" s="2979">
        <v>2</v>
      </c>
      <c r="L47" s="2980" t="s">
        <v>675</v>
      </c>
      <c r="M47" s="2980"/>
      <c r="N47" s="2982">
        <f>'数据-取费表'!B2</f>
        <v>44567</v>
      </c>
      <c r="O47" s="2982"/>
      <c r="P47" s="2982"/>
      <c r="Q47" s="2571"/>
    </row>
    <row r="48" ht="24.75" spans="1:17">
      <c r="A48" s="2676" t="s">
        <v>676</v>
      </c>
      <c r="B48" s="2132"/>
      <c r="C48" s="2132"/>
      <c r="D48" s="2191">
        <f ca="1">IF(H48="情况1",0,IF(H48="情况2",D52,IF(H48="情况3",D53,IF(H48="情况4",D54))))</f>
        <v>10173711637</v>
      </c>
      <c r="E48" s="2132" t="str">
        <f>IF(H48="情况4","(销售额-原购置价)×税（费）率","销售额×税（费）率")</f>
        <v>销售额×税（费）率</v>
      </c>
      <c r="F48" s="2677">
        <f>IF(H48="情况1","免征",'数据-取费表'!E29)</f>
        <v>0.056</v>
      </c>
      <c r="G48" s="2678" t="s">
        <v>677</v>
      </c>
      <c r="H48" s="2679" t="s">
        <v>678</v>
      </c>
      <c r="I48" s="2671"/>
      <c r="J48" s="2728"/>
      <c r="K48" s="2979">
        <v>3</v>
      </c>
      <c r="L48" s="2980" t="s">
        <v>679</v>
      </c>
      <c r="M48" s="2980"/>
      <c r="N48" s="2981">
        <f ca="1">I102</f>
        <v>190757093186</v>
      </c>
      <c r="O48" s="2981"/>
      <c r="P48" s="2981"/>
      <c r="Q48" s="2571"/>
    </row>
    <row r="49" ht="25.5" customHeight="1" spans="1:17">
      <c r="A49" s="2676" t="s">
        <v>680</v>
      </c>
      <c r="B49" s="2111" t="s">
        <v>681</v>
      </c>
      <c r="C49" s="2111"/>
      <c r="D49" s="2680">
        <v>0</v>
      </c>
      <c r="E49" s="2138" t="s">
        <v>682</v>
      </c>
      <c r="F49" s="2681" t="s">
        <v>121</v>
      </c>
      <c r="G49" s="2682"/>
      <c r="H49" s="2683" t="s">
        <v>683</v>
      </c>
      <c r="I49" s="2730"/>
      <c r="J49" s="2731"/>
      <c r="K49" s="2979">
        <v>4</v>
      </c>
      <c r="L49" s="2980" t="str">
        <f>IF(项目基本情况!F5="房地产抵押价值","房地产抵押价值","抵押担保权已注销时的房地产抵押价值")</f>
        <v>抵押担保权已注销时的房地产抵押价值</v>
      </c>
      <c r="M49" s="2980"/>
      <c r="N49" s="2981" t="str">
        <f ca="1">IF(项目基本情况!F5="房地产抵押价值",I110,I112)</f>
        <v>——</v>
      </c>
      <c r="O49" s="2981"/>
      <c r="P49" s="2981"/>
      <c r="Q49" s="2571"/>
    </row>
    <row r="50" ht="25.5" customHeight="1" spans="1:17">
      <c r="A50" s="2684"/>
      <c r="B50" s="2111" t="s">
        <v>684</v>
      </c>
      <c r="C50" s="2111"/>
      <c r="D50" s="2685"/>
      <c r="E50" s="2148"/>
      <c r="F50" s="2681"/>
      <c r="G50" s="2686"/>
      <c r="H50" s="2687" t="s">
        <v>685</v>
      </c>
      <c r="I50" s="2730"/>
      <c r="J50" s="2731"/>
      <c r="K50" s="2980" t="s">
        <v>686</v>
      </c>
      <c r="L50" s="2980"/>
      <c r="M50" s="2980"/>
      <c r="N50" s="2980"/>
      <c r="O50" s="2980"/>
      <c r="P50" s="2980"/>
      <c r="Q50" s="2571"/>
    </row>
    <row r="51" ht="20.45" customHeight="1" spans="1:17">
      <c r="A51" s="2688"/>
      <c r="B51" s="2111" t="s">
        <v>687</v>
      </c>
      <c r="C51" s="2111"/>
      <c r="D51" s="2127"/>
      <c r="E51" s="447"/>
      <c r="F51" s="2681"/>
      <c r="G51" s="2689"/>
      <c r="H51" s="2687" t="s">
        <v>688</v>
      </c>
      <c r="I51" s="2730"/>
      <c r="J51" s="2731"/>
      <c r="K51" s="2980" t="s">
        <v>689</v>
      </c>
      <c r="L51" s="2980" t="s">
        <v>690</v>
      </c>
      <c r="M51" s="2980"/>
      <c r="N51" s="2980" t="s">
        <v>691</v>
      </c>
      <c r="O51" s="2980" t="s">
        <v>692</v>
      </c>
      <c r="P51" s="2980" t="s">
        <v>693</v>
      </c>
      <c r="Q51" s="2571"/>
    </row>
    <row r="52" ht="24" customHeight="1" spans="1:17">
      <c r="A52" s="2690" t="s">
        <v>694</v>
      </c>
      <c r="B52" s="2111" t="s">
        <v>695</v>
      </c>
      <c r="C52" s="2111"/>
      <c r="D52" s="2127">
        <f ca="1">ROUND(D45*'数据-取费表'!E29/(1+'数据-取费表'!F30),0)</f>
        <v>10173711637</v>
      </c>
      <c r="E52" s="2132" t="s">
        <v>696</v>
      </c>
      <c r="F52" s="2691">
        <f>'数据-取费表'!E29</f>
        <v>0.056</v>
      </c>
      <c r="G52" s="2692"/>
      <c r="H52" s="2229"/>
      <c r="I52" s="2732"/>
      <c r="J52" s="2731"/>
      <c r="K52" s="2979">
        <v>1</v>
      </c>
      <c r="L52" s="2979" t="s">
        <v>697</v>
      </c>
      <c r="M52" s="2979"/>
      <c r="N52" s="2983">
        <f ca="1">D48</f>
        <v>10173711637</v>
      </c>
      <c r="O52" s="2979" t="str">
        <f>E48</f>
        <v>销售额×税（费）率</v>
      </c>
      <c r="P52" s="2984">
        <f>F48</f>
        <v>0.056</v>
      </c>
      <c r="Q52" s="2571"/>
    </row>
    <row r="53" ht="12" customHeight="1" spans="1:17">
      <c r="A53" s="2690" t="s">
        <v>698</v>
      </c>
      <c r="B53" s="2110" t="s">
        <v>699</v>
      </c>
      <c r="C53" s="2693"/>
      <c r="D53" s="2127">
        <f ca="1">ROUND(D45*'数据-取费表'!E29/(1+'数据-取费表'!F30),0)</f>
        <v>10173711637</v>
      </c>
      <c r="E53" s="2132" t="s">
        <v>696</v>
      </c>
      <c r="F53" s="2691">
        <f>'数据-取费表'!E29</f>
        <v>0.056</v>
      </c>
      <c r="G53" s="2692"/>
      <c r="H53" s="2229"/>
      <c r="I53" s="2732"/>
      <c r="J53" s="2731"/>
      <c r="K53" s="2979">
        <v>2</v>
      </c>
      <c r="L53" s="2979" t="s">
        <v>700</v>
      </c>
      <c r="M53" s="2979"/>
      <c r="N53" s="2983">
        <f ca="1" t="shared" ref="N53:P54" si="1">D55</f>
        <v>0</v>
      </c>
      <c r="O53" s="2979" t="str">
        <f t="shared" si="1"/>
        <v>销售额×税（费）率</v>
      </c>
      <c r="P53" s="2984" t="str">
        <f t="shared" si="1"/>
        <v>免征</v>
      </c>
      <c r="Q53" s="2571"/>
    </row>
    <row r="54" ht="12" customHeight="1" spans="1:17">
      <c r="A54" s="2690" t="s">
        <v>701</v>
      </c>
      <c r="B54" s="2110" t="s">
        <v>702</v>
      </c>
      <c r="C54" s="2693"/>
      <c r="D54" s="2127">
        <f ca="1">C68</f>
        <v>10173711637</v>
      </c>
      <c r="E54" s="447" t="s">
        <v>703</v>
      </c>
      <c r="F54" s="2691">
        <f>'数据-取费表'!E29</f>
        <v>0.056</v>
      </c>
      <c r="G54" s="2692"/>
      <c r="H54" s="2694"/>
      <c r="I54" s="2732"/>
      <c r="J54" s="2731"/>
      <c r="K54" s="2979">
        <v>3</v>
      </c>
      <c r="L54" s="2979" t="s">
        <v>704</v>
      </c>
      <c r="M54" s="2979"/>
      <c r="N54" s="2983">
        <f ca="1" t="shared" si="1"/>
        <v>0</v>
      </c>
      <c r="O54" s="2979" t="str">
        <f t="shared" si="1"/>
        <v>增值额×税（费）率</v>
      </c>
      <c r="P54" s="2985" t="str">
        <f t="shared" si="1"/>
        <v>免征</v>
      </c>
      <c r="Q54" s="2571"/>
    </row>
    <row r="55" ht="24" customHeight="1" spans="1:17">
      <c r="A55" s="2690" t="s">
        <v>705</v>
      </c>
      <c r="B55" s="2132"/>
      <c r="C55" s="2132"/>
      <c r="D55" s="2191">
        <f ca="1">IF(H55="个人住宅",0,ROUND(D45*I55,0))</f>
        <v>0</v>
      </c>
      <c r="E55" s="2132" t="s">
        <v>706</v>
      </c>
      <c r="F55" s="2691" t="str">
        <f>IF(H55="正常",I55,"免征")</f>
        <v>免征</v>
      </c>
      <c r="G55" s="2692"/>
      <c r="H55" s="2679" t="s">
        <v>707</v>
      </c>
      <c r="I55" s="2736">
        <f>'数据-取费表'!E37</f>
        <v>0.0005</v>
      </c>
      <c r="J55" s="2731"/>
      <c r="K55" s="2979" t="str">
        <f>IF(H59="非个人房产","",4)</f>
        <v/>
      </c>
      <c r="L55" s="2979" t="str">
        <f>IF(H59="非个人房产","——","个人所得税")</f>
        <v>——</v>
      </c>
      <c r="M55" s="2979"/>
      <c r="N55" s="2986" t="str">
        <f ca="1">D59</f>
        <v>——</v>
      </c>
      <c r="O55" s="2987" t="str">
        <f>E59</f>
        <v>——</v>
      </c>
      <c r="P55" s="2988" t="str">
        <f>F59</f>
        <v>——</v>
      </c>
      <c r="Q55" s="2571"/>
    </row>
    <row r="56" ht="24.75" spans="1:17">
      <c r="A56" s="2690" t="s">
        <v>708</v>
      </c>
      <c r="B56" s="2132"/>
      <c r="C56" s="2132"/>
      <c r="D56" s="2191">
        <f ca="1">IF(H56="个人住宅",D57,D58)</f>
        <v>0</v>
      </c>
      <c r="E56" s="2132" t="s">
        <v>709</v>
      </c>
      <c r="F56" s="2691" t="str">
        <f>IF(H56="正常",F58,"免征")</f>
        <v>免征</v>
      </c>
      <c r="G56" s="2695" t="s">
        <v>710</v>
      </c>
      <c r="H56" s="2696" t="s">
        <v>707</v>
      </c>
      <c r="I56" s="2697"/>
      <c r="J56" s="2731"/>
      <c r="K56" s="2979" t="str">
        <f>IF(项目基本情况!I6="上海银行",IF(K55="",4,K55+1),"")</f>
        <v/>
      </c>
      <c r="L56" s="2989" t="str">
        <f>IF(项目基本情况!I6="上海银行","其他处置费用","")</f>
        <v/>
      </c>
      <c r="M56" s="2990"/>
      <c r="N56" s="2983" t="str">
        <f ca="1">IF(项目基本情况!I6="上海银行",N69,"")</f>
        <v/>
      </c>
      <c r="O56" s="2989" t="str">
        <f>IF(项目基本情况!I6="上海银行","包含处置中涉及的律师、诉讼、拍卖、评估等费用","")</f>
        <v/>
      </c>
      <c r="P56" s="2991"/>
      <c r="Q56" s="2571"/>
    </row>
    <row r="57" ht="13.5" spans="1:17">
      <c r="A57" s="2690" t="s">
        <v>680</v>
      </c>
      <c r="B57" s="2110" t="s">
        <v>711</v>
      </c>
      <c r="C57" s="2693"/>
      <c r="D57" s="2680">
        <v>0</v>
      </c>
      <c r="E57" s="2138" t="s">
        <v>682</v>
      </c>
      <c r="F57" s="2077"/>
      <c r="G57" s="2692"/>
      <c r="H57" s="2697"/>
      <c r="I57" s="2697"/>
      <c r="J57" s="2731"/>
      <c r="K57" s="2979">
        <f>IF(AND(K55="",K56=""),4,IF(项目基本情况!I6="上海银行",K56+1,K55+1))</f>
        <v>4</v>
      </c>
      <c r="L57" s="2979" t="s">
        <v>431</v>
      </c>
      <c r="M57" s="2992" t="s">
        <v>712</v>
      </c>
      <c r="N57" s="2993"/>
      <c r="O57" s="2994">
        <f ca="1">SUMIF(N52:N56,"&lt;9e307")</f>
        <v>10173711637</v>
      </c>
      <c r="P57" s="2995"/>
      <c r="Q57" s="2758" t="e">
        <f ca="1">O57/N49</f>
        <v>#VALUE!</v>
      </c>
    </row>
    <row r="58" ht="24.75" spans="1:17">
      <c r="A58" s="2690" t="s">
        <v>694</v>
      </c>
      <c r="B58" s="2110" t="s">
        <v>713</v>
      </c>
      <c r="C58" s="2111"/>
      <c r="D58" s="2191">
        <f ca="1">IF(H58="转让取得",C81,C97)</f>
        <v>107968514744</v>
      </c>
      <c r="E58" s="2132" t="s">
        <v>709</v>
      </c>
      <c r="F58" s="2077" t="s">
        <v>121</v>
      </c>
      <c r="G58" s="2692"/>
      <c r="H58" s="2696" t="s">
        <v>714</v>
      </c>
      <c r="I58" s="2697"/>
      <c r="J58" s="2731"/>
      <c r="K58" s="2979"/>
      <c r="L58" s="2979"/>
      <c r="M58" s="2992" t="s">
        <v>715</v>
      </c>
      <c r="N58" s="2996"/>
      <c r="O58" s="2997" t="str">
        <f ca="1">IF(H19="元",NUMBERSTRING(INT(O57),2)&amp;"元整",NUMBERSTRING(INT(O57*10000),2)&amp;"元整")</f>
        <v>壹佰零壹亿柒仟叁佰柒拾壹万壹仟陆佰叁拾柒元整</v>
      </c>
      <c r="P58" s="2998"/>
      <c r="Q58" s="2571"/>
    </row>
    <row r="59" ht="24.75" spans="1:17">
      <c r="A59" s="2698" t="s">
        <v>716</v>
      </c>
      <c r="B59" s="2699"/>
      <c r="C59" s="2699"/>
      <c r="D59" s="2965" t="str">
        <f ca="1">IF(H59="非个人房产","——",IF(H59="个人住宅（满五唯一有凭证）",0,IF(H59="个人其他（无凭证）",ROUND(D45*F59,0),ROUND(C67*F59,0))))</f>
        <v>——</v>
      </c>
      <c r="E59" s="2699" t="str">
        <f>IF(H59="非个人房产","——",IF(H59="个人其他（无凭证）","销售额×税（费）率",IF(H59="个人住宅（满五唯一有凭证）","免征","差额计税")))</f>
        <v>——</v>
      </c>
      <c r="F59" s="2966" t="str">
        <f>IF(OR(H59="非个人房产",H59="个人住宅（满五唯一有凭证）"),"——",IF(H59="个人其他（有凭证）",20%,1%))</f>
        <v>——</v>
      </c>
      <c r="G59" s="2702" t="s">
        <v>717</v>
      </c>
      <c r="H59" s="2703" t="s">
        <v>718</v>
      </c>
      <c r="I59" s="2999" t="s">
        <v>719</v>
      </c>
      <c r="J59" s="2731"/>
      <c r="K59" s="2987">
        <f>K57+1</f>
        <v>5</v>
      </c>
      <c r="L59" s="2979" t="s">
        <v>587</v>
      </c>
      <c r="M59" s="2979" t="s">
        <v>712</v>
      </c>
      <c r="N59" s="3000"/>
      <c r="O59" s="3001" t="e">
        <f ca="1">N49-O57</f>
        <v>#VALUE!</v>
      </c>
      <c r="P59" s="3002"/>
      <c r="Q59" s="2571"/>
    </row>
    <row r="60" ht="12" customHeight="1" spans="1:17">
      <c r="A60" s="2704"/>
      <c r="B60" s="2575"/>
      <c r="C60" s="2575"/>
      <c r="D60" s="2575"/>
      <c r="E60" s="2814"/>
      <c r="F60" s="2967"/>
      <c r="G60" s="2967"/>
      <c r="H60" s="2968"/>
      <c r="I60" s="1755"/>
      <c r="K60" s="3003"/>
      <c r="L60" s="2979"/>
      <c r="M60" s="2992" t="s">
        <v>715</v>
      </c>
      <c r="N60" s="2996"/>
      <c r="O60" s="2997" t="e">
        <f ca="1">IF(H19="元",NUMBERSTRING(INT(O59),2)&amp;"元整",NUMBERSTRING(INT(O59*10000),2)&amp;"元整")</f>
        <v>#VALUE!</v>
      </c>
      <c r="P60" s="2998"/>
      <c r="Q60" s="2571"/>
    </row>
    <row r="61" ht="14.25" spans="1:17">
      <c r="A61" s="2969" t="s">
        <v>720</v>
      </c>
      <c r="B61" s="2969"/>
      <c r="C61" s="2969"/>
      <c r="D61" s="2969"/>
      <c r="E61" s="2969"/>
      <c r="F61" s="2967"/>
      <c r="G61" s="2967"/>
      <c r="H61" s="2970"/>
      <c r="I61" s="1755"/>
      <c r="K61" s="2979">
        <f>K59+1</f>
        <v>6</v>
      </c>
      <c r="L61" s="2979" t="s">
        <v>721</v>
      </c>
      <c r="M61" s="2979"/>
      <c r="N61" s="3004"/>
      <c r="O61" s="3005" t="e">
        <f ca="1">IF(H19="元",ROUND(O59/项目基本情况!C12,0),ROUND(O59*10000/项目基本情况!C12,0))</f>
        <v>#VALUE!</v>
      </c>
      <c r="P61" s="3006"/>
      <c r="Q61" s="2571"/>
    </row>
    <row r="62" ht="13.5" spans="1:17">
      <c r="A62" s="459" t="s">
        <v>722</v>
      </c>
      <c r="B62" s="425"/>
      <c r="C62" s="425"/>
      <c r="D62" s="425" t="s">
        <v>723</v>
      </c>
      <c r="E62" s="2707" t="s">
        <v>674</v>
      </c>
      <c r="F62" s="2967"/>
      <c r="G62" s="2967"/>
      <c r="H62" s="2970"/>
      <c r="I62" s="1755"/>
      <c r="K62" s="3007"/>
      <c r="L62" s="3007"/>
      <c r="M62" s="3007"/>
      <c r="N62" s="3007"/>
      <c r="O62" s="3007"/>
      <c r="P62" s="3007"/>
      <c r="Q62" s="2571"/>
    </row>
    <row r="63" ht="13.5" spans="1:17">
      <c r="A63" s="2760">
        <v>1</v>
      </c>
      <c r="B63" s="2761" t="s">
        <v>724</v>
      </c>
      <c r="C63" s="2762">
        <f ca="1">ROUND((C64+C65)/(1+'数据-取费表'!F30),0)</f>
        <v>181673422082</v>
      </c>
      <c r="D63" s="2761"/>
      <c r="E63" s="2763"/>
      <c r="F63" s="2967"/>
      <c r="G63" s="2967"/>
      <c r="H63" s="2970"/>
      <c r="I63" s="1755"/>
      <c r="K63" s="3008" t="s">
        <v>725</v>
      </c>
      <c r="L63" s="3008" t="s">
        <v>726</v>
      </c>
      <c r="M63" s="3008" t="e">
        <f ca="1">IF(N49&gt;10000,N49*0.5%,IF(AND(N49&gt;1000,N49&lt;=10000),N49*1%,IF(AND(N49&gt;100,N49&lt;=1000),N49*3%,IF(AND(N49&gt;10,N49&lt;=100),N49*5%,N49*8%))))</f>
        <v>#VALUE!</v>
      </c>
      <c r="N63" s="3009" t="e">
        <f ca="1">ROUND(M63,1)</f>
        <v>#VALUE!</v>
      </c>
      <c r="O63" s="3007"/>
      <c r="P63" s="3007"/>
      <c r="Q63" s="2571"/>
    </row>
    <row r="64" ht="13.5" spans="1:17">
      <c r="A64" s="2764" t="s">
        <v>727</v>
      </c>
      <c r="B64" s="410" t="s">
        <v>728</v>
      </c>
      <c r="C64" s="2765">
        <f ca="1">D45</f>
        <v>190757093186</v>
      </c>
      <c r="D64" s="410" t="s">
        <v>121</v>
      </c>
      <c r="E64" s="2766"/>
      <c r="F64" s="2967"/>
      <c r="G64" s="2967"/>
      <c r="H64" s="2970"/>
      <c r="I64" s="1755"/>
      <c r="K64" s="3008"/>
      <c r="L64" s="3008" t="s">
        <v>729</v>
      </c>
      <c r="M64" s="3008" t="e">
        <f ca="1">IF(N49&gt;2000,N49*0.5%,IF(AND(N49&gt;1000,N49&lt;=2000),N49*0.6%,IF(AND(N49&gt;500,N49&lt;=1000),N49*0.7%,IF(AND(N49&gt;200,N49&lt;=500),N49*0.8%,IF(AND(N49&gt;100,N49&lt;=200),N49*0.9%,IF(AND(N49&gt;50,N49&lt;=100),N49*1%,IF(AND(N49&gt;20,N49&lt;=50),N49*1.5%,IF(AND(N49&gt;10,N49&lt;=20),N49*2%,IF(AND(N49&gt;1,N49&lt;=10),N49*2.5%)))))))))</f>
        <v>#VALUE!</v>
      </c>
      <c r="N64" s="3009" t="e">
        <f ca="1" t="shared" ref="N64:N65" si="2">ROUND(M64,1)</f>
        <v>#VALUE!</v>
      </c>
      <c r="O64" s="3007" t="s">
        <v>730</v>
      </c>
      <c r="P64" s="3007"/>
      <c r="Q64" s="2571"/>
    </row>
    <row r="65" ht="13.5" spans="1:17">
      <c r="A65" s="2764" t="s">
        <v>731</v>
      </c>
      <c r="B65" s="410" t="s">
        <v>732</v>
      </c>
      <c r="C65" s="2767"/>
      <c r="D65" s="410"/>
      <c r="E65" s="2766"/>
      <c r="F65" s="2967"/>
      <c r="G65" s="2967"/>
      <c r="H65" s="2970"/>
      <c r="I65" s="1755"/>
      <c r="K65" s="3008"/>
      <c r="L65" s="3008" t="s">
        <v>733</v>
      </c>
      <c r="M65" s="3008" t="e">
        <f ca="1">IF(N49&gt;1000,N49*0.1%,IF(AND(N49&gt;500,N49&lt;=1000),N49*0.5%,IF(AND(N49&gt;50,N49&lt;=500),N49*1%,IF(AND(N49&gt;1,N49&lt;=50),N49*1.5%))))</f>
        <v>#VALUE!</v>
      </c>
      <c r="N65" s="3009" t="e">
        <f ca="1" t="shared" si="2"/>
        <v>#VALUE!</v>
      </c>
      <c r="O65" s="3007" t="s">
        <v>730</v>
      </c>
      <c r="P65" s="3007"/>
      <c r="Q65" s="2571"/>
    </row>
    <row r="66" ht="13.5" spans="1:17">
      <c r="A66" s="2768" t="s">
        <v>734</v>
      </c>
      <c r="B66" s="516" t="s">
        <v>735</v>
      </c>
      <c r="C66" s="2769"/>
      <c r="D66" s="516" t="s">
        <v>121</v>
      </c>
      <c r="E66" s="2770" t="s">
        <v>736</v>
      </c>
      <c r="F66" s="2967"/>
      <c r="G66" s="2967"/>
      <c r="H66" s="2970"/>
      <c r="I66" s="1755"/>
      <c r="K66" s="3008"/>
      <c r="L66" s="3008" t="s">
        <v>737</v>
      </c>
      <c r="M66" s="3008" t="e">
        <f ca="1">N49*0.5%</f>
        <v>#VALUE!</v>
      </c>
      <c r="N66" s="3009" t="e">
        <f ca="1">IF(M66&gt;0.5,0.5,ROUND(M66,0))</f>
        <v>#VALUE!</v>
      </c>
      <c r="O66" s="3007" t="s">
        <v>738</v>
      </c>
      <c r="P66" s="3007"/>
      <c r="Q66" s="2571"/>
    </row>
    <row r="67" ht="13.5" spans="1:17">
      <c r="A67" s="2768" t="s">
        <v>739</v>
      </c>
      <c r="B67" s="516" t="s">
        <v>740</v>
      </c>
      <c r="C67" s="2771">
        <f ca="1">C63-C66</f>
        <v>181673422082</v>
      </c>
      <c r="D67" s="410" t="s">
        <v>121</v>
      </c>
      <c r="E67" s="2766"/>
      <c r="F67" s="2967"/>
      <c r="G67" s="2967"/>
      <c r="H67" s="2970"/>
      <c r="I67" s="1755"/>
      <c r="K67" s="3008"/>
      <c r="L67" s="3008" t="s">
        <v>741</v>
      </c>
      <c r="M67" s="3008" t="e">
        <f ca="1">IF(N49&gt;=10000,(8.25+(N49-10000)*0.01%),IF(AND(N49&gt;=8000,N49&lt;10000),(7.85+(N49-8000)*0.02%),IF(AND(N49&gt;=5000,N49&lt;8000),(6.65+(N49-5000)*0.04%),IF(AND(N49&gt;=2000,N49&lt;5000),(4.25+(PN49-2000)*0.08%),IF(AND(N49&gt;=1000,N49&lt;2000),(2.75+(N49-1000)*0.15%),IF(AND(N49&gt;=100,N49&lt;1000),(0.5+(N49-100)*0.25%),IF(AND(N49&gt;0,N49&lt;100),N49*0.5%)))))))</f>
        <v>#VALUE!</v>
      </c>
      <c r="N67" s="3009" t="e">
        <f ca="1">ROUND(M67*0.9,1)</f>
        <v>#VALUE!</v>
      </c>
      <c r="O67" s="3007"/>
      <c r="P67" s="3007"/>
      <c r="Q67" s="2571"/>
    </row>
    <row r="68" ht="14.25" spans="1:17">
      <c r="A68" s="2772" t="s">
        <v>742</v>
      </c>
      <c r="B68" s="537" t="s">
        <v>743</v>
      </c>
      <c r="C68" s="2773">
        <f ca="1">IF(C67&lt;=0,0,ROUND(C67*D68,0))</f>
        <v>10173711637</v>
      </c>
      <c r="D68" s="631">
        <f>'数据-取费表'!E29</f>
        <v>0.056</v>
      </c>
      <c r="E68" s="2774"/>
      <c r="F68" s="2967"/>
      <c r="G68" s="2967"/>
      <c r="H68" s="2970"/>
      <c r="I68" s="1755"/>
      <c r="K68" s="3008"/>
      <c r="L68" s="3008" t="s">
        <v>744</v>
      </c>
      <c r="M68" s="3008" t="e">
        <f ca="1">IF(N49&gt;10000,N49*0.5%,IF(AND(N49&gt;5000,N49&lt;=10000),N49*1%,IF(AND(N49&gt;1000,N49&lt;=5000),N49*2%,IF(AND(N49&gt;200,N49&lt;=1000),N49*3%,N49*5%))))</f>
        <v>#VALUE!</v>
      </c>
      <c r="N68" s="3009" t="e">
        <f ca="1">ROUND(M68,1)</f>
        <v>#VALUE!</v>
      </c>
      <c r="O68" s="3007"/>
      <c r="P68" s="3007"/>
      <c r="Q68" s="2571"/>
    </row>
    <row r="69" s="2569" customFormat="1" ht="7.5" customHeight="1" spans="1:36">
      <c r="A69" s="2775"/>
      <c r="B69" s="507"/>
      <c r="C69" s="3011"/>
      <c r="D69" s="3012"/>
      <c r="E69" s="2658"/>
      <c r="F69" s="2814"/>
      <c r="G69" s="2814"/>
      <c r="H69" s="2815"/>
      <c r="I69" s="2575"/>
      <c r="J69" s="2573"/>
      <c r="K69" s="3008"/>
      <c r="L69" s="3008" t="s">
        <v>434</v>
      </c>
      <c r="M69" s="3008"/>
      <c r="N69" s="3009" t="e">
        <f ca="1">ROUND(SUM(N63:N68),0)</f>
        <v>#VALUE!</v>
      </c>
      <c r="O69" s="3021" t="e">
        <f ca="1">N69/N49</f>
        <v>#VALUE!</v>
      </c>
      <c r="P69" s="3007"/>
      <c r="Q69" s="2571"/>
      <c r="R69" s="1712"/>
      <c r="S69" s="1712"/>
      <c r="T69" s="1712"/>
      <c r="U69" s="1712"/>
      <c r="V69" s="1712"/>
      <c r="W69" s="1712"/>
      <c r="X69" s="1712"/>
      <c r="Y69" s="1712"/>
      <c r="Z69" s="1712"/>
      <c r="AA69" s="1712"/>
      <c r="AB69" s="2571"/>
      <c r="AC69" s="2571"/>
      <c r="AD69" s="2571"/>
      <c r="AE69" s="2571"/>
      <c r="AF69" s="2571"/>
      <c r="AG69" s="2571"/>
      <c r="AH69" s="2571"/>
      <c r="AI69" s="2571"/>
      <c r="AJ69" s="2571"/>
    </row>
    <row r="70" s="2570" customFormat="1" ht="15" spans="1:36">
      <c r="A70" s="3013" t="s">
        <v>745</v>
      </c>
      <c r="B70" s="3014"/>
      <c r="C70" s="3014"/>
      <c r="D70" s="3014"/>
      <c r="E70" s="3014"/>
      <c r="F70" s="3014"/>
      <c r="G70" s="3014"/>
      <c r="H70" s="3014"/>
      <c r="I70" s="2877"/>
      <c r="J70" s="2878"/>
      <c r="P70" s="367"/>
      <c r="Q70" s="367"/>
      <c r="R70" s="367"/>
      <c r="S70" s="367"/>
      <c r="T70" s="367"/>
      <c r="U70" s="367"/>
      <c r="V70" s="367"/>
      <c r="W70" s="367"/>
      <c r="X70" s="367"/>
      <c r="Y70" s="367"/>
      <c r="Z70" s="367"/>
      <c r="AA70" s="367"/>
      <c r="AB70" s="2884"/>
      <c r="AC70" s="2884"/>
      <c r="AD70" s="2884"/>
      <c r="AE70" s="2884"/>
      <c r="AF70" s="2884"/>
      <c r="AG70" s="2884"/>
      <c r="AH70" s="2884"/>
      <c r="AI70" s="2884"/>
      <c r="AJ70" s="2884"/>
    </row>
    <row r="71" s="2570" customFormat="1" ht="14.25" spans="1:36">
      <c r="A71" s="459" t="s">
        <v>722</v>
      </c>
      <c r="B71" s="425"/>
      <c r="C71" s="425"/>
      <c r="D71" s="425" t="s">
        <v>723</v>
      </c>
      <c r="E71" s="2778" t="s">
        <v>674</v>
      </c>
      <c r="F71" s="2779"/>
      <c r="G71" s="2779"/>
      <c r="H71" s="2780"/>
      <c r="I71" s="3022"/>
      <c r="J71" s="3023"/>
      <c r="P71" s="367"/>
      <c r="Q71" s="367"/>
      <c r="R71" s="367"/>
      <c r="S71" s="367"/>
      <c r="T71" s="367"/>
      <c r="U71" s="367"/>
      <c r="V71" s="367"/>
      <c r="W71" s="367"/>
      <c r="X71" s="367"/>
      <c r="Y71" s="367"/>
      <c r="Z71" s="367"/>
      <c r="AA71" s="367"/>
      <c r="AB71" s="2884"/>
      <c r="AC71" s="2884"/>
      <c r="AD71" s="2884"/>
      <c r="AE71" s="2884"/>
      <c r="AF71" s="2884"/>
      <c r="AG71" s="2884"/>
      <c r="AH71" s="2884"/>
      <c r="AI71" s="2884"/>
      <c r="AJ71" s="2884"/>
    </row>
    <row r="72" s="2570" customFormat="1" ht="14.25" spans="1:36">
      <c r="A72" s="2781">
        <v>1</v>
      </c>
      <c r="B72" s="516" t="s">
        <v>746</v>
      </c>
      <c r="C72" s="2771">
        <f ca="1">ROUND(D45/(1+'数据-取费表'!F30),0)</f>
        <v>181673422082</v>
      </c>
      <c r="D72" s="410" t="s">
        <v>121</v>
      </c>
      <c r="E72" s="2191" t="s">
        <v>747</v>
      </c>
      <c r="F72" s="2111"/>
      <c r="G72" s="2111"/>
      <c r="H72" s="2782"/>
      <c r="I72" s="3022"/>
      <c r="J72" s="3023"/>
      <c r="P72" s="367"/>
      <c r="Q72" s="367"/>
      <c r="R72" s="367"/>
      <c r="S72" s="367"/>
      <c r="T72" s="367"/>
      <c r="U72" s="367"/>
      <c r="V72" s="367"/>
      <c r="W72" s="367"/>
      <c r="X72" s="367"/>
      <c r="Y72" s="367"/>
      <c r="Z72" s="367"/>
      <c r="AA72" s="367"/>
      <c r="AB72" s="2884"/>
      <c r="AC72" s="2884"/>
      <c r="AD72" s="2884"/>
      <c r="AE72" s="2884"/>
      <c r="AF72" s="2884"/>
      <c r="AG72" s="2884"/>
      <c r="AH72" s="2884"/>
      <c r="AI72" s="2884"/>
      <c r="AJ72" s="2884"/>
    </row>
    <row r="73" s="2570" customFormat="1" ht="14.25" spans="1:36">
      <c r="A73" s="2783">
        <v>2</v>
      </c>
      <c r="B73" s="2295" t="s">
        <v>748</v>
      </c>
      <c r="C73" s="2771">
        <f ca="1">C74+C78</f>
        <v>1090040532</v>
      </c>
      <c r="D73" s="410" t="s">
        <v>121</v>
      </c>
      <c r="E73" s="2110"/>
      <c r="F73" s="2111"/>
      <c r="G73" s="2111"/>
      <c r="H73" s="2782"/>
      <c r="I73" s="3022"/>
      <c r="J73" s="3023"/>
      <c r="P73" s="367"/>
      <c r="Q73" s="367"/>
      <c r="R73" s="367"/>
      <c r="S73" s="367"/>
      <c r="T73" s="367"/>
      <c r="U73" s="367"/>
      <c r="V73" s="367"/>
      <c r="W73" s="367"/>
      <c r="X73" s="367"/>
      <c r="Y73" s="367"/>
      <c r="Z73" s="367"/>
      <c r="AA73" s="367"/>
      <c r="AB73" s="2884"/>
      <c r="AC73" s="2884"/>
      <c r="AD73" s="2884"/>
      <c r="AE73" s="2884"/>
      <c r="AF73" s="2884"/>
      <c r="AG73" s="2884"/>
      <c r="AH73" s="2884"/>
      <c r="AI73" s="2884"/>
      <c r="AJ73" s="2884"/>
    </row>
    <row r="74" s="2570" customFormat="1" ht="24" spans="1:36">
      <c r="A74" s="2764" t="s">
        <v>749</v>
      </c>
      <c r="B74" s="410" t="s">
        <v>750</v>
      </c>
      <c r="C74" s="410">
        <f>ROUND(IF(G77="2016年5月1日后购买",C75/(1+'数据-取费表'!F30)+C76+C77,C75+C76+C77),0)</f>
        <v>0</v>
      </c>
      <c r="D74" s="410" t="s">
        <v>121</v>
      </c>
      <c r="E74" s="2110"/>
      <c r="F74" s="2111"/>
      <c r="G74" s="2111"/>
      <c r="H74" s="2782"/>
      <c r="I74" s="3022"/>
      <c r="J74" s="3023"/>
      <c r="P74" s="367"/>
      <c r="Q74" s="367"/>
      <c r="R74" s="367"/>
      <c r="S74" s="367"/>
      <c r="T74" s="367"/>
      <c r="U74" s="367"/>
      <c r="V74" s="367"/>
      <c r="W74" s="367"/>
      <c r="X74" s="367"/>
      <c r="Y74" s="367"/>
      <c r="Z74" s="367"/>
      <c r="AA74" s="367"/>
      <c r="AB74" s="2884"/>
      <c r="AC74" s="2884"/>
      <c r="AD74" s="2884"/>
      <c r="AE74" s="2884"/>
      <c r="AF74" s="2884"/>
      <c r="AG74" s="2884"/>
      <c r="AH74" s="2884"/>
      <c r="AI74" s="2884"/>
      <c r="AJ74" s="2884"/>
    </row>
    <row r="75" s="2570" customFormat="1" ht="14.25" spans="1:36">
      <c r="A75" s="2764" t="s">
        <v>751</v>
      </c>
      <c r="B75" s="410" t="s">
        <v>752</v>
      </c>
      <c r="C75" s="540"/>
      <c r="D75" s="410" t="s">
        <v>121</v>
      </c>
      <c r="E75" s="2784" t="s">
        <v>753</v>
      </c>
      <c r="F75" s="2785" t="s">
        <v>754</v>
      </c>
      <c r="G75" s="2784" t="s">
        <v>755</v>
      </c>
      <c r="H75" s="2786"/>
      <c r="I75" s="2888"/>
      <c r="J75" s="2889"/>
      <c r="P75" s="367"/>
      <c r="Q75" s="367"/>
      <c r="R75" s="367"/>
      <c r="S75" s="367"/>
      <c r="T75" s="367"/>
      <c r="U75" s="367"/>
      <c r="V75" s="367"/>
      <c r="W75" s="367"/>
      <c r="X75" s="367"/>
      <c r="Y75" s="367"/>
      <c r="Z75" s="367"/>
      <c r="AA75" s="367"/>
      <c r="AB75" s="2884"/>
      <c r="AC75" s="2884"/>
      <c r="AD75" s="2884"/>
      <c r="AE75" s="2884"/>
      <c r="AF75" s="2884"/>
      <c r="AG75" s="2884"/>
      <c r="AH75" s="2884"/>
      <c r="AI75" s="2884"/>
      <c r="AJ75" s="2884"/>
    </row>
    <row r="76" s="2570" customFormat="1" ht="24.75" customHeight="1" spans="1:36">
      <c r="A76" s="2764" t="s">
        <v>756</v>
      </c>
      <c r="B76" s="432" t="s">
        <v>757</v>
      </c>
      <c r="C76" s="410">
        <f>IF(F75="购房发票",ROUND(C75*H75*D76,0),0)</f>
        <v>0</v>
      </c>
      <c r="D76" s="2787">
        <v>0.05</v>
      </c>
      <c r="E76" s="2110" t="s">
        <v>758</v>
      </c>
      <c r="F76" s="2111"/>
      <c r="G76" s="2111"/>
      <c r="H76" s="2788"/>
      <c r="I76" s="3022"/>
      <c r="J76" s="3023"/>
      <c r="P76" s="367"/>
      <c r="Q76" s="367"/>
      <c r="R76" s="367"/>
      <c r="S76" s="367"/>
      <c r="T76" s="367"/>
      <c r="U76" s="367"/>
      <c r="V76" s="367"/>
      <c r="W76" s="367"/>
      <c r="X76" s="367"/>
      <c r="Y76" s="367"/>
      <c r="Z76" s="367"/>
      <c r="AA76" s="367"/>
      <c r="AB76" s="2884"/>
      <c r="AC76" s="2884"/>
      <c r="AD76" s="2884"/>
      <c r="AE76" s="2884"/>
      <c r="AF76" s="2884"/>
      <c r="AG76" s="2884"/>
      <c r="AH76" s="2884"/>
      <c r="AI76" s="2884"/>
      <c r="AJ76" s="2884"/>
    </row>
    <row r="77" s="2570" customFormat="1" ht="24.75" customHeight="1" spans="1:36">
      <c r="A77" s="2764" t="s">
        <v>759</v>
      </c>
      <c r="B77" s="410" t="s">
        <v>760</v>
      </c>
      <c r="C77" s="410">
        <f>ROUND(IF(G77="个人住宅",0,IF(G77="2016年5月1日前购买",C75*D77,C75*D77/(1+'数据-取费表'!F30))),0)</f>
        <v>0</v>
      </c>
      <c r="D77" s="2789">
        <f>'数据-取费表'!E36+'数据-取费表'!E37</f>
        <v>0.0305</v>
      </c>
      <c r="E77" s="2191" t="s">
        <v>761</v>
      </c>
      <c r="F77" s="1289"/>
      <c r="G77" s="2790" t="s">
        <v>762</v>
      </c>
      <c r="H77" s="2788" t="str">
        <f>IF(G77="个人买卖住房","免征印花税"," ")</f>
        <v> </v>
      </c>
      <c r="I77" s="3022"/>
      <c r="J77" s="3023"/>
      <c r="K77" s="367"/>
      <c r="L77" s="367"/>
      <c r="M77" s="367"/>
      <c r="N77" s="367"/>
      <c r="O77" s="367"/>
      <c r="P77" s="367"/>
      <c r="Q77" s="367"/>
      <c r="R77" s="367"/>
      <c r="S77" s="367"/>
      <c r="T77" s="367"/>
      <c r="U77" s="367"/>
      <c r="V77" s="367"/>
      <c r="W77" s="367"/>
      <c r="X77" s="367"/>
      <c r="Y77" s="367"/>
      <c r="Z77" s="367"/>
      <c r="AA77" s="367"/>
      <c r="AB77" s="2884"/>
      <c r="AC77" s="2884"/>
      <c r="AD77" s="2884"/>
      <c r="AE77" s="2884"/>
      <c r="AF77" s="2884"/>
      <c r="AG77" s="2884"/>
      <c r="AH77" s="2884"/>
      <c r="AI77" s="2884"/>
      <c r="AJ77" s="2884"/>
    </row>
    <row r="78" s="2570" customFormat="1" ht="24.75" customHeight="1" spans="1:36">
      <c r="A78" s="2764" t="s">
        <v>763</v>
      </c>
      <c r="B78" s="410" t="s">
        <v>764</v>
      </c>
      <c r="C78" s="2791">
        <f ca="1">ROUND(D45*D78/(1+'数据-取费表'!F30),0)</f>
        <v>1090040532</v>
      </c>
      <c r="D78" s="2792">
        <f>'数据-取费表'!E31</f>
        <v>0.006</v>
      </c>
      <c r="E78" s="2793" t="s">
        <v>765</v>
      </c>
      <c r="F78" s="2794"/>
      <c r="G78" s="2794"/>
      <c r="H78" s="2795"/>
      <c r="I78" s="3024"/>
      <c r="J78" s="3025"/>
      <c r="K78" s="367"/>
      <c r="L78" s="367"/>
      <c r="M78" s="367"/>
      <c r="N78" s="367"/>
      <c r="O78" s="367"/>
      <c r="P78" s="367"/>
      <c r="Q78" s="367"/>
      <c r="R78" s="367"/>
      <c r="S78" s="367"/>
      <c r="T78" s="367"/>
      <c r="U78" s="367"/>
      <c r="V78" s="367"/>
      <c r="W78" s="367"/>
      <c r="X78" s="367"/>
      <c r="Y78" s="367"/>
      <c r="Z78" s="367"/>
      <c r="AA78" s="367"/>
      <c r="AB78" s="2884"/>
      <c r="AC78" s="2884"/>
      <c r="AD78" s="2884"/>
      <c r="AE78" s="2884"/>
      <c r="AF78" s="2884"/>
      <c r="AG78" s="2884"/>
      <c r="AH78" s="2884"/>
      <c r="AI78" s="2884"/>
      <c r="AJ78" s="2884"/>
    </row>
    <row r="79" s="2570" customFormat="1" ht="14.25" spans="1:36">
      <c r="A79" s="2768" t="s">
        <v>739</v>
      </c>
      <c r="B79" s="516" t="s">
        <v>766</v>
      </c>
      <c r="C79" s="2771">
        <f ca="1">C72-C73</f>
        <v>180583381550</v>
      </c>
      <c r="D79" s="410" t="s">
        <v>121</v>
      </c>
      <c r="E79" s="2110"/>
      <c r="F79" s="2111"/>
      <c r="G79" s="2111"/>
      <c r="H79" s="2782"/>
      <c r="I79" s="3022"/>
      <c r="J79" s="3023"/>
      <c r="K79" s="367"/>
      <c r="L79" s="367"/>
      <c r="M79" s="367"/>
      <c r="N79" s="367"/>
      <c r="O79" s="367"/>
      <c r="P79" s="367"/>
      <c r="Q79" s="367"/>
      <c r="R79" s="367"/>
      <c r="S79" s="367"/>
      <c r="T79" s="367"/>
      <c r="U79" s="367"/>
      <c r="V79" s="367"/>
      <c r="W79" s="367"/>
      <c r="X79" s="367"/>
      <c r="Y79" s="367"/>
      <c r="Z79" s="367"/>
      <c r="AA79" s="367"/>
      <c r="AB79" s="2884"/>
      <c r="AC79" s="2884"/>
      <c r="AD79" s="2884"/>
      <c r="AE79" s="2884"/>
      <c r="AF79" s="2884"/>
      <c r="AG79" s="2884"/>
      <c r="AH79" s="2884"/>
      <c r="AI79" s="2884"/>
      <c r="AJ79" s="2884"/>
    </row>
    <row r="80" s="2570" customFormat="1" ht="24" spans="1:36">
      <c r="A80" s="2768" t="s">
        <v>742</v>
      </c>
      <c r="B80" s="516" t="s">
        <v>767</v>
      </c>
      <c r="C80" s="2796">
        <f ca="1">IF(C79&lt;=0,0,C79/C73)</f>
        <v>165.666666741893</v>
      </c>
      <c r="D80" s="410" t="s">
        <v>121</v>
      </c>
      <c r="E80" s="2191" t="str">
        <f ca="1">IF(C80&gt;=200%,"增值额超过扣除项目金额200%",IF(C80&gt;=100%,"增值额超过扣除项目金额100%，未超过200%",IF(C80&gt;=50%,"增值额超过扣除项目金额50%，未超过100%",IF(C80&lt;50%,"增值额未超过扣除项目金额50%"))))</f>
        <v>增值额超过扣除项目金额200%</v>
      </c>
      <c r="F80" s="2111"/>
      <c r="G80" s="2111"/>
      <c r="H80" s="2782"/>
      <c r="I80" s="3022"/>
      <c r="J80" s="3023"/>
      <c r="K80" s="367"/>
      <c r="L80" s="367"/>
      <c r="M80" s="367"/>
      <c r="N80" s="367"/>
      <c r="O80" s="367"/>
      <c r="P80" s="367"/>
      <c r="Q80" s="367"/>
      <c r="R80" s="367"/>
      <c r="S80" s="367"/>
      <c r="T80" s="367"/>
      <c r="U80" s="367"/>
      <c r="V80" s="367"/>
      <c r="W80" s="367"/>
      <c r="X80" s="367"/>
      <c r="Y80" s="367"/>
      <c r="Z80" s="367"/>
      <c r="AA80" s="367"/>
      <c r="AB80" s="2884"/>
      <c r="AC80" s="2884"/>
      <c r="AD80" s="2884"/>
      <c r="AE80" s="2884"/>
      <c r="AF80" s="2884"/>
      <c r="AG80" s="2884"/>
      <c r="AH80" s="2884"/>
      <c r="AI80" s="2884"/>
      <c r="AJ80" s="2884"/>
    </row>
    <row r="81" s="2570" customFormat="1" ht="24.75" spans="1:36">
      <c r="A81" s="2772" t="s">
        <v>768</v>
      </c>
      <c r="B81" s="537" t="s">
        <v>769</v>
      </c>
      <c r="C81" s="2797">
        <f ca="1">ROUND(IF(C79&lt;=0,0,IF(C80&gt;=200%,C79*60%-C73*35%,IF(C80&gt;=100%,C79*50%-C73*15%,IF(C80&gt;=50%,C79*40%-C73*5%,IF(C80&lt;50%,C79*30%,0))))),0)</f>
        <v>107968514744</v>
      </c>
      <c r="D81" s="456" t="s">
        <v>121</v>
      </c>
      <c r="E81" s="2700" t="str">
        <f ca="1">IF(E80="增值额未超过扣除项目金额50%","土地增值税税额=增值额×30%",IF(E80="增值额超过扣除项目金额50%，未超过100%","土地增值税税额=增值额×40%－扣除项目金额×5% ",IF(E80="增值额超过扣除项目金额100%，未超过200%","土地增值税税额=增值额×50%－扣除项目金额×15%",IF(E80="增值额超过扣除项目金额200%","土地增值税税额=增值额×60%－扣除项目金额×35%"))))</f>
        <v>土地增值税税额=增值额×60%－扣除项目金额×35%</v>
      </c>
      <c r="F81" s="2798"/>
      <c r="G81" s="2798"/>
      <c r="H81" s="2799"/>
      <c r="I81" s="3022"/>
      <c r="J81" s="3023"/>
      <c r="K81" s="367"/>
      <c r="L81" s="367"/>
      <c r="M81" s="367"/>
      <c r="N81" s="367"/>
      <c r="O81" s="367"/>
      <c r="P81" s="367"/>
      <c r="Q81" s="367"/>
      <c r="R81" s="367"/>
      <c r="S81" s="367"/>
      <c r="T81" s="367"/>
      <c r="U81" s="367"/>
      <c r="V81" s="367"/>
      <c r="W81" s="367"/>
      <c r="X81" s="367"/>
      <c r="Y81" s="367"/>
      <c r="Z81" s="367"/>
      <c r="AA81" s="367"/>
      <c r="AB81" s="2884"/>
      <c r="AC81" s="2884"/>
      <c r="AD81" s="2884"/>
      <c r="AE81" s="2884"/>
      <c r="AF81" s="2884"/>
      <c r="AG81" s="2884"/>
      <c r="AH81" s="2884"/>
      <c r="AI81" s="2884"/>
      <c r="AJ81" s="2884"/>
    </row>
    <row r="82" s="2570" customFormat="1" ht="7.5" customHeight="1" spans="1:36">
      <c r="A82" s="3015"/>
      <c r="B82" s="544"/>
      <c r="C82" s="2888"/>
      <c r="D82" s="2888"/>
      <c r="E82" s="544"/>
      <c r="F82" s="544"/>
      <c r="G82" s="544"/>
      <c r="H82" s="2800"/>
      <c r="I82" s="3024"/>
      <c r="J82" s="3025"/>
      <c r="K82" s="367"/>
      <c r="L82" s="367"/>
      <c r="M82" s="367"/>
      <c r="N82" s="367"/>
      <c r="O82" s="367"/>
      <c r="P82" s="367"/>
      <c r="Q82" s="367"/>
      <c r="R82" s="367"/>
      <c r="S82" s="367"/>
      <c r="T82" s="367"/>
      <c r="U82" s="367"/>
      <c r="V82" s="367"/>
      <c r="W82" s="367"/>
      <c r="X82" s="367"/>
      <c r="Y82" s="367"/>
      <c r="Z82" s="367"/>
      <c r="AA82" s="367"/>
      <c r="AB82" s="2884"/>
      <c r="AC82" s="2884"/>
      <c r="AD82" s="2884"/>
      <c r="AE82" s="2884"/>
      <c r="AF82" s="2884"/>
      <c r="AG82" s="2884"/>
      <c r="AH82" s="2884"/>
      <c r="AI82" s="2884"/>
      <c r="AJ82" s="2884"/>
    </row>
    <row r="83" s="2570" customFormat="1" ht="15" spans="1:36">
      <c r="A83" s="3013" t="s">
        <v>770</v>
      </c>
      <c r="B83" s="3014"/>
      <c r="C83" s="3014"/>
      <c r="D83" s="3014"/>
      <c r="E83" s="3014"/>
      <c r="F83" s="3014"/>
      <c r="G83" s="3014"/>
      <c r="H83" s="3014"/>
      <c r="I83" s="2888"/>
      <c r="J83" s="2889"/>
      <c r="K83" s="367"/>
      <c r="L83" s="367"/>
      <c r="M83" s="367"/>
      <c r="N83" s="367"/>
      <c r="O83" s="367"/>
      <c r="P83" s="367"/>
      <c r="Q83" s="367"/>
      <c r="R83" s="367"/>
      <c r="S83" s="367"/>
      <c r="T83" s="367"/>
      <c r="U83" s="367"/>
      <c r="V83" s="367"/>
      <c r="W83" s="367"/>
      <c r="X83" s="367"/>
      <c r="Y83" s="367"/>
      <c r="Z83" s="367"/>
      <c r="AA83" s="367"/>
      <c r="AB83" s="2884"/>
      <c r="AC83" s="2884"/>
      <c r="AD83" s="2884"/>
      <c r="AE83" s="2884"/>
      <c r="AF83" s="2884"/>
      <c r="AG83" s="2884"/>
      <c r="AH83" s="2884"/>
      <c r="AI83" s="2884"/>
      <c r="AJ83" s="2884"/>
    </row>
    <row r="84" s="2570" customFormat="1" ht="14.25" spans="1:36">
      <c r="A84" s="459" t="s">
        <v>722</v>
      </c>
      <c r="B84" s="425"/>
      <c r="C84" s="425"/>
      <c r="D84" s="425" t="s">
        <v>723</v>
      </c>
      <c r="E84" s="2778" t="s">
        <v>674</v>
      </c>
      <c r="F84" s="2779"/>
      <c r="G84" s="2779"/>
      <c r="H84" s="2801"/>
      <c r="I84" s="2888"/>
      <c r="J84" s="2889"/>
      <c r="K84" s="367"/>
      <c r="L84" s="367"/>
      <c r="M84" s="367"/>
      <c r="N84" s="367"/>
      <c r="O84" s="367"/>
      <c r="P84" s="367"/>
      <c r="Q84" s="367"/>
      <c r="R84" s="367"/>
      <c r="S84" s="367"/>
      <c r="T84" s="367"/>
      <c r="U84" s="367"/>
      <c r="V84" s="367"/>
      <c r="W84" s="367"/>
      <c r="X84" s="367"/>
      <c r="Y84" s="367"/>
      <c r="Z84" s="367"/>
      <c r="AA84" s="367"/>
      <c r="AB84" s="2884"/>
      <c r="AC84" s="2884"/>
      <c r="AD84" s="2884"/>
      <c r="AE84" s="2884"/>
      <c r="AF84" s="2884"/>
      <c r="AG84" s="2884"/>
      <c r="AH84" s="2884"/>
      <c r="AI84" s="2884"/>
      <c r="AJ84" s="2884"/>
    </row>
    <row r="85" s="2570" customFormat="1" ht="24" spans="1:36">
      <c r="A85" s="2781">
        <v>1</v>
      </c>
      <c r="B85" s="516" t="s">
        <v>746</v>
      </c>
      <c r="C85" s="2771">
        <f ca="1">ROUND(D45/(1+'数据-取费表'!F30),0)</f>
        <v>181673422082</v>
      </c>
      <c r="D85" s="410" t="s">
        <v>121</v>
      </c>
      <c r="E85" s="2110" t="s">
        <v>747</v>
      </c>
      <c r="F85" s="2111"/>
      <c r="G85" s="2111"/>
      <c r="H85" s="2802"/>
      <c r="I85" s="2888"/>
      <c r="J85" s="2889"/>
      <c r="K85" s="367"/>
      <c r="L85" s="367"/>
      <c r="M85" s="367"/>
      <c r="N85" s="367"/>
      <c r="O85" s="367"/>
      <c r="P85" s="367"/>
      <c r="Q85" s="367"/>
      <c r="R85" s="367"/>
      <c r="S85" s="367"/>
      <c r="T85" s="367"/>
      <c r="U85" s="367"/>
      <c r="V85" s="367"/>
      <c r="W85" s="367"/>
      <c r="X85" s="367"/>
      <c r="Y85" s="367"/>
      <c r="Z85" s="367"/>
      <c r="AA85" s="367"/>
      <c r="AB85" s="2884"/>
      <c r="AC85" s="2884"/>
      <c r="AD85" s="2884"/>
      <c r="AE85" s="2884"/>
      <c r="AF85" s="2884"/>
      <c r="AG85" s="2884"/>
      <c r="AH85" s="2884"/>
      <c r="AI85" s="2884"/>
      <c r="AJ85" s="2884"/>
    </row>
    <row r="86" s="2570" customFormat="1" ht="14.25" spans="1:36">
      <c r="A86" s="2783">
        <v>2</v>
      </c>
      <c r="B86" s="2295" t="s">
        <v>748</v>
      </c>
      <c r="C86" s="2771">
        <f ca="1">IF(H88="仅含出让金",C87+C90+C91+C92+C93+C94,C87+C91+C92+C93+C94)</f>
        <v>1090040532</v>
      </c>
      <c r="D86" s="2803"/>
      <c r="E86" s="2110"/>
      <c r="F86" s="2111"/>
      <c r="G86" s="2111"/>
      <c r="H86" s="2802"/>
      <c r="I86" s="2888"/>
      <c r="J86" s="2889"/>
      <c r="K86" s="367"/>
      <c r="L86" s="367"/>
      <c r="M86" s="367"/>
      <c r="N86" s="367"/>
      <c r="O86" s="367"/>
      <c r="P86" s="367"/>
      <c r="Q86" s="367"/>
      <c r="R86" s="367"/>
      <c r="S86" s="367"/>
      <c r="T86" s="367"/>
      <c r="U86" s="367"/>
      <c r="V86" s="367"/>
      <c r="W86" s="367"/>
      <c r="X86" s="367"/>
      <c r="Y86" s="367"/>
      <c r="Z86" s="367"/>
      <c r="AA86" s="367"/>
      <c r="AB86" s="2884"/>
      <c r="AC86" s="2884"/>
      <c r="AD86" s="2884"/>
      <c r="AE86" s="2884"/>
      <c r="AF86" s="2884"/>
      <c r="AG86" s="2884"/>
      <c r="AH86" s="2884"/>
      <c r="AI86" s="2884"/>
      <c r="AJ86" s="2884"/>
    </row>
    <row r="87" s="2570" customFormat="1" ht="14.25" spans="1:36">
      <c r="A87" s="2764" t="s">
        <v>749</v>
      </c>
      <c r="B87" s="410" t="s">
        <v>771</v>
      </c>
      <c r="C87" s="2791">
        <f>C88+C89</f>
        <v>0</v>
      </c>
      <c r="D87" s="2792"/>
      <c r="E87" s="2793"/>
      <c r="F87" s="2794"/>
      <c r="G87" s="2794"/>
      <c r="H87" s="2795"/>
      <c r="I87" s="2888"/>
      <c r="J87" s="2889"/>
      <c r="K87" s="367"/>
      <c r="L87" s="367"/>
      <c r="M87" s="367"/>
      <c r="N87" s="367"/>
      <c r="O87" s="367"/>
      <c r="P87" s="367"/>
      <c r="Q87" s="367"/>
      <c r="R87" s="367"/>
      <c r="S87" s="367"/>
      <c r="T87" s="367"/>
      <c r="U87" s="367"/>
      <c r="V87" s="367"/>
      <c r="W87" s="367"/>
      <c r="X87" s="367"/>
      <c r="Y87" s="367"/>
      <c r="Z87" s="367"/>
      <c r="AA87" s="367"/>
      <c r="AB87" s="2884"/>
      <c r="AC87" s="2884"/>
      <c r="AD87" s="2884"/>
      <c r="AE87" s="2884"/>
      <c r="AF87" s="2884"/>
      <c r="AG87" s="2884"/>
      <c r="AH87" s="2884"/>
      <c r="AI87" s="2884"/>
      <c r="AJ87" s="2884"/>
    </row>
    <row r="88" s="2570" customFormat="1" ht="14.25" spans="1:36">
      <c r="A88" s="2764" t="s">
        <v>751</v>
      </c>
      <c r="B88" s="410" t="s">
        <v>772</v>
      </c>
      <c r="C88" s="2804"/>
      <c r="D88" s="2792"/>
      <c r="E88" s="2736" t="s">
        <v>773</v>
      </c>
      <c r="F88" s="2794"/>
      <c r="G88" s="2805" t="s">
        <v>774</v>
      </c>
      <c r="H88" s="2806"/>
      <c r="I88" s="2888"/>
      <c r="J88" s="2889"/>
      <c r="K88" s="2883" t="s">
        <v>775</v>
      </c>
      <c r="L88" s="2884"/>
      <c r="M88" s="2884"/>
      <c r="N88" s="2884"/>
      <c r="O88" s="2884"/>
      <c r="P88" s="2884"/>
      <c r="Q88" s="2884"/>
      <c r="R88" s="2884"/>
      <c r="S88" s="2884"/>
      <c r="T88" s="367"/>
      <c r="U88" s="367"/>
      <c r="V88" s="367"/>
      <c r="W88" s="367"/>
      <c r="X88" s="367"/>
      <c r="Y88" s="367"/>
      <c r="Z88" s="367"/>
      <c r="AA88" s="367"/>
      <c r="AB88" s="2884"/>
      <c r="AC88" s="2884"/>
      <c r="AD88" s="2884"/>
      <c r="AE88" s="2884"/>
      <c r="AF88" s="2884"/>
      <c r="AG88" s="2884"/>
      <c r="AH88" s="2884"/>
      <c r="AI88" s="2884"/>
      <c r="AJ88" s="2884"/>
    </row>
    <row r="89" s="2570" customFormat="1" ht="14.25" spans="1:36">
      <c r="A89" s="2764" t="s">
        <v>756</v>
      </c>
      <c r="B89" s="410" t="s">
        <v>760</v>
      </c>
      <c r="C89" s="2791">
        <f>ROUND(C88*D89,0)</f>
        <v>0</v>
      </c>
      <c r="D89" s="2792">
        <f>'数据-取费表'!E36+'数据-取费表'!E37</f>
        <v>0.0305</v>
      </c>
      <c r="E89" s="2736" t="s">
        <v>776</v>
      </c>
      <c r="F89" s="2794"/>
      <c r="G89" s="2794"/>
      <c r="H89" s="2795"/>
      <c r="I89" s="2888"/>
      <c r="J89" s="2889"/>
      <c r="K89" s="367"/>
      <c r="L89" s="367"/>
      <c r="M89" s="367"/>
      <c r="N89" s="367"/>
      <c r="O89" s="367"/>
      <c r="P89" s="367"/>
      <c r="Q89" s="367"/>
      <c r="R89" s="367"/>
      <c r="S89" s="367"/>
      <c r="T89" s="367"/>
      <c r="U89" s="367"/>
      <c r="V89" s="367"/>
      <c r="W89" s="367"/>
      <c r="X89" s="367"/>
      <c r="Y89" s="367"/>
      <c r="Z89" s="367"/>
      <c r="AA89" s="367"/>
      <c r="AB89" s="2884"/>
      <c r="AC89" s="2884"/>
      <c r="AD89" s="2884"/>
      <c r="AE89" s="2884"/>
      <c r="AF89" s="2884"/>
      <c r="AG89" s="2884"/>
      <c r="AH89" s="2884"/>
      <c r="AI89" s="2884"/>
      <c r="AJ89" s="2884"/>
    </row>
    <row r="90" s="2570" customFormat="1" ht="24" customHeight="1" spans="1:36">
      <c r="A90" s="2764" t="s">
        <v>763</v>
      </c>
      <c r="B90" s="410" t="s">
        <v>777</v>
      </c>
      <c r="C90" s="2804"/>
      <c r="D90" s="2792"/>
      <c r="E90" s="2736" t="str">
        <f>IF(H88="-","土地取得成本中已包含该笔费用"," ")</f>
        <v> </v>
      </c>
      <c r="F90" s="2794"/>
      <c r="G90" s="2807" t="s">
        <v>778</v>
      </c>
      <c r="H90" s="2807"/>
      <c r="I90" s="2888"/>
      <c r="J90" s="2889"/>
      <c r="K90" s="2883" t="s">
        <v>779</v>
      </c>
      <c r="L90" s="2884"/>
      <c r="M90" s="2884"/>
      <c r="N90" s="2884"/>
      <c r="O90" s="2884"/>
      <c r="P90" s="2884"/>
      <c r="Q90" s="2884"/>
      <c r="R90" s="2884"/>
      <c r="S90" s="2884"/>
      <c r="T90" s="2884"/>
      <c r="U90" s="367"/>
      <c r="V90" s="367"/>
      <c r="W90" s="367"/>
      <c r="X90" s="367"/>
      <c r="Y90" s="367"/>
      <c r="Z90" s="367"/>
      <c r="AA90" s="367"/>
      <c r="AB90" s="2884"/>
      <c r="AC90" s="2884"/>
      <c r="AD90" s="2884"/>
      <c r="AE90" s="2884"/>
      <c r="AF90" s="2884"/>
      <c r="AG90" s="2884"/>
      <c r="AH90" s="2884"/>
      <c r="AI90" s="2884"/>
      <c r="AJ90" s="2884"/>
    </row>
    <row r="91" s="2570" customFormat="1" ht="30.75" customHeight="1" spans="1:36">
      <c r="A91" s="2764" t="s">
        <v>780</v>
      </c>
      <c r="B91" s="410" t="s">
        <v>781</v>
      </c>
      <c r="C91" s="2791">
        <f>IF(H91="——",成本法!C33,I91)</f>
        <v>0</v>
      </c>
      <c r="D91" s="2792"/>
      <c r="E91" s="2793" t="s">
        <v>782</v>
      </c>
      <c r="F91" s="2794"/>
      <c r="G91" s="2794"/>
      <c r="H91" s="2809" t="s">
        <v>783</v>
      </c>
      <c r="I91" s="3026"/>
      <c r="J91" s="3027"/>
      <c r="K91" s="367"/>
      <c r="L91" s="367"/>
      <c r="M91" s="367"/>
      <c r="N91" s="367"/>
      <c r="O91" s="367"/>
      <c r="P91" s="367"/>
      <c r="Q91" s="367"/>
      <c r="R91" s="367"/>
      <c r="S91" s="367"/>
      <c r="T91" s="367"/>
      <c r="U91" s="367"/>
      <c r="V91" s="367"/>
      <c r="W91" s="367"/>
      <c r="X91" s="367"/>
      <c r="Y91" s="367"/>
      <c r="Z91" s="367"/>
      <c r="AA91" s="367"/>
      <c r="AB91" s="2884"/>
      <c r="AC91" s="2884"/>
      <c r="AD91" s="2884"/>
      <c r="AE91" s="2884"/>
      <c r="AF91" s="2884"/>
      <c r="AG91" s="2884"/>
      <c r="AH91" s="2884"/>
      <c r="AI91" s="2884"/>
      <c r="AJ91" s="2884"/>
    </row>
    <row r="92" s="2570" customFormat="1" ht="25.5" customHeight="1" spans="1:36">
      <c r="A92" s="2764" t="s">
        <v>784</v>
      </c>
      <c r="B92" s="410" t="s">
        <v>785</v>
      </c>
      <c r="C92" s="2791">
        <f>ROUND((C87+C90+C91)*D92,0)</f>
        <v>0</v>
      </c>
      <c r="D92" s="3016">
        <v>0.1</v>
      </c>
      <c r="E92" s="2793" t="s">
        <v>786</v>
      </c>
      <c r="F92" s="2794"/>
      <c r="G92" s="2794"/>
      <c r="H92" s="2795"/>
      <c r="I92" s="2888"/>
      <c r="J92" s="2889"/>
      <c r="K92" s="2887" t="s">
        <v>787</v>
      </c>
      <c r="L92" s="2884"/>
      <c r="M92" s="2884"/>
      <c r="N92" s="2884"/>
      <c r="O92" s="2884"/>
      <c r="P92" s="2884"/>
      <c r="Q92" s="367"/>
      <c r="R92" s="367"/>
      <c r="S92" s="367"/>
      <c r="T92" s="367"/>
      <c r="U92" s="367"/>
      <c r="V92" s="367"/>
      <c r="W92" s="367"/>
      <c r="X92" s="367"/>
      <c r="Y92" s="367"/>
      <c r="Z92" s="367"/>
      <c r="AA92" s="367"/>
      <c r="AB92" s="2884"/>
      <c r="AC92" s="2884"/>
      <c r="AD92" s="2884"/>
      <c r="AE92" s="2884"/>
      <c r="AF92" s="2884"/>
      <c r="AG92" s="2884"/>
      <c r="AH92" s="2884"/>
      <c r="AI92" s="2884"/>
      <c r="AJ92" s="2884"/>
    </row>
    <row r="93" s="2570" customFormat="1" ht="25.5" customHeight="1" spans="1:36">
      <c r="A93" s="2764" t="s">
        <v>788</v>
      </c>
      <c r="B93" s="410" t="s">
        <v>764</v>
      </c>
      <c r="C93" s="2791">
        <f ca="1">ROUND(D45*D93/(1+'数据-取费表'!F30),0)</f>
        <v>1090040532</v>
      </c>
      <c r="D93" s="2792">
        <f>'数据-取费表'!E31</f>
        <v>0.006</v>
      </c>
      <c r="E93" s="2793" t="s">
        <v>765</v>
      </c>
      <c r="F93" s="2794"/>
      <c r="G93" s="2794"/>
      <c r="H93" s="2795"/>
      <c r="I93" s="2888"/>
      <c r="J93" s="2889"/>
      <c r="K93" s="367"/>
      <c r="L93" s="367"/>
      <c r="M93" s="367"/>
      <c r="N93" s="367"/>
      <c r="O93" s="367"/>
      <c r="P93" s="367"/>
      <c r="Q93" s="367"/>
      <c r="R93" s="367"/>
      <c r="S93" s="367"/>
      <c r="T93" s="367"/>
      <c r="U93" s="367"/>
      <c r="V93" s="367"/>
      <c r="W93" s="367"/>
      <c r="X93" s="367"/>
      <c r="Y93" s="367"/>
      <c r="Z93" s="367"/>
      <c r="AA93" s="367"/>
      <c r="AB93" s="2884"/>
      <c r="AC93" s="2884"/>
      <c r="AD93" s="2884"/>
      <c r="AE93" s="2884"/>
      <c r="AF93" s="2884"/>
      <c r="AG93" s="2884"/>
      <c r="AH93" s="2884"/>
      <c r="AI93" s="2884"/>
      <c r="AJ93" s="2884"/>
    </row>
    <row r="94" s="2570" customFormat="1" ht="25.5" customHeight="1" spans="1:36">
      <c r="A94" s="2764" t="s">
        <v>789</v>
      </c>
      <c r="B94" s="410" t="s">
        <v>790</v>
      </c>
      <c r="C94" s="2791">
        <f>ROUND((C87+C90+C91)*D94,0)</f>
        <v>0</v>
      </c>
      <c r="D94" s="2792">
        <v>0.2</v>
      </c>
      <c r="E94" s="2793" t="s">
        <v>791</v>
      </c>
      <c r="F94" s="2794"/>
      <c r="G94" s="2794"/>
      <c r="H94" s="2795"/>
      <c r="I94" s="2888"/>
      <c r="J94" s="2889"/>
      <c r="K94" s="367"/>
      <c r="L94" s="367"/>
      <c r="M94" s="367"/>
      <c r="N94" s="367"/>
      <c r="O94" s="367"/>
      <c r="P94" s="367"/>
      <c r="Q94" s="367"/>
      <c r="R94" s="367"/>
      <c r="S94" s="367"/>
      <c r="T94" s="367"/>
      <c r="U94" s="367"/>
      <c r="V94" s="367"/>
      <c r="W94" s="367"/>
      <c r="X94" s="367"/>
      <c r="Y94" s="367"/>
      <c r="Z94" s="367"/>
      <c r="AA94" s="367"/>
      <c r="AB94" s="2884"/>
      <c r="AC94" s="2884"/>
      <c r="AD94" s="2884"/>
      <c r="AE94" s="2884"/>
      <c r="AF94" s="2884"/>
      <c r="AG94" s="2884"/>
      <c r="AH94" s="2884"/>
      <c r="AI94" s="2884"/>
      <c r="AJ94" s="2884"/>
    </row>
    <row r="95" s="2570" customFormat="1" ht="14.25" spans="1:36">
      <c r="A95" s="2768" t="s">
        <v>739</v>
      </c>
      <c r="B95" s="516" t="s">
        <v>766</v>
      </c>
      <c r="C95" s="2771">
        <f ca="1">ROUND(C85-C86,0)</f>
        <v>180583381550</v>
      </c>
      <c r="D95" s="410" t="s">
        <v>121</v>
      </c>
      <c r="E95" s="2110"/>
      <c r="F95" s="2111"/>
      <c r="G95" s="2111"/>
      <c r="H95" s="2802"/>
      <c r="I95" s="2888"/>
      <c r="J95" s="2889"/>
      <c r="K95" s="367"/>
      <c r="L95" s="367"/>
      <c r="M95" s="367"/>
      <c r="N95" s="367"/>
      <c r="O95" s="367"/>
      <c r="P95" s="367"/>
      <c r="Q95" s="367"/>
      <c r="R95" s="367"/>
      <c r="S95" s="367"/>
      <c r="T95" s="367"/>
      <c r="U95" s="367"/>
      <c r="V95" s="367"/>
      <c r="W95" s="367"/>
      <c r="X95" s="367"/>
      <c r="Y95" s="367"/>
      <c r="Z95" s="367"/>
      <c r="AA95" s="367"/>
      <c r="AB95" s="2884"/>
      <c r="AC95" s="2884"/>
      <c r="AD95" s="2884"/>
      <c r="AE95" s="2884"/>
      <c r="AF95" s="2884"/>
      <c r="AG95" s="2884"/>
      <c r="AH95" s="2884"/>
      <c r="AI95" s="2884"/>
      <c r="AJ95" s="2884"/>
    </row>
    <row r="96" s="2570" customFormat="1" ht="24" spans="1:36">
      <c r="A96" s="2768" t="s">
        <v>742</v>
      </c>
      <c r="B96" s="516" t="s">
        <v>767</v>
      </c>
      <c r="C96" s="2796">
        <f ca="1">IF(C95&lt;=0,0,C95/C86)</f>
        <v>165.666666741893</v>
      </c>
      <c r="D96" s="410" t="s">
        <v>121</v>
      </c>
      <c r="E96" s="2191" t="str">
        <f ca="1">IF(C96&gt;=200%,"增值额超过扣除项目金额200%",IF(C96&gt;=100%,"增值额超过扣除项目金额100%，未超过200%",IF(C96&gt;=50%,"增值额超过扣除项目金额50%，未超过100%",IF(C96&lt;50%,"增值额未超过扣除项目金额50%"))))</f>
        <v>增值额超过扣除项目金额200%</v>
      </c>
      <c r="F96" s="2111"/>
      <c r="G96" s="2111"/>
      <c r="H96" s="2802"/>
      <c r="I96" s="2888"/>
      <c r="J96" s="2889"/>
      <c r="K96" s="367"/>
      <c r="L96" s="367"/>
      <c r="M96" s="367"/>
      <c r="N96" s="367"/>
      <c r="O96" s="367"/>
      <c r="P96" s="367"/>
      <c r="Q96" s="367"/>
      <c r="R96" s="367"/>
      <c r="S96" s="367"/>
      <c r="T96" s="367"/>
      <c r="U96" s="367"/>
      <c r="V96" s="367"/>
      <c r="W96" s="367"/>
      <c r="X96" s="367"/>
      <c r="Y96" s="367"/>
      <c r="Z96" s="367"/>
      <c r="AA96" s="367"/>
      <c r="AB96" s="2884"/>
      <c r="AC96" s="2884"/>
      <c r="AD96" s="2884"/>
      <c r="AE96" s="2884"/>
      <c r="AF96" s="2884"/>
      <c r="AG96" s="2884"/>
      <c r="AH96" s="2884"/>
      <c r="AI96" s="2884"/>
      <c r="AJ96" s="2884"/>
    </row>
    <row r="97" s="2570" customFormat="1" ht="24.75" spans="1:36">
      <c r="A97" s="2772" t="s">
        <v>768</v>
      </c>
      <c r="B97" s="537" t="s">
        <v>769</v>
      </c>
      <c r="C97" s="2797">
        <f ca="1">ROUND(IF(C95&lt;=0,0,IF(C96&gt;=200%,C95*60%-C86*35%,IF(C96&gt;=100%,C95*50%-C86*15%,IF(C96&gt;=50%,C95*40%-C86*5%,IF(C96&lt;50%,C95*30%,0))))),0)</f>
        <v>107968514744</v>
      </c>
      <c r="D97" s="456" t="s">
        <v>121</v>
      </c>
      <c r="E97" s="2700" t="str">
        <f ca="1">IF(E96="增值额未超过扣除项目金额50%","土地增值税税额=增值额×30%",IF(E96="增值额超过扣除项目金额50%，未超过100%","土地增值税税额=增值额×40%－扣除项目金额×5% ",IF(E96="增值额超过扣除项目金额100%，未超过200%","土地增值税税额=增值额×50%－扣除项目金额×15%",IF(E96="增值额超过扣除项目金额200%","土地增值税税额=增值额×60%－扣除项目金额×35%"))))</f>
        <v>土地增值税税额=增值额×60%－扣除项目金额×35%</v>
      </c>
      <c r="F97" s="2798"/>
      <c r="G97" s="2798"/>
      <c r="H97" s="2813"/>
      <c r="I97" s="2888"/>
      <c r="J97" s="2889"/>
      <c r="K97" s="367"/>
      <c r="L97" s="367"/>
      <c r="M97" s="367"/>
      <c r="N97" s="367"/>
      <c r="O97" s="367"/>
      <c r="P97" s="367"/>
      <c r="Q97" s="367"/>
      <c r="R97" s="367"/>
      <c r="S97" s="367"/>
      <c r="T97" s="367"/>
      <c r="U97" s="367"/>
      <c r="V97" s="367"/>
      <c r="W97" s="367"/>
      <c r="X97" s="367"/>
      <c r="Y97" s="367"/>
      <c r="Z97" s="367"/>
      <c r="AA97" s="367"/>
      <c r="AB97" s="2884"/>
      <c r="AC97" s="2884"/>
      <c r="AD97" s="2884"/>
      <c r="AE97" s="2884"/>
      <c r="AF97" s="2884"/>
      <c r="AG97" s="2884"/>
      <c r="AH97" s="2884"/>
      <c r="AI97" s="2884"/>
      <c r="AJ97" s="2884"/>
    </row>
    <row r="98" customHeight="1" spans="1:9">
      <c r="A98" s="2660" t="s">
        <v>792</v>
      </c>
      <c r="B98" s="2575"/>
      <c r="C98" s="2575"/>
      <c r="D98" s="2575"/>
      <c r="E98" s="2814"/>
      <c r="F98" s="2814"/>
      <c r="G98" s="2814"/>
      <c r="H98" s="2815"/>
      <c r="I98" s="2575"/>
    </row>
    <row r="99" ht="15.75" spans="1:10">
      <c r="A99" s="2816" t="s">
        <v>793</v>
      </c>
      <c r="B99" s="2817"/>
      <c r="C99" s="2817"/>
      <c r="D99" s="2818"/>
      <c r="E99" s="2575"/>
      <c r="F99" s="3017" t="s">
        <v>794</v>
      </c>
      <c r="G99" s="3018"/>
      <c r="H99" s="3018"/>
      <c r="I99" s="3028"/>
      <c r="J99" s="3029"/>
    </row>
    <row r="100" ht="15" spans="1:10">
      <c r="A100" s="2821" t="s">
        <v>795</v>
      </c>
      <c r="B100" s="2822"/>
      <c r="C100" s="2829" t="str">
        <f>C4</f>
        <v>典型户型修正</v>
      </c>
      <c r="D100" s="2830" t="str">
        <f>D4</f>
        <v>典型户型修正</v>
      </c>
      <c r="E100" s="2575"/>
      <c r="F100" s="2825" t="s">
        <v>796</v>
      </c>
      <c r="G100" s="2826"/>
      <c r="H100" s="2825" t="s">
        <v>797</v>
      </c>
      <c r="I100" s="2892"/>
      <c r="J100" s="2893"/>
    </row>
    <row r="101" ht="13.5" spans="1:10">
      <c r="A101" s="551" t="s">
        <v>798</v>
      </c>
      <c r="B101" s="518" t="str">
        <f>IF(H19="元","总价（元）","总价（万元）")</f>
        <v>总价（元）</v>
      </c>
      <c r="C101" s="2829">
        <f ca="1">C19</f>
        <v>38130532</v>
      </c>
      <c r="D101" s="2830">
        <f ca="1">D19</f>
        <v>38130532</v>
      </c>
      <c r="E101" s="2575"/>
      <c r="F101" s="2825" t="str">
        <f>项目基本情况!I1</f>
        <v>北京市房地产</v>
      </c>
      <c r="G101" s="2826"/>
      <c r="H101" s="2833">
        <f>项目基本情况!C12</f>
        <v>246.59</v>
      </c>
      <c r="I101" s="2892"/>
      <c r="J101" s="2893"/>
    </row>
    <row r="102" ht="13.5" spans="1:10">
      <c r="A102" s="551"/>
      <c r="B102" s="518" t="s">
        <v>799</v>
      </c>
      <c r="C102" s="2834">
        <f ca="1">C20</f>
        <v>773580004</v>
      </c>
      <c r="D102" s="2835">
        <f ca="1">D20</f>
        <v>773580004</v>
      </c>
      <c r="E102" s="2575"/>
      <c r="F102" s="2783" t="s">
        <v>800</v>
      </c>
      <c r="G102" s="2295"/>
      <c r="H102" s="2836" t="str">
        <f>C106</f>
        <v>总价（元）</v>
      </c>
      <c r="I102" s="2853">
        <f ca="1">H121</f>
        <v>190757093186</v>
      </c>
      <c r="J102" s="2893"/>
    </row>
    <row r="103" ht="13.5" spans="1:10">
      <c r="A103" s="551" t="s">
        <v>801</v>
      </c>
      <c r="B103" s="519" t="str">
        <f>B101</f>
        <v>总价（元）</v>
      </c>
      <c r="C103" s="2840">
        <f ca="1">H121</f>
        <v>190757093186</v>
      </c>
      <c r="D103" s="2837"/>
      <c r="E103" s="2575"/>
      <c r="F103" s="2783"/>
      <c r="G103" s="2295"/>
      <c r="H103" s="2836" t="s">
        <v>799</v>
      </c>
      <c r="I103" s="2766">
        <f ca="1">I121</f>
        <v>773580004</v>
      </c>
      <c r="J103" s="2710"/>
    </row>
    <row r="104" ht="14.25" spans="1:10">
      <c r="A104" s="567"/>
      <c r="B104" s="2845" t="s">
        <v>799</v>
      </c>
      <c r="C104" s="2846">
        <f ca="1">I121</f>
        <v>773580004</v>
      </c>
      <c r="D104" s="2847"/>
      <c r="E104" s="2575"/>
      <c r="F104" s="2783"/>
      <c r="G104" s="2295"/>
      <c r="H104" s="2836"/>
      <c r="I104" s="2894"/>
      <c r="J104" s="2895"/>
    </row>
    <row r="105" ht="15" spans="1:10">
      <c r="A105" s="2816" t="s">
        <v>802</v>
      </c>
      <c r="B105" s="2817"/>
      <c r="C105" s="2817"/>
      <c r="D105" s="2818"/>
      <c r="E105" s="2575"/>
      <c r="F105" s="2842" t="s">
        <v>803</v>
      </c>
      <c r="G105" s="2843"/>
      <c r="H105" s="2844" t="str">
        <f>C108</f>
        <v>总额（元）</v>
      </c>
      <c r="I105" s="2853">
        <f>SUMIF(I106:I108,"&lt;9E307")</f>
        <v>0</v>
      </c>
      <c r="J105" s="2893"/>
    </row>
    <row r="106" ht="14.25" spans="1:17">
      <c r="A106" s="2783" t="s">
        <v>800</v>
      </c>
      <c r="B106" s="2295"/>
      <c r="C106" s="2836" t="str">
        <f>B101</f>
        <v>总价（元）</v>
      </c>
      <c r="D106" s="2853">
        <f ca="1">H121</f>
        <v>190757093186</v>
      </c>
      <c r="E106" s="2575"/>
      <c r="F106" s="2848" t="s">
        <v>804</v>
      </c>
      <c r="G106" s="2849"/>
      <c r="H106" s="2844" t="str">
        <f>C109</f>
        <v>总额（元）</v>
      </c>
      <c r="I106" s="2896">
        <f>IF(D36="同一抵押权人同一抵押物续贷",C36&amp;"（续贷，未扣减，详见特别提示）",C36)</f>
        <v>0</v>
      </c>
      <c r="J106" s="2710"/>
      <c r="L106" s="2897" t="str">
        <f>IF(D123=0,"本次评估不存在"&amp;A123&amp;"。","本次评估"&amp;A123&amp;"为"&amp;D123&amp;"元人民币。")</f>
        <v>本次评估不存在估价师所知悉的法定优先受偿款。</v>
      </c>
      <c r="M106" s="2575"/>
      <c r="N106" s="2575"/>
      <c r="O106" s="2575"/>
      <c r="P106" s="2575"/>
      <c r="Q106" s="2575"/>
    </row>
    <row r="107" ht="13.5" spans="1:10">
      <c r="A107" s="2783"/>
      <c r="B107" s="2295"/>
      <c r="C107" s="2836" t="s">
        <v>799</v>
      </c>
      <c r="D107" s="2766">
        <f ca="1">I121</f>
        <v>773580004</v>
      </c>
      <c r="E107" s="2575"/>
      <c r="F107" s="2848" t="s">
        <v>805</v>
      </c>
      <c r="G107" s="2849"/>
      <c r="H107" s="2844" t="str">
        <f>C110</f>
        <v>总额（元）</v>
      </c>
      <c r="I107" s="2766">
        <f>C37</f>
        <v>0</v>
      </c>
      <c r="J107" s="2710"/>
    </row>
    <row r="108" ht="13.5" spans="1:10">
      <c r="A108" s="2854" t="s">
        <v>803</v>
      </c>
      <c r="B108" s="2855"/>
      <c r="C108" s="2844" t="str">
        <f>IF(H19="元","总额（元）","总额（万元）")</f>
        <v>总额（元）</v>
      </c>
      <c r="D108" s="2853">
        <f>IF(D36="正常操作",I106+I107+I108,I107+I108)</f>
        <v>0</v>
      </c>
      <c r="E108" s="2575"/>
      <c r="F108" s="2848" t="s">
        <v>806</v>
      </c>
      <c r="G108" s="2849"/>
      <c r="H108" s="2844" t="str">
        <f>C111</f>
        <v>总额（元）</v>
      </c>
      <c r="I108" s="2766">
        <f>C38</f>
        <v>0</v>
      </c>
      <c r="J108" s="2710"/>
    </row>
    <row r="109" ht="13.5" spans="1:10">
      <c r="A109" s="2848" t="s">
        <v>804</v>
      </c>
      <c r="B109" s="2849"/>
      <c r="C109" s="2844" t="str">
        <f>C108</f>
        <v>总额（元）</v>
      </c>
      <c r="D109" s="2766">
        <f>IF(D36="同一抵押权人同一抵押物续贷",C36&amp;"（未扣减，详见特别提示）",C36)</f>
        <v>0</v>
      </c>
      <c r="E109" s="2575"/>
      <c r="F109" s="2783"/>
      <c r="G109" s="2295"/>
      <c r="H109" s="552"/>
      <c r="I109" s="2898"/>
      <c r="J109" s="2899"/>
    </row>
    <row r="110" ht="28.5" customHeight="1" spans="1:10">
      <c r="A110" s="2848" t="s">
        <v>805</v>
      </c>
      <c r="B110" s="2849"/>
      <c r="C110" s="2844" t="str">
        <f>C108</f>
        <v>总额（元）</v>
      </c>
      <c r="D110" s="2766">
        <f>C37</f>
        <v>0</v>
      </c>
      <c r="E110" s="2575"/>
      <c r="F110" s="2856" t="str">
        <f>IF(项目基本情况!F5="已注销","——","3.房地产抵押价值")</f>
        <v>3.房地产抵押价值</v>
      </c>
      <c r="G110" s="2665"/>
      <c r="H110" s="3019" t="str">
        <f>C112</f>
        <v>总价（元）</v>
      </c>
      <c r="I110" s="2853">
        <f ca="1">IF(F110="——","——",I102-I105)</f>
        <v>190757093186</v>
      </c>
      <c r="J110" s="2893"/>
    </row>
    <row r="111" ht="13.5" spans="1:10">
      <c r="A111" s="2848" t="s">
        <v>806</v>
      </c>
      <c r="B111" s="2849"/>
      <c r="C111" s="2844" t="str">
        <f>C108</f>
        <v>总额（元）</v>
      </c>
      <c r="D111" s="2766">
        <f>C38</f>
        <v>0</v>
      </c>
      <c r="E111" s="2575"/>
      <c r="F111" s="2857"/>
      <c r="G111" s="2674"/>
      <c r="H111" s="2836" t="s">
        <v>799</v>
      </c>
      <c r="I111" s="2900">
        <f ca="1">D113</f>
        <v>773580004</v>
      </c>
      <c r="J111" s="2901"/>
    </row>
    <row r="112" ht="26.25" customHeight="1" spans="1:10">
      <c r="A112" s="2783" t="str">
        <f>IF(项目基本情况!F5="已注销","——","3.房地产抵押价值")</f>
        <v>3.房地产抵押价值</v>
      </c>
      <c r="B112" s="2295"/>
      <c r="C112" s="2836" t="str">
        <f>B101</f>
        <v>总价（元）</v>
      </c>
      <c r="D112" s="2853">
        <f ca="1">IF(A112="——","——",D106-D108)</f>
        <v>190757093186</v>
      </c>
      <c r="E112" s="2575"/>
      <c r="F112" s="2856" t="str">
        <f>IF(项目基本情况!F5="已注销及未注销","4.抵押担保权已注销时的房地产抵押价值",IF(项目基本情况!F5="已注销","3.抵押担保权已注销时的房地产抵押价值","——"))</f>
        <v>——</v>
      </c>
      <c r="G112" s="2665"/>
      <c r="H112" s="3019" t="str">
        <f>C114</f>
        <v>总价（元）</v>
      </c>
      <c r="I112" s="2853" t="str">
        <f ca="1">IF(F112="——","——",I102-I107-I108)</f>
        <v>——</v>
      </c>
      <c r="J112" s="2893"/>
    </row>
    <row r="113" ht="13.5" spans="1:10">
      <c r="A113" s="2783"/>
      <c r="B113" s="2295"/>
      <c r="C113" s="2836" t="s">
        <v>799</v>
      </c>
      <c r="D113" s="2766">
        <f ca="1">ROUND(IF(D112=D106,D107,IF(H19="元",D112/项目基本情况!C12,D112*10000/项目基本情况!C12)),0)</f>
        <v>773580004</v>
      </c>
      <c r="E113" s="2575"/>
      <c r="F113" s="2857"/>
      <c r="G113" s="2674"/>
      <c r="H113" s="2836" t="s">
        <v>799</v>
      </c>
      <c r="I113" s="2766" t="str">
        <f ca="1">D115</f>
        <v>——</v>
      </c>
      <c r="J113" s="2710"/>
    </row>
    <row r="114" ht="13.5" spans="1:10">
      <c r="A114" s="2783" t="str">
        <f>IF(项目基本情况!F5="已注销及未注销","4.抵押担保权已注销时的房地产抵押价值",IF(项目基本情况!F5="已注销","3.抵押担保权已注销时的房地产抵押价值","——"))</f>
        <v>——</v>
      </c>
      <c r="B114" s="2295"/>
      <c r="C114" s="2836" t="str">
        <f>B101</f>
        <v>总价（元）</v>
      </c>
      <c r="D114" s="2853" t="str">
        <f ca="1">IF(A114="——","——",D106-D110-D111)</f>
        <v>——</v>
      </c>
      <c r="E114" s="2575"/>
      <c r="F114" s="2856" t="str">
        <f>IF(项目基本情况!G5="抵押净值",IF(OR(项目基本情况!F5="已注销",项目基本情况!F5="房地产抵押价值"),"4.抵押净值","5.抵押净值"),"——")</f>
        <v>——</v>
      </c>
      <c r="G114" s="2665"/>
      <c r="H114" s="2836" t="str">
        <f>C116</f>
        <v>总价（元）</v>
      </c>
      <c r="I114" s="2853" t="str">
        <f ca="1">IF(F114="——","——",O59)</f>
        <v>——</v>
      </c>
      <c r="J114" s="2893"/>
    </row>
    <row r="115" ht="14.25" spans="1:10">
      <c r="A115" s="2783"/>
      <c r="B115" s="2295"/>
      <c r="C115" s="2836" t="s">
        <v>799</v>
      </c>
      <c r="D115" s="2766" t="str">
        <f ca="1">IF(A114="——","——",ROUND(IF(D114=D106,D107,IF(H19="元",D114/项目基本情况!C12,D114*10000/项目基本情况!C12)),0))</f>
        <v>——</v>
      </c>
      <c r="E115" s="2575"/>
      <c r="F115" s="2858"/>
      <c r="G115" s="2859"/>
      <c r="H115" s="2860" t="s">
        <v>799</v>
      </c>
      <c r="I115" s="2864" t="str">
        <f ca="1">D117</f>
        <v>——</v>
      </c>
      <c r="J115" s="2710"/>
    </row>
    <row r="116" ht="15.75" spans="1:16">
      <c r="A116" s="2783" t="str">
        <f>IF(项目基本情况!G5="抵押净值",IF(OR(项目基本情况!F5="已注销",项目基本情况!F5="房地产抵押价值"),"4.抵押净值","5.抵押净值"),"——")</f>
        <v>——</v>
      </c>
      <c r="B116" s="2295"/>
      <c r="C116" s="2836" t="str">
        <f>B101</f>
        <v>总价（元）</v>
      </c>
      <c r="D116" s="2853" t="str">
        <f ca="1">IF(A116="——","——",O59)</f>
        <v>——</v>
      </c>
      <c r="E116" s="2575"/>
      <c r="F116" s="2861"/>
      <c r="G116" s="2861"/>
      <c r="H116" s="2862"/>
      <c r="I116" s="2862"/>
      <c r="J116" s="2902"/>
      <c r="O116" s="1709"/>
      <c r="P116" s="1709"/>
    </row>
    <row r="117" ht="14.25" spans="1:16">
      <c r="A117" s="2863"/>
      <c r="B117" s="2797"/>
      <c r="C117" s="2860" t="s">
        <v>799</v>
      </c>
      <c r="D117" s="2864" t="str">
        <f ca="1">IF(D116=D112,D113,IF(A116="——","——",O61))</f>
        <v>——</v>
      </c>
      <c r="E117" s="2575"/>
      <c r="F117" s="3020" t="str">
        <f>IF(B32="总价","（以上估价结果中单价为总价除以建筑面积得出）","（以上估价结果中总价为楼面单价乘以建筑面积得出）")</f>
        <v>（以上估价结果中总价为楼面单价乘以建筑面积得出）</v>
      </c>
      <c r="G117" s="3020"/>
      <c r="H117" s="3020"/>
      <c r="I117" s="3020"/>
      <c r="J117" s="2903"/>
      <c r="O117" s="1709"/>
      <c r="P117" s="1709"/>
    </row>
    <row r="118" ht="15" spans="1:10">
      <c r="A118" s="2865" t="s">
        <v>807</v>
      </c>
      <c r="B118" s="2866"/>
      <c r="C118" s="2866"/>
      <c r="D118" s="2866"/>
      <c r="E118" s="2866"/>
      <c r="F118" s="2866"/>
      <c r="G118" s="2866"/>
      <c r="H118" s="2866"/>
      <c r="I118" s="2866"/>
      <c r="J118" s="2904"/>
    </row>
    <row r="119" ht="13.5" spans="1:10">
      <c r="A119" s="2690" t="s">
        <v>808</v>
      </c>
      <c r="B119" s="2138" t="s">
        <v>357</v>
      </c>
      <c r="C119" s="2138" t="s">
        <v>809</v>
      </c>
      <c r="D119" s="2867" t="s">
        <v>810</v>
      </c>
      <c r="E119" s="2868"/>
      <c r="F119" s="2132" t="s">
        <v>652</v>
      </c>
      <c r="G119" s="2132"/>
      <c r="H119" s="2132" t="s">
        <v>811</v>
      </c>
      <c r="I119" s="2766"/>
      <c r="J119" s="2710"/>
    </row>
    <row r="120" ht="13.5" spans="1:10">
      <c r="A120" s="2690"/>
      <c r="B120" s="447"/>
      <c r="C120" s="447"/>
      <c r="D120" s="2132" t="s">
        <v>812</v>
      </c>
      <c r="E120" s="2132" t="s">
        <v>813</v>
      </c>
      <c r="F120" s="2132" t="s">
        <v>812</v>
      </c>
      <c r="G120" s="2132" t="s">
        <v>813</v>
      </c>
      <c r="H120" s="2132" t="s">
        <v>812</v>
      </c>
      <c r="I120" s="2766" t="s">
        <v>813</v>
      </c>
      <c r="J120" s="2710"/>
    </row>
    <row r="121" ht="13.5" spans="1:10">
      <c r="A121" s="2690" t="str">
        <f>项目基本情况!I1</f>
        <v>北京市房地产</v>
      </c>
      <c r="B121" s="2132">
        <f>项目基本情况!C12</f>
        <v>246.59</v>
      </c>
      <c r="C121" s="2132">
        <f>项目基本情况!C13</f>
        <v>0</v>
      </c>
      <c r="D121" s="2132">
        <f ca="1">ROUND(IF(B32="总价",C34,IF('数据-取费表'!B3="万元",E121*B121/10000,E121*B121)),0)</f>
        <v>170536841413</v>
      </c>
      <c r="E121" s="2132">
        <f ca="1">ROUND(IF(B32="楼面单价",C34,IF(H19="元",D121/B121,D121*10000/B121)),0)</f>
        <v>691580524</v>
      </c>
      <c r="F121" s="2132">
        <f ca="1">ROUND(IF(B32="总价",C35,IF('数据-取费表'!B3="万元",G121*B121/10000,G121*B121)),0)</f>
        <v>20220251773</v>
      </c>
      <c r="G121" s="2132">
        <f ca="1">ROUND(IF(B32="楼面单价",C35,IF(H19="元",F121/B121,F121*10000/B121)),0)</f>
        <v>81999480</v>
      </c>
      <c r="H121" s="2132">
        <f ca="1">ROUND(IF(B32="总价",C32,IF('数据-取费表'!B3="万元",I121*B121/10000,I121*B121)),0)</f>
        <v>190757093186</v>
      </c>
      <c r="I121" s="2766">
        <f ca="1">ROUND(IF(B32="楼面单价",C32,IF(H19="元",H121/B121,H121*10000/B121)),0)</f>
        <v>773580004</v>
      </c>
      <c r="J121" s="2710"/>
    </row>
    <row r="122" ht="13.5" spans="1:10">
      <c r="A122" s="2690" t="s">
        <v>814</v>
      </c>
      <c r="B122" s="2132"/>
      <c r="C122" s="2132"/>
      <c r="D122" s="2870" t="str">
        <f ca="1">IF(H19="元",NUMBERSTRING(INT(D121),2)&amp;"元整",NUMBERSTRING(INT(D121*10000),2)&amp;"元整")</f>
        <v>壹仟柒佰零伍亿叁仟陆佰捌拾肆万壹仟肆佰壹拾叁元整</v>
      </c>
      <c r="E122" s="2871"/>
      <c r="F122" s="2870" t="str">
        <f ca="1">IF(H19="元",NUMBERSTRING(INT(F121),2)&amp;"元整",NUMBERSTRING(INT(F121*10000),2)&amp;"元整")</f>
        <v>贰佰零贰亿贰仟零贰拾伍万壹仟柒佰柒拾叁元整</v>
      </c>
      <c r="G122" s="2871"/>
      <c r="H122" s="2870" t="str">
        <f ca="1">IF(H19="元",NUMBERSTRING(INT(H121),2)&amp;"元整",NUMBERSTRING(INT(H121*10000),2)&amp;"元整")</f>
        <v>壹仟玖佰零柒亿伍仟柒佰零玖万叁仟壹佰捌拾陆元整</v>
      </c>
      <c r="I122" s="2905"/>
      <c r="J122" s="2906"/>
    </row>
    <row r="123" ht="13.5" spans="1:10">
      <c r="A123" s="2825" t="str">
        <f>IF(项目基本情况!D5="房地产市场价值","——",MID(A108,3,LEN(A108)-2))</f>
        <v>估价师所知悉的法定优先受偿款</v>
      </c>
      <c r="B123" s="2827"/>
      <c r="C123" s="2826"/>
      <c r="D123" s="2833">
        <f>I105</f>
        <v>0</v>
      </c>
      <c r="E123" s="2827"/>
      <c r="F123" s="2827"/>
      <c r="G123" s="2827"/>
      <c r="H123" s="2827"/>
      <c r="I123" s="2892"/>
      <c r="J123" s="2893"/>
    </row>
    <row r="124" ht="13.5" spans="1:10">
      <c r="A124" s="2872" t="s">
        <v>814</v>
      </c>
      <c r="B124" s="2111"/>
      <c r="C124" s="2693"/>
      <c r="D124" s="2873">
        <f>H109</f>
        <v>0</v>
      </c>
      <c r="E124" s="2874"/>
      <c r="F124" s="2874"/>
      <c r="G124" s="2874"/>
      <c r="H124" s="2874"/>
      <c r="I124" s="2907"/>
      <c r="J124" s="2908"/>
    </row>
    <row r="125" ht="13.5" spans="1:10">
      <c r="A125" s="2783" t="str">
        <f>IF(项目基本情况!D5="房地产市场价值","——",MID(A112,3,LEN(A112)-2))</f>
        <v>房地产抵押价值</v>
      </c>
      <c r="B125" s="2295"/>
      <c r="C125" s="2295"/>
      <c r="D125" s="2833">
        <f ca="1">I110</f>
        <v>190757093186</v>
      </c>
      <c r="E125" s="2827"/>
      <c r="F125" s="2827"/>
      <c r="G125" s="2827"/>
      <c r="H125" s="2827"/>
      <c r="I125" s="2892"/>
      <c r="J125" s="2893"/>
    </row>
    <row r="126" ht="13.5" spans="1:10">
      <c r="A126" s="2690" t="s">
        <v>814</v>
      </c>
      <c r="B126" s="2132"/>
      <c r="C126" s="2132"/>
      <c r="D126" s="2873">
        <f ca="1">I111</f>
        <v>773580004</v>
      </c>
      <c r="E126" s="2874"/>
      <c r="F126" s="2874"/>
      <c r="G126" s="2874"/>
      <c r="H126" s="2874"/>
      <c r="I126" s="2907"/>
      <c r="J126" s="2908"/>
    </row>
    <row r="127" ht="14.25" spans="1:10">
      <c r="A127" s="2783" t="str">
        <f>IF(项目基本情况!D5="房地产市场价值","——",MID(A114,3,LEN(A114)-2))</f>
        <v/>
      </c>
      <c r="B127" s="2295"/>
      <c r="C127" s="2295"/>
      <c r="D127" s="2663" t="str">
        <f ca="1">I112</f>
        <v>——</v>
      </c>
      <c r="E127" s="2664"/>
      <c r="F127" s="2664"/>
      <c r="G127" s="2664"/>
      <c r="H127" s="2664"/>
      <c r="I127" s="2931"/>
      <c r="J127" s="2893"/>
    </row>
    <row r="128" ht="15" spans="1:10">
      <c r="A128" s="2690" t="s">
        <v>814</v>
      </c>
      <c r="B128" s="2132"/>
      <c r="C128" s="2110"/>
      <c r="D128" s="2909" t="str">
        <f ca="1">I113</f>
        <v>——</v>
      </c>
      <c r="E128" s="2909"/>
      <c r="F128" s="2909"/>
      <c r="G128" s="2909"/>
      <c r="H128" s="2909"/>
      <c r="I128" s="2909"/>
      <c r="J128" s="2908"/>
    </row>
    <row r="129" ht="15" spans="1:10">
      <c r="A129" s="2783" t="str">
        <f>IF(项目基本情况!D5="房地产市场价值","——",MID(F114,3,LEN(F114)-2))</f>
        <v/>
      </c>
      <c r="B129" s="2295"/>
      <c r="C129" s="2833"/>
      <c r="D129" s="2910" t="str">
        <f ca="1">I114</f>
        <v>——</v>
      </c>
      <c r="E129" s="2910"/>
      <c r="F129" s="2910"/>
      <c r="G129" s="2910"/>
      <c r="H129" s="2910"/>
      <c r="I129" s="2910"/>
      <c r="J129" s="2893"/>
    </row>
    <row r="130" ht="15" spans="1:10">
      <c r="A130" s="2698" t="s">
        <v>814</v>
      </c>
      <c r="B130" s="2699"/>
      <c r="C130" s="2699"/>
      <c r="D130" s="2911">
        <f>H116</f>
        <v>0</v>
      </c>
      <c r="E130" s="2912"/>
      <c r="F130" s="2912"/>
      <c r="G130" s="2912"/>
      <c r="H130" s="2912"/>
      <c r="I130" s="2932"/>
      <c r="J130" s="2908"/>
    </row>
    <row r="131" ht="13.5" spans="1:10">
      <c r="A131" s="2658" t="str">
        <f>IF(H19="元","单位：平方米、元、元/平方米（币种：人民币）","单位：平方米、万元、元/平方米（币种：人民币）")</f>
        <v>单位：平方米、元、元/平方米（币种：人民币）</v>
      </c>
      <c r="B131" s="2658"/>
      <c r="C131" s="2658"/>
      <c r="D131" s="2658"/>
      <c r="E131" s="2658"/>
      <c r="F131" s="2658"/>
      <c r="G131" s="2658"/>
      <c r="H131" s="2658"/>
      <c r="I131" s="2658"/>
      <c r="J131" s="2933"/>
    </row>
    <row r="132" ht="14.25" spans="1:10">
      <c r="A132" s="2913" t="str">
        <f>IF(B32="总价","（以上估价结果中楼面单价为总价除以建筑面积得出）","（以上估价结果中总价为楼面单价乘以建筑面积得出）")</f>
        <v>（以上估价结果中总价为楼面单价乘以建筑面积得出）</v>
      </c>
      <c r="B132" s="2913"/>
      <c r="C132" s="2913"/>
      <c r="D132" s="2913"/>
      <c r="E132" s="2913"/>
      <c r="F132" s="2913"/>
      <c r="G132" s="2913"/>
      <c r="H132" s="2913"/>
      <c r="I132" s="2913"/>
      <c r="J132" s="2899"/>
    </row>
    <row r="133" customHeight="1" spans="1:10">
      <c r="A133" s="2914" t="s">
        <v>815</v>
      </c>
      <c r="B133" s="2915"/>
      <c r="C133" s="2916" t="s">
        <v>816</v>
      </c>
      <c r="D133" s="2917"/>
      <c r="E133" s="2917"/>
      <c r="F133" s="2917"/>
      <c r="G133" s="2917"/>
      <c r="H133" s="2918"/>
      <c r="I133" s="2934"/>
      <c r="J133" s="2935"/>
    </row>
    <row r="134" customHeight="1" spans="1:10">
      <c r="A134" s="2919">
        <v>1</v>
      </c>
      <c r="B134" s="2920"/>
      <c r="C134" s="2920"/>
      <c r="D134" s="2917"/>
      <c r="E134" s="2917"/>
      <c r="F134" s="2917"/>
      <c r="G134" s="2917"/>
      <c r="H134" s="2918"/>
      <c r="I134" s="2934"/>
      <c r="J134" s="2935"/>
    </row>
    <row r="135" customHeight="1" spans="1:10">
      <c r="A135" s="2919">
        <v>2</v>
      </c>
      <c r="B135" s="2920"/>
      <c r="C135" s="2920"/>
      <c r="D135" s="2917"/>
      <c r="E135" s="2917"/>
      <c r="F135" s="2917"/>
      <c r="G135" s="2917"/>
      <c r="H135" s="2918"/>
      <c r="I135" s="2934"/>
      <c r="J135" s="2935"/>
    </row>
    <row r="136" customHeight="1" spans="1:10">
      <c r="A136" s="2919">
        <v>3</v>
      </c>
      <c r="B136" s="2920"/>
      <c r="C136" s="2920"/>
      <c r="D136" s="2917"/>
      <c r="E136" s="2917"/>
      <c r="F136" s="1709"/>
      <c r="G136" s="1709"/>
      <c r="H136" s="1709"/>
      <c r="I136" s="1709"/>
      <c r="J136" s="2936"/>
    </row>
    <row r="137" customHeight="1" spans="1:10">
      <c r="A137" s="2921"/>
      <c r="B137" s="2922"/>
      <c r="C137" s="2922"/>
      <c r="D137" s="2923"/>
      <c r="E137" s="2923"/>
      <c r="F137" s="2923"/>
      <c r="G137" s="2923"/>
      <c r="H137" s="2924"/>
      <c r="I137" s="2937"/>
      <c r="J137" s="2935"/>
    </row>
    <row r="138" customHeight="1" spans="1:10">
      <c r="A138" s="2920"/>
      <c r="B138" s="2920"/>
      <c r="C138" s="2920"/>
      <c r="D138" s="2917"/>
      <c r="E138" s="2917"/>
      <c r="F138" s="2917"/>
      <c r="G138" s="2917"/>
      <c r="H138" s="2918"/>
      <c r="I138" s="1712"/>
      <c r="J138" s="2936"/>
    </row>
    <row r="139" customHeight="1" spans="1:10">
      <c r="A139" s="1712"/>
      <c r="B139" s="1712"/>
      <c r="C139" s="1712"/>
      <c r="D139" s="1712"/>
      <c r="E139" s="1712"/>
      <c r="F139" s="2925" t="s">
        <v>817</v>
      </c>
      <c r="G139" s="2926"/>
      <c r="H139" s="2926"/>
      <c r="I139" s="2938" t="s">
        <v>818</v>
      </c>
      <c r="J139" s="2939"/>
    </row>
    <row r="140" customHeight="1" spans="1:10">
      <c r="A140" s="1712"/>
      <c r="B140" s="2927" t="s">
        <v>819</v>
      </c>
      <c r="C140" s="1712"/>
      <c r="D140" s="1712"/>
      <c r="E140" s="1712"/>
      <c r="F140" s="1712"/>
      <c r="G140" s="1712"/>
      <c r="H140" s="1712"/>
      <c r="I140" s="1712"/>
      <c r="J140" s="2936"/>
    </row>
    <row r="141" customHeight="1" spans="1:10">
      <c r="A141" s="1712"/>
      <c r="B141" s="1712"/>
      <c r="C141" s="1712"/>
      <c r="D141" s="1712"/>
      <c r="E141" s="1712"/>
      <c r="F141" s="1712"/>
      <c r="G141" s="1712"/>
      <c r="H141" s="1712"/>
      <c r="I141" s="1712"/>
      <c r="J141" s="2936"/>
    </row>
    <row r="142" customHeight="1" spans="1:10">
      <c r="A142" s="1712"/>
      <c r="B142" s="2926"/>
      <c r="C142" s="2926"/>
      <c r="D142" s="2926"/>
      <c r="E142" s="2926"/>
      <c r="F142" s="2926"/>
      <c r="G142" s="2926"/>
      <c r="H142" s="2926"/>
      <c r="I142" s="2938" t="s">
        <v>820</v>
      </c>
      <c r="J142" s="2939"/>
    </row>
    <row r="143" customHeight="1" spans="1:10">
      <c r="A143" s="1712"/>
      <c r="B143" s="2927" t="s">
        <v>821</v>
      </c>
      <c r="C143" s="1712"/>
      <c r="D143" s="1712"/>
      <c r="E143" s="1712"/>
      <c r="F143" s="1712"/>
      <c r="G143" s="1712"/>
      <c r="H143" s="1712"/>
      <c r="I143" s="1712"/>
      <c r="J143" s="2936"/>
    </row>
    <row r="144" customHeight="1" spans="1:10">
      <c r="A144" s="1712"/>
      <c r="B144" s="2927"/>
      <c r="C144" s="1712"/>
      <c r="D144" s="1712"/>
      <c r="E144" s="1712"/>
      <c r="F144" s="1712"/>
      <c r="G144" s="1712"/>
      <c r="H144" s="1712"/>
      <c r="I144" s="1712"/>
      <c r="J144" s="2936"/>
    </row>
    <row r="145" customHeight="1" spans="1:10">
      <c r="A145" s="1712"/>
      <c r="B145" s="2926"/>
      <c r="C145" s="2926"/>
      <c r="D145" s="2926"/>
      <c r="E145" s="2926"/>
      <c r="F145" s="2926"/>
      <c r="G145" s="2926"/>
      <c r="H145" s="2926"/>
      <c r="I145" s="2938" t="s">
        <v>820</v>
      </c>
      <c r="J145" s="2939"/>
    </row>
    <row r="146" customHeight="1" spans="1:10">
      <c r="A146" s="1712"/>
      <c r="B146" s="2927"/>
      <c r="C146" s="2928"/>
      <c r="D146" s="2929"/>
      <c r="E146" s="2929"/>
      <c r="F146" s="2930"/>
      <c r="G146" s="1712"/>
      <c r="H146" s="1712"/>
      <c r="I146" s="1712"/>
      <c r="J146" s="2936"/>
    </row>
    <row r="147" s="1709" customFormat="1" customHeight="1" spans="1:36">
      <c r="A147" s="1712"/>
      <c r="B147" s="2927"/>
      <c r="C147" s="2928"/>
      <c r="D147" s="2929"/>
      <c r="E147" s="2929"/>
      <c r="F147" s="1712"/>
      <c r="G147" s="1712"/>
      <c r="H147" s="1712"/>
      <c r="I147" s="1712"/>
      <c r="J147" s="2936"/>
      <c r="K147" s="1712"/>
      <c r="L147" s="1712"/>
      <c r="M147" s="1712"/>
      <c r="N147" s="1712"/>
      <c r="O147" s="1712"/>
      <c r="P147" s="1712"/>
      <c r="Q147" s="1712"/>
      <c r="R147" s="1712"/>
      <c r="S147" s="1712"/>
      <c r="T147" s="1712"/>
      <c r="U147" s="1712"/>
      <c r="V147" s="1712"/>
      <c r="W147" s="1712"/>
      <c r="X147" s="1712"/>
      <c r="Y147" s="1712"/>
      <c r="Z147" s="1712"/>
      <c r="AA147" s="1712"/>
      <c r="AB147" s="1712"/>
      <c r="AC147" s="1712"/>
      <c r="AD147" s="1712"/>
      <c r="AE147" s="1712"/>
      <c r="AF147" s="1712"/>
      <c r="AG147" s="1712"/>
      <c r="AH147" s="1712"/>
      <c r="AI147" s="1712"/>
      <c r="AJ147" s="1712"/>
    </row>
    <row r="148" s="1709" customFormat="1" customHeight="1" spans="1:36">
      <c r="A148" s="1712"/>
      <c r="B148" s="1712"/>
      <c r="C148" s="1712"/>
      <c r="D148" s="1712"/>
      <c r="E148" s="1712"/>
      <c r="F148" s="1712"/>
      <c r="G148" s="1712"/>
      <c r="H148" s="1712"/>
      <c r="I148" s="1712"/>
      <c r="J148" s="2936"/>
      <c r="K148" s="1712"/>
      <c r="L148" s="1712"/>
      <c r="M148" s="1712"/>
      <c r="N148" s="1712"/>
      <c r="O148" s="1712"/>
      <c r="P148" s="1712"/>
      <c r="Q148" s="1712"/>
      <c r="R148" s="1712"/>
      <c r="S148" s="1712"/>
      <c r="T148" s="1712"/>
      <c r="U148" s="1712"/>
      <c r="V148" s="1712"/>
      <c r="W148" s="1712"/>
      <c r="X148" s="1712"/>
      <c r="Y148" s="1712"/>
      <c r="Z148" s="1712"/>
      <c r="AA148" s="1712"/>
      <c r="AB148" s="1712"/>
      <c r="AC148" s="1712"/>
      <c r="AD148" s="1712"/>
      <c r="AE148" s="1712"/>
      <c r="AF148" s="1712"/>
      <c r="AG148" s="1712"/>
      <c r="AH148" s="1712"/>
      <c r="AI148" s="1712"/>
      <c r="AJ148" s="1712"/>
    </row>
    <row r="149" s="1709" customFormat="1" customHeight="1" spans="1:36">
      <c r="A149" s="1712"/>
      <c r="B149" s="1712"/>
      <c r="C149" s="1712"/>
      <c r="D149" s="1712"/>
      <c r="E149" s="1712"/>
      <c r="F149" s="1712"/>
      <c r="G149" s="1712"/>
      <c r="H149" s="1712"/>
      <c r="I149" s="1712"/>
      <c r="J149" s="2936"/>
      <c r="K149" s="1712"/>
      <c r="L149" s="1712"/>
      <c r="M149" s="1712"/>
      <c r="N149" s="1712"/>
      <c r="O149" s="1712"/>
      <c r="P149" s="1712"/>
      <c r="Q149" s="1712"/>
      <c r="R149" s="1712"/>
      <c r="S149" s="1712"/>
      <c r="T149" s="1712"/>
      <c r="U149" s="1712"/>
      <c r="V149" s="1712"/>
      <c r="W149" s="1712"/>
      <c r="X149" s="1712"/>
      <c r="Y149" s="1712"/>
      <c r="Z149" s="1712"/>
      <c r="AA149" s="1712"/>
      <c r="AB149" s="1712"/>
      <c r="AC149" s="1712"/>
      <c r="AD149" s="1712"/>
      <c r="AE149" s="1712"/>
      <c r="AF149" s="1712"/>
      <c r="AG149" s="1712"/>
      <c r="AH149" s="1712"/>
      <c r="AI149" s="1712"/>
      <c r="AJ149" s="1712"/>
    </row>
    <row r="150" s="1712" customFormat="1" customHeight="1" spans="10:10">
      <c r="J150" s="2936"/>
    </row>
    <row r="151" s="1712" customFormat="1" customHeight="1" spans="10:10">
      <c r="J151" s="2936"/>
    </row>
    <row r="152" s="1712" customFormat="1" customHeight="1" spans="10:10">
      <c r="J152" s="2936"/>
    </row>
    <row r="153" s="1712" customFormat="1" customHeight="1" spans="10:10">
      <c r="J153" s="2936"/>
    </row>
    <row r="154" s="1712" customFormat="1" customHeight="1" spans="10:10">
      <c r="J154" s="2936"/>
    </row>
    <row r="155" s="1712" customFormat="1" customHeight="1" spans="10:10">
      <c r="J155" s="2936"/>
    </row>
    <row r="156" s="1712" customFormat="1" customHeight="1" spans="10:10">
      <c r="J156" s="2936"/>
    </row>
    <row r="157" s="1712" customFormat="1" customHeight="1" spans="10:10">
      <c r="J157" s="2936"/>
    </row>
    <row r="158" s="1712" customFormat="1" customHeight="1" spans="10:10">
      <c r="J158" s="2936"/>
    </row>
    <row r="159" s="1712" customFormat="1" customHeight="1" spans="10:10">
      <c r="J159" s="2936"/>
    </row>
    <row r="160" s="1712" customFormat="1" customHeight="1" spans="10:10">
      <c r="J160" s="2936"/>
    </row>
    <row r="161" s="1712" customFormat="1" customHeight="1" spans="10:10">
      <c r="J161" s="2936"/>
    </row>
    <row r="162" s="1712" customFormat="1" customHeight="1" spans="10:10">
      <c r="J162" s="2936"/>
    </row>
    <row r="163" s="1712" customFormat="1" customHeight="1" spans="10:10">
      <c r="J163" s="2936"/>
    </row>
    <row r="164" s="1712" customFormat="1" customHeight="1" spans="10:10">
      <c r="J164" s="2936"/>
    </row>
    <row r="165" s="1712" customFormat="1" customHeight="1" spans="10:10">
      <c r="J165" s="2936"/>
    </row>
    <row r="166" s="1712" customFormat="1" customHeight="1" spans="10:10">
      <c r="J166" s="2936"/>
    </row>
    <row r="167" s="1712" customFormat="1" customHeight="1" spans="10:10">
      <c r="J167" s="2936"/>
    </row>
    <row r="168" s="1712" customFormat="1" customHeight="1" spans="10:10">
      <c r="J168" s="2936"/>
    </row>
    <row r="169" s="1712" customFormat="1" customHeight="1" spans="10:10">
      <c r="J169" s="2936"/>
    </row>
    <row r="170" s="1712" customFormat="1" customHeight="1" spans="10:10">
      <c r="J170" s="2936"/>
    </row>
    <row r="171" s="1712" customFormat="1" customHeight="1" spans="10:10">
      <c r="J171" s="2936"/>
    </row>
    <row r="172" s="1712" customFormat="1" customHeight="1" spans="10:10">
      <c r="J172" s="2936"/>
    </row>
    <row r="173" s="1712" customFormat="1" customHeight="1" spans="10:10">
      <c r="J173" s="2936"/>
    </row>
    <row r="174" s="1712" customFormat="1" customHeight="1" spans="10:10">
      <c r="J174" s="2936"/>
    </row>
    <row r="175" s="1712" customFormat="1" customHeight="1" spans="10:10">
      <c r="J175" s="2936"/>
    </row>
    <row r="176" s="1712" customFormat="1" customHeight="1" spans="10:10">
      <c r="J176" s="2936"/>
    </row>
    <row r="177" s="1712" customFormat="1" customHeight="1" spans="10:10">
      <c r="J177" s="2936"/>
    </row>
    <row r="178" s="1712" customFormat="1" customHeight="1" spans="10:10">
      <c r="J178" s="2936"/>
    </row>
    <row r="179" s="1712" customFormat="1" customHeight="1" spans="10:10">
      <c r="J179" s="2936"/>
    </row>
    <row r="180" s="1712" customFormat="1" customHeight="1" spans="10:10">
      <c r="J180" s="2936"/>
    </row>
    <row r="181" s="1712" customFormat="1" customHeight="1" spans="10:10">
      <c r="J181" s="2936"/>
    </row>
    <row r="182" s="1712" customFormat="1" customHeight="1" spans="10:10">
      <c r="J182" s="2936"/>
    </row>
    <row r="183" s="1712" customFormat="1" customHeight="1" spans="10:10">
      <c r="J183" s="2936"/>
    </row>
    <row r="184" s="1712" customFormat="1" customHeight="1" spans="10:10">
      <c r="J184" s="2936"/>
    </row>
    <row r="185" s="1712" customFormat="1" customHeight="1" spans="10:10">
      <c r="J185" s="2936"/>
    </row>
    <row r="186" s="1712" customFormat="1" customHeight="1" spans="10:10">
      <c r="J186" s="2936"/>
    </row>
    <row r="187" s="1712" customFormat="1" customHeight="1" spans="10:10">
      <c r="J187" s="2936"/>
    </row>
    <row r="188" s="1712" customFormat="1" customHeight="1" spans="10:10">
      <c r="J188" s="2936"/>
    </row>
    <row r="189" s="1712" customFormat="1" customHeight="1" spans="10:10">
      <c r="J189" s="2936"/>
    </row>
    <row r="190" s="1712" customFormat="1" customHeight="1" spans="10:10">
      <c r="J190" s="2936"/>
    </row>
    <row r="191" s="1712" customFormat="1" customHeight="1" spans="10:10">
      <c r="J191" s="2936"/>
    </row>
    <row r="192" s="1712" customFormat="1" customHeight="1" spans="10:10">
      <c r="J192" s="2936"/>
    </row>
    <row r="193" s="1712" customFormat="1" customHeight="1" spans="10:10">
      <c r="J193" s="2936"/>
    </row>
    <row r="194" s="1712" customFormat="1" customHeight="1" spans="10:10">
      <c r="J194" s="2936"/>
    </row>
    <row r="195" s="1712" customFormat="1" customHeight="1" spans="10:10">
      <c r="J195" s="2936"/>
    </row>
    <row r="196" s="1712" customFormat="1" customHeight="1" spans="10:10">
      <c r="J196" s="2936"/>
    </row>
    <row r="197" s="1712" customFormat="1" customHeight="1" spans="10:10">
      <c r="J197" s="2936"/>
    </row>
    <row r="198" s="1712" customFormat="1" customHeight="1" spans="10:10">
      <c r="J198" s="2936"/>
    </row>
    <row r="199" s="1712" customFormat="1" customHeight="1" spans="10:10">
      <c r="J199" s="2936"/>
    </row>
    <row r="200" s="1712" customFormat="1" customHeight="1" spans="10:10">
      <c r="J200" s="2936"/>
    </row>
    <row r="201" s="1712" customFormat="1" customHeight="1" spans="10:10">
      <c r="J201" s="2936"/>
    </row>
    <row r="202" s="1712" customFormat="1" customHeight="1" spans="10:10">
      <c r="J202" s="2936"/>
    </row>
    <row r="203" s="1712" customFormat="1" customHeight="1" spans="10:10">
      <c r="J203" s="2936"/>
    </row>
    <row r="204" s="1712" customFormat="1" customHeight="1" spans="10:10">
      <c r="J204" s="2936"/>
    </row>
    <row r="205" s="1712" customFormat="1" customHeight="1" spans="10:10">
      <c r="J205" s="2936"/>
    </row>
    <row r="206" s="1712" customFormat="1" customHeight="1" spans="10:10">
      <c r="J206" s="2936"/>
    </row>
    <row r="207" s="1712" customFormat="1" customHeight="1" spans="10:10">
      <c r="J207" s="2936"/>
    </row>
    <row r="208" s="1712" customFormat="1" customHeight="1" spans="10:10">
      <c r="J208" s="2936"/>
    </row>
    <row r="209" s="1712" customFormat="1" customHeight="1" spans="10:10">
      <c r="J209" s="2936"/>
    </row>
    <row r="210" s="1712" customFormat="1" customHeight="1" spans="10:10">
      <c r="J210" s="2936"/>
    </row>
    <row r="211" s="1712" customFormat="1" customHeight="1" spans="10:10">
      <c r="J211" s="2936"/>
    </row>
    <row r="212" s="1712" customFormat="1" customHeight="1" spans="10:10">
      <c r="J212" s="2936"/>
    </row>
    <row r="213" s="1712" customFormat="1" customHeight="1" spans="10:10">
      <c r="J213" s="2936"/>
    </row>
    <row r="214" s="1712" customFormat="1" customHeight="1" spans="10:10">
      <c r="J214" s="2936"/>
    </row>
    <row r="215" s="1712" customFormat="1" customHeight="1" spans="10:10">
      <c r="J215" s="2936"/>
    </row>
    <row r="216" s="1712" customFormat="1" customHeight="1" spans="10:10">
      <c r="J216" s="2936"/>
    </row>
    <row r="217" s="1712" customFormat="1" customHeight="1" spans="10:10">
      <c r="J217" s="2936"/>
    </row>
    <row r="218" s="1712" customFormat="1" customHeight="1" spans="10:10">
      <c r="J218" s="2936"/>
    </row>
    <row r="219" s="1712" customFormat="1" customHeight="1" spans="10:10">
      <c r="J219" s="2936"/>
    </row>
    <row r="220" s="1712" customFormat="1" customHeight="1" spans="10:10">
      <c r="J220" s="2936"/>
    </row>
    <row r="221" s="1712" customFormat="1" customHeight="1" spans="10:10">
      <c r="J221" s="2936"/>
    </row>
    <row r="222" s="1712" customFormat="1" customHeight="1" spans="10:10">
      <c r="J222" s="2936"/>
    </row>
    <row r="223" s="1712" customFormat="1" customHeight="1" spans="10:10">
      <c r="J223" s="2936"/>
    </row>
    <row r="224" s="1712" customFormat="1" customHeight="1" spans="10:10">
      <c r="J224" s="2936"/>
    </row>
    <row r="225" s="1712" customFormat="1" customHeight="1" spans="10:10">
      <c r="J225" s="2936"/>
    </row>
    <row r="226" s="1712" customFormat="1" customHeight="1" spans="10:10">
      <c r="J226" s="2936"/>
    </row>
    <row r="227" s="1712" customFormat="1" customHeight="1" spans="10:10">
      <c r="J227" s="2936"/>
    </row>
    <row r="228" s="1712" customFormat="1" customHeight="1" spans="10:10">
      <c r="J228" s="2936"/>
    </row>
    <row r="229" s="1712" customFormat="1" customHeight="1" spans="10:10">
      <c r="J229" s="2936"/>
    </row>
    <row r="230" s="1712" customFormat="1" customHeight="1" spans="10:10">
      <c r="J230" s="2936"/>
    </row>
    <row r="231" s="1712" customFormat="1" customHeight="1" spans="10:10">
      <c r="J231" s="2936"/>
    </row>
    <row r="232" s="1712" customFormat="1" customHeight="1" spans="10:10">
      <c r="J232" s="2936"/>
    </row>
    <row r="233" s="1712" customFormat="1" customHeight="1" spans="10:10">
      <c r="J233" s="2936"/>
    </row>
    <row r="234" s="1712" customFormat="1" customHeight="1" spans="10:10">
      <c r="J234" s="2936"/>
    </row>
    <row r="235" s="1712" customFormat="1" customHeight="1" spans="10:10">
      <c r="J235" s="2936"/>
    </row>
    <row r="236" s="1712" customFormat="1" customHeight="1" spans="10:10">
      <c r="J236" s="2936"/>
    </row>
    <row r="237" s="1712" customFormat="1" customHeight="1" spans="10:10">
      <c r="J237" s="2936"/>
    </row>
    <row r="238" s="1712" customFormat="1" customHeight="1" spans="10:10">
      <c r="J238" s="2936"/>
    </row>
    <row r="239" s="1712" customFormat="1" customHeight="1" spans="10:10">
      <c r="J239" s="2936"/>
    </row>
    <row r="240" s="1712" customFormat="1" customHeight="1" spans="10:10">
      <c r="J240" s="2936"/>
    </row>
    <row r="241" s="1712" customFormat="1" customHeight="1" spans="10:10">
      <c r="J241" s="2936"/>
    </row>
    <row r="242" s="1712" customFormat="1" customHeight="1" spans="10:10">
      <c r="J242" s="2936"/>
    </row>
    <row r="243" s="1712" customFormat="1" customHeight="1" spans="10:10">
      <c r="J243" s="2936"/>
    </row>
    <row r="244" s="1712" customFormat="1" customHeight="1" spans="10:10">
      <c r="J244" s="2936"/>
    </row>
    <row r="245" s="1712" customFormat="1" customHeight="1" spans="10:10">
      <c r="J245" s="2936"/>
    </row>
    <row r="246" s="1712" customFormat="1" customHeight="1" spans="10:10">
      <c r="J246" s="2936"/>
    </row>
    <row r="247" s="1712" customFormat="1" customHeight="1" spans="10:10">
      <c r="J247" s="2936"/>
    </row>
    <row r="248" s="1712" customFormat="1" customHeight="1" spans="10:10">
      <c r="J248" s="2936"/>
    </row>
    <row r="249" s="1712" customFormat="1" customHeight="1" spans="10:10">
      <c r="J249" s="2936"/>
    </row>
    <row r="250" s="1712" customFormat="1" customHeight="1" spans="10:10">
      <c r="J250" s="2936"/>
    </row>
    <row r="251" s="1712" customFormat="1" customHeight="1" spans="10:10">
      <c r="J251" s="2936"/>
    </row>
    <row r="252" s="1712" customFormat="1" customHeight="1" spans="10:10">
      <c r="J252" s="2936"/>
    </row>
    <row r="253" s="1712" customFormat="1" customHeight="1" spans="10:10">
      <c r="J253" s="2936"/>
    </row>
    <row r="254" s="1712" customFormat="1" customHeight="1" spans="10:10">
      <c r="J254" s="2936"/>
    </row>
    <row r="255" s="1712" customFormat="1" customHeight="1" spans="10:10">
      <c r="J255" s="2936"/>
    </row>
    <row r="256" s="1712" customFormat="1" customHeight="1" spans="10:10">
      <c r="J256" s="2936"/>
    </row>
    <row r="257" s="1712" customFormat="1" customHeight="1" spans="10:10">
      <c r="J257" s="2936"/>
    </row>
    <row r="258" s="1712" customFormat="1" customHeight="1" spans="10:10">
      <c r="J258" s="2936"/>
    </row>
    <row r="259" s="1712" customFormat="1" customHeight="1" spans="10:10">
      <c r="J259" s="2936"/>
    </row>
    <row r="260" s="1712" customFormat="1" customHeight="1" spans="10:10">
      <c r="J260" s="2936"/>
    </row>
    <row r="261" s="1712" customFormat="1" customHeight="1" spans="10:10">
      <c r="J261" s="2936"/>
    </row>
    <row r="262" s="1712" customFormat="1" customHeight="1" spans="10:10">
      <c r="J262" s="2936"/>
    </row>
    <row r="263" s="1712" customFormat="1" customHeight="1" spans="10:10">
      <c r="J263" s="2936"/>
    </row>
    <row r="264" s="1712" customFormat="1" customHeight="1" spans="10:10">
      <c r="J264" s="2936"/>
    </row>
    <row r="265" s="1712" customFormat="1" customHeight="1" spans="10:10">
      <c r="J265" s="2936"/>
    </row>
    <row r="266" s="1712" customFormat="1" customHeight="1" spans="10:10">
      <c r="J266" s="2936"/>
    </row>
    <row r="267" s="1712" customFormat="1" customHeight="1" spans="10:10">
      <c r="J267" s="2936"/>
    </row>
    <row r="268" s="1712" customFormat="1" customHeight="1" spans="10:10">
      <c r="J268" s="2936"/>
    </row>
    <row r="269" s="1712" customFormat="1" customHeight="1" spans="10:10">
      <c r="J269" s="2936"/>
    </row>
    <row r="270" s="1712" customFormat="1" customHeight="1" spans="10:10">
      <c r="J270" s="2936"/>
    </row>
    <row r="271" s="1712" customFormat="1" customHeight="1" spans="10:10">
      <c r="J271" s="2936"/>
    </row>
    <row r="272" s="1712" customFormat="1" customHeight="1" spans="10:10">
      <c r="J272" s="2936"/>
    </row>
    <row r="273" s="1712" customFormat="1" customHeight="1" spans="10:10">
      <c r="J273" s="2936"/>
    </row>
    <row r="274" s="1712" customFormat="1" customHeight="1" spans="10:10">
      <c r="J274" s="2936"/>
    </row>
    <row r="275" s="1712" customFormat="1" customHeight="1" spans="10:10">
      <c r="J275" s="2936"/>
    </row>
    <row r="276" s="1712" customFormat="1" customHeight="1" spans="10:10">
      <c r="J276" s="2936"/>
    </row>
    <row r="277" s="1712" customFormat="1" customHeight="1" spans="10:10">
      <c r="J277" s="2936"/>
    </row>
    <row r="278" s="1712" customFormat="1" customHeight="1" spans="10:10">
      <c r="J278" s="2936"/>
    </row>
    <row r="279" s="1712" customFormat="1" customHeight="1" spans="10:10">
      <c r="J279" s="2936"/>
    </row>
    <row r="280" s="1712" customFormat="1" customHeight="1" spans="10:10">
      <c r="J280" s="2936"/>
    </row>
    <row r="281" s="1712" customFormat="1" customHeight="1" spans="10:10">
      <c r="J281" s="2936"/>
    </row>
    <row r="282" s="1712" customFormat="1" customHeight="1" spans="10:10">
      <c r="J282" s="2936"/>
    </row>
    <row r="283" s="1712" customFormat="1" customHeight="1" spans="10:10">
      <c r="J283" s="2936"/>
    </row>
    <row r="284" s="1712" customFormat="1" customHeight="1" spans="10:10">
      <c r="J284" s="2936"/>
    </row>
    <row r="285" s="1712" customFormat="1" customHeight="1" spans="10:10">
      <c r="J285" s="2936"/>
    </row>
    <row r="286" s="1712" customFormat="1" customHeight="1" spans="10:10">
      <c r="J286" s="2936"/>
    </row>
    <row r="287" s="1712" customFormat="1" customHeight="1" spans="10:10">
      <c r="J287" s="2936"/>
    </row>
    <row r="288" s="1712" customFormat="1" customHeight="1" spans="10:10">
      <c r="J288" s="2936"/>
    </row>
    <row r="289" s="1712" customFormat="1" customHeight="1" spans="10:10">
      <c r="J289" s="2936"/>
    </row>
    <row r="290" s="1712" customFormat="1" customHeight="1" spans="10:10">
      <c r="J290" s="2936"/>
    </row>
    <row r="291" s="1712" customFormat="1" customHeight="1" spans="10:10">
      <c r="J291" s="2936"/>
    </row>
    <row r="292" s="1712" customFormat="1" customHeight="1" spans="10:10">
      <c r="J292" s="2936"/>
    </row>
    <row r="293" s="1712" customFormat="1" customHeight="1" spans="10:10">
      <c r="J293" s="2936"/>
    </row>
    <row r="294" s="1712" customFormat="1" customHeight="1" spans="10:10">
      <c r="J294" s="2936"/>
    </row>
    <row r="295" s="1712" customFormat="1" customHeight="1" spans="10:10">
      <c r="J295" s="2936"/>
    </row>
    <row r="296" s="1712" customFormat="1" customHeight="1" spans="10:10">
      <c r="J296" s="2936"/>
    </row>
    <row r="297" s="1712" customFormat="1" customHeight="1" spans="10:10">
      <c r="J297" s="2936"/>
    </row>
    <row r="298" s="1712" customFormat="1" customHeight="1" spans="10:10">
      <c r="J298" s="2936"/>
    </row>
    <row r="299" s="1712" customFormat="1" customHeight="1" spans="10:10">
      <c r="J299" s="2936"/>
    </row>
    <row r="300" s="1712" customFormat="1" customHeight="1" spans="10:10">
      <c r="J300" s="2936"/>
    </row>
    <row r="301" s="1712" customFormat="1" customHeight="1" spans="10:10">
      <c r="J301" s="2936"/>
    </row>
    <row r="302" s="1712" customFormat="1" customHeight="1" spans="10:10">
      <c r="J302" s="2936"/>
    </row>
    <row r="303" s="1712" customFormat="1" customHeight="1" spans="10:10">
      <c r="J303" s="2936"/>
    </row>
    <row r="304" s="1712" customFormat="1" customHeight="1" spans="10:10">
      <c r="J304" s="2936"/>
    </row>
    <row r="305" s="1712" customFormat="1" customHeight="1" spans="10:10">
      <c r="J305" s="2936"/>
    </row>
    <row r="306" s="1712" customFormat="1" customHeight="1" spans="10:10">
      <c r="J306" s="2936"/>
    </row>
    <row r="307" s="1712" customFormat="1" customHeight="1" spans="10:10">
      <c r="J307" s="2936"/>
    </row>
    <row r="308" s="1712" customFormat="1" customHeight="1" spans="10:10">
      <c r="J308" s="2936"/>
    </row>
    <row r="309" s="1712" customFormat="1" customHeight="1" spans="10:10">
      <c r="J309" s="2936"/>
    </row>
    <row r="310" s="1712" customFormat="1" customHeight="1" spans="10:10">
      <c r="J310" s="2936"/>
    </row>
    <row r="311" s="1712" customFormat="1" customHeight="1" spans="10:10">
      <c r="J311" s="2936"/>
    </row>
    <row r="312" s="1712" customFormat="1" customHeight="1" spans="10:10">
      <c r="J312" s="2936"/>
    </row>
    <row r="313" s="1712" customFormat="1" customHeight="1" spans="10:10">
      <c r="J313" s="2936"/>
    </row>
    <row r="314" s="1712" customFormat="1" customHeight="1" spans="10:10">
      <c r="J314" s="2936"/>
    </row>
    <row r="315" s="1712" customFormat="1" customHeight="1" spans="10:10">
      <c r="J315" s="2936"/>
    </row>
    <row r="316" s="1712" customFormat="1" customHeight="1" spans="10:10">
      <c r="J316" s="2936"/>
    </row>
    <row r="317" s="1712" customFormat="1" customHeight="1" spans="10:10">
      <c r="J317" s="2936"/>
    </row>
    <row r="318" s="1712" customFormat="1" customHeight="1" spans="10:10">
      <c r="J318" s="2936"/>
    </row>
    <row r="319" s="1712" customFormat="1" customHeight="1" spans="10:10">
      <c r="J319" s="2936"/>
    </row>
    <row r="320" s="1712" customFormat="1" customHeight="1" spans="10:10">
      <c r="J320" s="2936"/>
    </row>
    <row r="321" s="1712" customFormat="1" customHeight="1" spans="10:10">
      <c r="J321" s="2936"/>
    </row>
    <row r="322" s="1712" customFormat="1" customHeight="1" spans="10:10">
      <c r="J322" s="2936"/>
    </row>
    <row r="323" s="1712" customFormat="1" customHeight="1" spans="10:10">
      <c r="J323" s="2936"/>
    </row>
    <row r="324" s="1712" customFormat="1" customHeight="1" spans="10:10">
      <c r="J324" s="2936"/>
    </row>
    <row r="325" s="1712" customFormat="1" customHeight="1" spans="10:10">
      <c r="J325" s="2936"/>
    </row>
    <row r="326" s="1712" customFormat="1" customHeight="1" spans="10:10">
      <c r="J326" s="2936"/>
    </row>
    <row r="327" s="1712" customFormat="1" customHeight="1" spans="10:10">
      <c r="J327" s="2936"/>
    </row>
    <row r="328" s="1712" customFormat="1" customHeight="1" spans="10:10">
      <c r="J328" s="2936"/>
    </row>
    <row r="329" s="1712" customFormat="1" customHeight="1" spans="10:10">
      <c r="J329" s="2936"/>
    </row>
    <row r="330" s="1712" customFormat="1" customHeight="1" spans="10:10">
      <c r="J330" s="2936"/>
    </row>
    <row r="331" s="1712" customFormat="1" customHeight="1" spans="10:10">
      <c r="J331" s="2936"/>
    </row>
    <row r="332" s="1712" customFormat="1" customHeight="1" spans="10:10">
      <c r="J332" s="2936"/>
    </row>
    <row r="333" s="1712" customFormat="1" customHeight="1" spans="10:10">
      <c r="J333" s="2936"/>
    </row>
    <row r="334" s="1712" customFormat="1" customHeight="1" spans="10:10">
      <c r="J334" s="2936"/>
    </row>
    <row r="335" s="1712" customFormat="1" customHeight="1" spans="10:10">
      <c r="J335" s="2936"/>
    </row>
    <row r="336" s="1712" customFormat="1" customHeight="1" spans="10:10">
      <c r="J336" s="2936"/>
    </row>
    <row r="337" s="1712" customFormat="1" customHeight="1" spans="10:10">
      <c r="J337" s="2936"/>
    </row>
    <row r="338" s="1712" customFormat="1" customHeight="1" spans="10:10">
      <c r="J338" s="2936"/>
    </row>
    <row r="339" s="1712" customFormat="1" customHeight="1" spans="10:10">
      <c r="J339" s="2936"/>
    </row>
    <row r="340" s="1712" customFormat="1" customHeight="1" spans="10:10">
      <c r="J340" s="2936"/>
    </row>
    <row r="341" s="1712" customFormat="1" customHeight="1" spans="10:10">
      <c r="J341" s="2936"/>
    </row>
    <row r="342" s="1712" customFormat="1" customHeight="1" spans="10:10">
      <c r="J342" s="2936"/>
    </row>
    <row r="343" s="1712" customFormat="1" customHeight="1" spans="10:10">
      <c r="J343" s="2936"/>
    </row>
    <row r="344" s="1712" customFormat="1" customHeight="1" spans="10:10">
      <c r="J344" s="2936"/>
    </row>
    <row r="345" s="1712" customFormat="1" customHeight="1" spans="10:10">
      <c r="J345" s="2936"/>
    </row>
    <row r="346" s="1712" customFormat="1" customHeight="1" spans="10:10">
      <c r="J346" s="2936"/>
    </row>
    <row r="347" s="1712" customFormat="1" customHeight="1" spans="10:10">
      <c r="J347" s="2936"/>
    </row>
    <row r="348" s="1712" customFormat="1" customHeight="1" spans="10:10">
      <c r="J348" s="2936"/>
    </row>
    <row r="349" s="1712" customFormat="1" customHeight="1" spans="10:10">
      <c r="J349" s="2936"/>
    </row>
    <row r="350" s="1712" customFormat="1" customHeight="1" spans="10:10">
      <c r="J350" s="2936"/>
    </row>
    <row r="351" s="1712" customFormat="1" customHeight="1" spans="10:10">
      <c r="J351" s="2936"/>
    </row>
    <row r="352" s="1712" customFormat="1" customHeight="1" spans="10:10">
      <c r="J352" s="2936"/>
    </row>
    <row r="353" s="1712" customFormat="1" customHeight="1" spans="10:10">
      <c r="J353" s="2936"/>
    </row>
    <row r="354" s="1712" customFormat="1" customHeight="1" spans="10:10">
      <c r="J354" s="2936"/>
    </row>
    <row r="355" s="1712" customFormat="1" customHeight="1" spans="10:10">
      <c r="J355" s="2936"/>
    </row>
    <row r="356" s="1712" customFormat="1" customHeight="1" spans="10:10">
      <c r="J356" s="2936"/>
    </row>
    <row r="357" s="1712" customFormat="1" customHeight="1" spans="10:10">
      <c r="J357" s="2936"/>
    </row>
    <row r="358" s="1712" customFormat="1" customHeight="1" spans="10:10">
      <c r="J358" s="2936"/>
    </row>
    <row r="359" s="1712" customFormat="1" customHeight="1" spans="10:10">
      <c r="J359" s="2936"/>
    </row>
    <row r="360" s="1712" customFormat="1" customHeight="1" spans="10:10">
      <c r="J360" s="2936"/>
    </row>
    <row r="361" s="1712" customFormat="1" customHeight="1" spans="10:10">
      <c r="J361" s="2936"/>
    </row>
    <row r="362" s="1712" customFormat="1" customHeight="1" spans="10:10">
      <c r="J362" s="2936"/>
    </row>
    <row r="363" s="1712" customFormat="1" customHeight="1" spans="10:10">
      <c r="J363" s="2936"/>
    </row>
    <row r="364" s="1712" customFormat="1" customHeight="1" spans="10:10">
      <c r="J364" s="2936"/>
    </row>
    <row r="365" s="1712" customFormat="1" customHeight="1" spans="10:10">
      <c r="J365" s="2936"/>
    </row>
    <row r="366" s="1712" customFormat="1" customHeight="1" spans="10:10">
      <c r="J366" s="2936"/>
    </row>
    <row r="367" s="1712" customFormat="1" customHeight="1" spans="10:10">
      <c r="J367" s="2936"/>
    </row>
    <row r="368" s="1712" customFormat="1" customHeight="1" spans="10:10">
      <c r="J368" s="2936"/>
    </row>
    <row r="369" s="1712" customFormat="1" customHeight="1" spans="10:10">
      <c r="J369" s="2936"/>
    </row>
    <row r="370" s="1712" customFormat="1" customHeight="1" spans="10:10">
      <c r="J370" s="2936"/>
    </row>
    <row r="371" s="1712" customFormat="1" customHeight="1" spans="10:10">
      <c r="J371" s="2936"/>
    </row>
    <row r="372" s="1712" customFormat="1" customHeight="1" spans="10:10">
      <c r="J372" s="2936"/>
    </row>
    <row r="373" s="1712" customFormat="1" customHeight="1" spans="10:10">
      <c r="J373" s="2936"/>
    </row>
    <row r="374" s="1712" customFormat="1" customHeight="1" spans="10:10">
      <c r="J374" s="2936"/>
    </row>
    <row r="375" s="1712" customFormat="1" customHeight="1" spans="10:10">
      <c r="J375" s="2936"/>
    </row>
    <row r="376" s="1712" customFormat="1" customHeight="1" spans="10:10">
      <c r="J376" s="2936"/>
    </row>
    <row r="377" s="1712" customFormat="1" customHeight="1" spans="10:10">
      <c r="J377" s="2936"/>
    </row>
    <row r="378" s="1712" customFormat="1" customHeight="1" spans="10:10">
      <c r="J378" s="2936"/>
    </row>
    <row r="379" s="1712" customFormat="1" customHeight="1" spans="10:10">
      <c r="J379" s="2936"/>
    </row>
    <row r="380" s="1712" customFormat="1" customHeight="1" spans="10:10">
      <c r="J380" s="2936"/>
    </row>
    <row r="381" s="1712" customFormat="1" customHeight="1" spans="10:10">
      <c r="J381" s="2936"/>
    </row>
    <row r="382" s="1712" customFormat="1" customHeight="1" spans="10:10">
      <c r="J382" s="2936"/>
    </row>
    <row r="383" s="1712" customFormat="1" customHeight="1" spans="10:10">
      <c r="J383" s="2936"/>
    </row>
    <row r="384" s="1712" customFormat="1" customHeight="1" spans="10:10">
      <c r="J384" s="2936"/>
    </row>
    <row r="385" s="1712" customFormat="1" customHeight="1" spans="10:10">
      <c r="J385" s="2936"/>
    </row>
    <row r="386" s="1712" customFormat="1" customHeight="1" spans="10:10">
      <c r="J386" s="2936"/>
    </row>
    <row r="387" s="1712" customFormat="1" customHeight="1" spans="10:10">
      <c r="J387" s="2936"/>
    </row>
    <row r="388" s="1712" customFormat="1" customHeight="1" spans="10:10">
      <c r="J388" s="2936"/>
    </row>
    <row r="389" s="1712" customFormat="1" customHeight="1" spans="10:10">
      <c r="J389" s="2936"/>
    </row>
    <row r="390" s="1712" customFormat="1" customHeight="1" spans="10:10">
      <c r="J390" s="2936"/>
    </row>
    <row r="391" s="1712" customFormat="1" customHeight="1" spans="10:10">
      <c r="J391" s="2936"/>
    </row>
    <row r="392" s="1712" customFormat="1" customHeight="1" spans="10:10">
      <c r="J392" s="2936"/>
    </row>
    <row r="393" s="1712" customFormat="1" customHeight="1" spans="10:10">
      <c r="J393" s="2936"/>
    </row>
    <row r="394" s="1712" customFormat="1" customHeight="1" spans="10:10">
      <c r="J394" s="2936"/>
    </row>
    <row r="395" s="1712" customFormat="1" customHeight="1" spans="10:10">
      <c r="J395" s="2936"/>
    </row>
    <row r="396" s="1712" customFormat="1" customHeight="1" spans="10:10">
      <c r="J396" s="2936"/>
    </row>
    <row r="397" s="1712" customFormat="1" customHeight="1" spans="10:10">
      <c r="J397" s="2936"/>
    </row>
    <row r="398" s="1712" customFormat="1" customHeight="1" spans="10:10">
      <c r="J398" s="2936"/>
    </row>
    <row r="399" s="1712" customFormat="1" customHeight="1" spans="10:10">
      <c r="J399" s="2936"/>
    </row>
    <row r="400" s="1712" customFormat="1" customHeight="1" spans="10:10">
      <c r="J400" s="2936"/>
    </row>
    <row r="401" s="1712" customFormat="1" customHeight="1" spans="10:10">
      <c r="J401" s="2936"/>
    </row>
    <row r="402" s="1712" customFormat="1" customHeight="1" spans="10:10">
      <c r="J402" s="2936"/>
    </row>
    <row r="403" s="2571" customFormat="1" customHeight="1" spans="10:27">
      <c r="J403" s="2573"/>
      <c r="K403" s="1712"/>
      <c r="L403" s="1712"/>
      <c r="M403" s="1712"/>
      <c r="N403" s="1712"/>
      <c r="O403" s="1712"/>
      <c r="P403" s="1712"/>
      <c r="Q403" s="1712"/>
      <c r="R403" s="1712"/>
      <c r="S403" s="1712"/>
      <c r="T403" s="1712"/>
      <c r="U403" s="1712"/>
      <c r="V403" s="1712"/>
      <c r="W403" s="1712"/>
      <c r="X403" s="1712"/>
      <c r="Y403" s="1712"/>
      <c r="Z403" s="1712"/>
      <c r="AA403" s="1712"/>
    </row>
    <row r="404" s="2571" customFormat="1" customHeight="1" spans="10:27">
      <c r="J404" s="2573"/>
      <c r="K404" s="1712"/>
      <c r="L404" s="1712"/>
      <c r="M404" s="1712"/>
      <c r="N404" s="1712"/>
      <c r="O404" s="1712"/>
      <c r="P404" s="1712"/>
      <c r="Q404" s="1712"/>
      <c r="R404" s="1712"/>
      <c r="S404" s="1712"/>
      <c r="T404" s="1712"/>
      <c r="U404" s="1712"/>
      <c r="V404" s="1712"/>
      <c r="W404" s="1712"/>
      <c r="X404" s="1712"/>
      <c r="Y404" s="1712"/>
      <c r="Z404" s="1712"/>
      <c r="AA404" s="1712"/>
    </row>
    <row r="405" s="2571" customFormat="1" customHeight="1" spans="10:27">
      <c r="J405" s="2573"/>
      <c r="K405" s="1712"/>
      <c r="L405" s="1712"/>
      <c r="M405" s="1712"/>
      <c r="N405" s="1712"/>
      <c r="O405" s="1712"/>
      <c r="P405" s="1712"/>
      <c r="Q405" s="1712"/>
      <c r="R405" s="1712"/>
      <c r="S405" s="1712"/>
      <c r="T405" s="1712"/>
      <c r="U405" s="1712"/>
      <c r="V405" s="1712"/>
      <c r="W405" s="1712"/>
      <c r="X405" s="1712"/>
      <c r="Y405" s="1712"/>
      <c r="Z405" s="1712"/>
      <c r="AA405" s="1712"/>
    </row>
    <row r="406" s="2571" customFormat="1" customHeight="1" spans="10:27">
      <c r="J406" s="2573"/>
      <c r="K406" s="1712"/>
      <c r="L406" s="1712"/>
      <c r="M406" s="1712"/>
      <c r="N406" s="1712"/>
      <c r="O406" s="1712"/>
      <c r="P406" s="1712"/>
      <c r="Q406" s="1712"/>
      <c r="R406" s="1712"/>
      <c r="S406" s="1712"/>
      <c r="T406" s="1712"/>
      <c r="U406" s="1712"/>
      <c r="V406" s="1712"/>
      <c r="W406" s="1712"/>
      <c r="X406" s="1712"/>
      <c r="Y406" s="1712"/>
      <c r="Z406" s="1712"/>
      <c r="AA406" s="1712"/>
    </row>
    <row r="407" s="2571" customFormat="1" customHeight="1" spans="10:27">
      <c r="J407" s="2573"/>
      <c r="K407" s="1712"/>
      <c r="L407" s="1712"/>
      <c r="M407" s="1712"/>
      <c r="N407" s="1712"/>
      <c r="O407" s="1712"/>
      <c r="P407" s="1712"/>
      <c r="Q407" s="1712"/>
      <c r="R407" s="1712"/>
      <c r="S407" s="1712"/>
      <c r="T407" s="1712"/>
      <c r="U407" s="1712"/>
      <c r="V407" s="1712"/>
      <c r="W407" s="1712"/>
      <c r="X407" s="1712"/>
      <c r="Y407" s="1712"/>
      <c r="Z407" s="1712"/>
      <c r="AA407" s="1712"/>
    </row>
    <row r="408" s="2571" customFormat="1" customHeight="1" spans="10:27">
      <c r="J408" s="2573"/>
      <c r="K408" s="1712"/>
      <c r="L408" s="1712"/>
      <c r="M408" s="1712"/>
      <c r="N408" s="1712"/>
      <c r="O408" s="1712"/>
      <c r="P408" s="1712"/>
      <c r="Q408" s="1712"/>
      <c r="R408" s="1712"/>
      <c r="S408" s="1712"/>
      <c r="T408" s="1712"/>
      <c r="U408" s="1712"/>
      <c r="V408" s="1712"/>
      <c r="W408" s="1712"/>
      <c r="X408" s="1712"/>
      <c r="Y408" s="1712"/>
      <c r="Z408" s="1712"/>
      <c r="AA408" s="1712"/>
    </row>
    <row r="409" s="2571" customFormat="1" customHeight="1" spans="10:27">
      <c r="J409" s="2573"/>
      <c r="K409" s="1712"/>
      <c r="L409" s="1712"/>
      <c r="M409" s="1712"/>
      <c r="N409" s="1712"/>
      <c r="O409" s="1712"/>
      <c r="P409" s="1712"/>
      <c r="Q409" s="1712"/>
      <c r="R409" s="1712"/>
      <c r="S409" s="1712"/>
      <c r="T409" s="1712"/>
      <c r="U409" s="1712"/>
      <c r="V409" s="1712"/>
      <c r="W409" s="1712"/>
      <c r="X409" s="1712"/>
      <c r="Y409" s="1712"/>
      <c r="Z409" s="1712"/>
      <c r="AA409" s="1712"/>
    </row>
    <row r="410" s="2571" customFormat="1" customHeight="1" spans="10:27">
      <c r="J410" s="2573"/>
      <c r="K410" s="1712"/>
      <c r="L410" s="1712"/>
      <c r="M410" s="1712"/>
      <c r="N410" s="1712"/>
      <c r="O410" s="1712"/>
      <c r="P410" s="1712"/>
      <c r="Q410" s="1712"/>
      <c r="R410" s="1712"/>
      <c r="S410" s="1712"/>
      <c r="T410" s="1712"/>
      <c r="U410" s="1712"/>
      <c r="V410" s="1712"/>
      <c r="W410" s="1712"/>
      <c r="X410" s="1712"/>
      <c r="Y410" s="1712"/>
      <c r="Z410" s="1712"/>
      <c r="AA410" s="1712"/>
    </row>
    <row r="411" s="2571" customFormat="1" customHeight="1" spans="10:27">
      <c r="J411" s="2573"/>
      <c r="K411" s="1712"/>
      <c r="L411" s="1712"/>
      <c r="M411" s="1712"/>
      <c r="N411" s="1712"/>
      <c r="O411" s="1712"/>
      <c r="P411" s="1712"/>
      <c r="Q411" s="1712"/>
      <c r="R411" s="1712"/>
      <c r="S411" s="1712"/>
      <c r="T411" s="1712"/>
      <c r="U411" s="1712"/>
      <c r="V411" s="1712"/>
      <c r="W411" s="1712"/>
      <c r="X411" s="1712"/>
      <c r="Y411" s="1712"/>
      <c r="Z411" s="1712"/>
      <c r="AA411" s="1712"/>
    </row>
    <row r="412" s="2571" customFormat="1" customHeight="1" spans="10:27">
      <c r="J412" s="2573"/>
      <c r="K412" s="1712"/>
      <c r="L412" s="1712"/>
      <c r="M412" s="1712"/>
      <c r="N412" s="1712"/>
      <c r="O412" s="1712"/>
      <c r="P412" s="1712"/>
      <c r="Q412" s="1712"/>
      <c r="R412" s="1712"/>
      <c r="S412" s="1712"/>
      <c r="T412" s="1712"/>
      <c r="U412" s="1712"/>
      <c r="V412" s="1712"/>
      <c r="W412" s="1712"/>
      <c r="X412" s="1712"/>
      <c r="Y412" s="1712"/>
      <c r="Z412" s="1712"/>
      <c r="AA412" s="1712"/>
    </row>
    <row r="413" s="2571" customFormat="1" customHeight="1" spans="10:27">
      <c r="J413" s="2573"/>
      <c r="K413" s="1712"/>
      <c r="L413" s="1712"/>
      <c r="M413" s="1712"/>
      <c r="N413" s="1712"/>
      <c r="O413" s="1712"/>
      <c r="P413" s="1712"/>
      <c r="Q413" s="1712"/>
      <c r="R413" s="1712"/>
      <c r="S413" s="1712"/>
      <c r="T413" s="1712"/>
      <c r="U413" s="1712"/>
      <c r="V413" s="1712"/>
      <c r="W413" s="1712"/>
      <c r="X413" s="1712"/>
      <c r="Y413" s="1712"/>
      <c r="Z413" s="1712"/>
      <c r="AA413" s="1712"/>
    </row>
    <row r="414" s="2571" customFormat="1" customHeight="1" spans="10:27">
      <c r="J414" s="2573"/>
      <c r="K414" s="1712"/>
      <c r="L414" s="1712"/>
      <c r="M414" s="1712"/>
      <c r="N414" s="1712"/>
      <c r="O414" s="1712"/>
      <c r="P414" s="1712"/>
      <c r="Q414" s="1712"/>
      <c r="R414" s="1712"/>
      <c r="S414" s="1712"/>
      <c r="T414" s="1712"/>
      <c r="U414" s="1712"/>
      <c r="V414" s="1712"/>
      <c r="W414" s="1712"/>
      <c r="X414" s="1712"/>
      <c r="Y414" s="1712"/>
      <c r="Z414" s="1712"/>
      <c r="AA414" s="1712"/>
    </row>
    <row r="415" s="2571" customFormat="1" customHeight="1" spans="10:27">
      <c r="J415" s="2573"/>
      <c r="K415" s="1712"/>
      <c r="L415" s="1712"/>
      <c r="M415" s="1712"/>
      <c r="N415" s="1712"/>
      <c r="O415" s="1712"/>
      <c r="P415" s="1712"/>
      <c r="Q415" s="1712"/>
      <c r="R415" s="1712"/>
      <c r="S415" s="1712"/>
      <c r="T415" s="1712"/>
      <c r="U415" s="1712"/>
      <c r="V415" s="1712"/>
      <c r="W415" s="1712"/>
      <c r="X415" s="1712"/>
      <c r="Y415" s="1712"/>
      <c r="Z415" s="1712"/>
      <c r="AA415" s="1712"/>
    </row>
    <row r="416" s="2571" customFormat="1" customHeight="1" spans="10:27">
      <c r="J416" s="2573"/>
      <c r="K416" s="1712"/>
      <c r="L416" s="1712"/>
      <c r="M416" s="1712"/>
      <c r="N416" s="1712"/>
      <c r="O416" s="1712"/>
      <c r="P416" s="1712"/>
      <c r="Q416" s="1712"/>
      <c r="R416" s="1712"/>
      <c r="S416" s="1712"/>
      <c r="T416" s="1712"/>
      <c r="U416" s="1712"/>
      <c r="V416" s="1712"/>
      <c r="W416" s="1712"/>
      <c r="X416" s="1712"/>
      <c r="Y416" s="1712"/>
      <c r="Z416" s="1712"/>
      <c r="AA416" s="1712"/>
    </row>
    <row r="417" s="2571" customFormat="1" customHeight="1" spans="10:27">
      <c r="J417" s="2573"/>
      <c r="K417" s="1712"/>
      <c r="L417" s="1712"/>
      <c r="M417" s="1712"/>
      <c r="N417" s="1712"/>
      <c r="O417" s="1712"/>
      <c r="P417" s="1712"/>
      <c r="Q417" s="1712"/>
      <c r="R417" s="1712"/>
      <c r="S417" s="1712"/>
      <c r="T417" s="1712"/>
      <c r="U417" s="1712"/>
      <c r="V417" s="1712"/>
      <c r="W417" s="1712"/>
      <c r="X417" s="1712"/>
      <c r="Y417" s="1712"/>
      <c r="Z417" s="1712"/>
      <c r="AA417" s="1712"/>
    </row>
    <row r="418" s="2571" customFormat="1" customHeight="1" spans="10:27">
      <c r="J418" s="2573"/>
      <c r="K418" s="1712"/>
      <c r="L418" s="1712"/>
      <c r="M418" s="1712"/>
      <c r="N418" s="1712"/>
      <c r="O418" s="1712"/>
      <c r="P418" s="1712"/>
      <c r="Q418" s="1712"/>
      <c r="R418" s="1712"/>
      <c r="S418" s="1712"/>
      <c r="T418" s="1712"/>
      <c r="U418" s="1712"/>
      <c r="V418" s="1712"/>
      <c r="W418" s="1712"/>
      <c r="X418" s="1712"/>
      <c r="Y418" s="1712"/>
      <c r="Z418" s="1712"/>
      <c r="AA418" s="1712"/>
    </row>
    <row r="419" s="2571" customFormat="1" customHeight="1" spans="10:27">
      <c r="J419" s="2573"/>
      <c r="K419" s="1712"/>
      <c r="L419" s="1712"/>
      <c r="M419" s="1712"/>
      <c r="N419" s="1712"/>
      <c r="O419" s="1712"/>
      <c r="P419" s="1712"/>
      <c r="Q419" s="1712"/>
      <c r="R419" s="1712"/>
      <c r="S419" s="1712"/>
      <c r="T419" s="1712"/>
      <c r="U419" s="1712"/>
      <c r="V419" s="1712"/>
      <c r="W419" s="1712"/>
      <c r="X419" s="1712"/>
      <c r="Y419" s="1712"/>
      <c r="Z419" s="1712"/>
      <c r="AA419" s="1712"/>
    </row>
    <row r="420" s="2571" customFormat="1" customHeight="1" spans="10:27">
      <c r="J420" s="2573"/>
      <c r="K420" s="1712"/>
      <c r="L420" s="1712"/>
      <c r="M420" s="1712"/>
      <c r="N420" s="1712"/>
      <c r="O420" s="1712"/>
      <c r="P420" s="1712"/>
      <c r="Q420" s="1712"/>
      <c r="R420" s="1712"/>
      <c r="S420" s="1712"/>
      <c r="T420" s="1712"/>
      <c r="U420" s="1712"/>
      <c r="V420" s="1712"/>
      <c r="W420" s="1712"/>
      <c r="X420" s="1712"/>
      <c r="Y420" s="1712"/>
      <c r="Z420" s="1712"/>
      <c r="AA420" s="1712"/>
    </row>
    <row r="421" s="2571" customFormat="1" customHeight="1" spans="10:27">
      <c r="J421" s="2573"/>
      <c r="K421" s="1712"/>
      <c r="L421" s="1712"/>
      <c r="M421" s="1712"/>
      <c r="N421" s="1712"/>
      <c r="O421" s="1712"/>
      <c r="P421" s="1712"/>
      <c r="Q421" s="1712"/>
      <c r="R421" s="1712"/>
      <c r="S421" s="1712"/>
      <c r="T421" s="1712"/>
      <c r="U421" s="1712"/>
      <c r="V421" s="1712"/>
      <c r="W421" s="1712"/>
      <c r="X421" s="1712"/>
      <c r="Y421" s="1712"/>
      <c r="Z421" s="1712"/>
      <c r="AA421" s="1712"/>
    </row>
    <row r="422" s="2571" customFormat="1" customHeight="1" spans="10:27">
      <c r="J422" s="2573"/>
      <c r="K422" s="1712"/>
      <c r="L422" s="1712"/>
      <c r="M422" s="1712"/>
      <c r="N422" s="1712"/>
      <c r="O422" s="1712"/>
      <c r="P422" s="1712"/>
      <c r="Q422" s="1712"/>
      <c r="R422" s="1712"/>
      <c r="S422" s="1712"/>
      <c r="T422" s="1712"/>
      <c r="U422" s="1712"/>
      <c r="V422" s="1712"/>
      <c r="W422" s="1712"/>
      <c r="X422" s="1712"/>
      <c r="Y422" s="1712"/>
      <c r="Z422" s="1712"/>
      <c r="AA422" s="1712"/>
    </row>
    <row r="423" s="2571" customFormat="1" customHeight="1" spans="10:27">
      <c r="J423" s="2573"/>
      <c r="K423" s="1712"/>
      <c r="L423" s="1712"/>
      <c r="M423" s="1712"/>
      <c r="N423" s="1712"/>
      <c r="O423" s="1712"/>
      <c r="P423" s="1712"/>
      <c r="Q423" s="1712"/>
      <c r="R423" s="1712"/>
      <c r="S423" s="1712"/>
      <c r="T423" s="1712"/>
      <c r="U423" s="1712"/>
      <c r="V423" s="1712"/>
      <c r="W423" s="1712"/>
      <c r="X423" s="1712"/>
      <c r="Y423" s="1712"/>
      <c r="Z423" s="1712"/>
      <c r="AA423" s="1712"/>
    </row>
    <row r="424" s="2571" customFormat="1" customHeight="1" spans="10:27">
      <c r="J424" s="2573"/>
      <c r="K424" s="1712"/>
      <c r="L424" s="1712"/>
      <c r="M424" s="1712"/>
      <c r="N424" s="1712"/>
      <c r="O424" s="1712"/>
      <c r="P424" s="1712"/>
      <c r="Q424" s="1712"/>
      <c r="R424" s="1712"/>
      <c r="S424" s="1712"/>
      <c r="T424" s="1712"/>
      <c r="U424" s="1712"/>
      <c r="V424" s="1712"/>
      <c r="W424" s="1712"/>
      <c r="X424" s="1712"/>
      <c r="Y424" s="1712"/>
      <c r="Z424" s="1712"/>
      <c r="AA424" s="1712"/>
    </row>
    <row r="425" s="2571" customFormat="1" customHeight="1" spans="10:27">
      <c r="J425" s="2573"/>
      <c r="K425" s="1712"/>
      <c r="L425" s="1712"/>
      <c r="M425" s="1712"/>
      <c r="N425" s="1712"/>
      <c r="O425" s="1712"/>
      <c r="P425" s="1712"/>
      <c r="Q425" s="1712"/>
      <c r="R425" s="1712"/>
      <c r="S425" s="1712"/>
      <c r="T425" s="1712"/>
      <c r="U425" s="1712"/>
      <c r="V425" s="1712"/>
      <c r="W425" s="1712"/>
      <c r="X425" s="1712"/>
      <c r="Y425" s="1712"/>
      <c r="Z425" s="1712"/>
      <c r="AA425" s="1712"/>
    </row>
    <row r="426" s="2571" customFormat="1" customHeight="1" spans="10:27">
      <c r="J426" s="2573"/>
      <c r="K426" s="1712"/>
      <c r="L426" s="1712"/>
      <c r="M426" s="1712"/>
      <c r="N426" s="1712"/>
      <c r="O426" s="1712"/>
      <c r="P426" s="1712"/>
      <c r="Q426" s="1712"/>
      <c r="R426" s="1712"/>
      <c r="S426" s="1712"/>
      <c r="T426" s="1712"/>
      <c r="U426" s="1712"/>
      <c r="V426" s="1712"/>
      <c r="W426" s="1712"/>
      <c r="X426" s="1712"/>
      <c r="Y426" s="1712"/>
      <c r="Z426" s="1712"/>
      <c r="AA426" s="1712"/>
    </row>
    <row r="427" s="2571" customFormat="1" customHeight="1" spans="10:27">
      <c r="J427" s="2573"/>
      <c r="K427" s="1712"/>
      <c r="L427" s="1712"/>
      <c r="M427" s="1712"/>
      <c r="N427" s="1712"/>
      <c r="O427" s="1712"/>
      <c r="P427" s="1712"/>
      <c r="Q427" s="1712"/>
      <c r="R427" s="1712"/>
      <c r="S427" s="1712"/>
      <c r="T427" s="1712"/>
      <c r="U427" s="1712"/>
      <c r="V427" s="1712"/>
      <c r="W427" s="1712"/>
      <c r="X427" s="1712"/>
      <c r="Y427" s="1712"/>
      <c r="Z427" s="1712"/>
      <c r="AA427" s="1712"/>
    </row>
    <row r="428" s="2571" customFormat="1" customHeight="1" spans="10:27">
      <c r="J428" s="2573"/>
      <c r="K428" s="1712"/>
      <c r="L428" s="1712"/>
      <c r="M428" s="1712"/>
      <c r="N428" s="1712"/>
      <c r="O428" s="1712"/>
      <c r="P428" s="1712"/>
      <c r="Q428" s="1712"/>
      <c r="R428" s="1712"/>
      <c r="S428" s="1712"/>
      <c r="T428" s="1712"/>
      <c r="U428" s="1712"/>
      <c r="V428" s="1712"/>
      <c r="W428" s="1712"/>
      <c r="X428" s="1712"/>
      <c r="Y428" s="1712"/>
      <c r="Z428" s="1712"/>
      <c r="AA428" s="1712"/>
    </row>
    <row r="429" s="2571" customFormat="1" customHeight="1" spans="10:27">
      <c r="J429" s="2573"/>
      <c r="K429" s="1712"/>
      <c r="L429" s="1712"/>
      <c r="M429" s="1712"/>
      <c r="N429" s="1712"/>
      <c r="O429" s="1712"/>
      <c r="P429" s="1712"/>
      <c r="Q429" s="1712"/>
      <c r="R429" s="1712"/>
      <c r="S429" s="1712"/>
      <c r="T429" s="1712"/>
      <c r="U429" s="1712"/>
      <c r="V429" s="1712"/>
      <c r="W429" s="1712"/>
      <c r="X429" s="1712"/>
      <c r="Y429" s="1712"/>
      <c r="Z429" s="1712"/>
      <c r="AA429" s="1712"/>
    </row>
    <row r="430" s="2571" customFormat="1" customHeight="1" spans="10:27">
      <c r="J430" s="2573"/>
      <c r="K430" s="1712"/>
      <c r="L430" s="1712"/>
      <c r="M430" s="1712"/>
      <c r="N430" s="1712"/>
      <c r="O430" s="1712"/>
      <c r="P430" s="1712"/>
      <c r="Q430" s="1712"/>
      <c r="R430" s="1712"/>
      <c r="S430" s="1712"/>
      <c r="T430" s="1712"/>
      <c r="U430" s="1712"/>
      <c r="V430" s="1712"/>
      <c r="W430" s="1712"/>
      <c r="X430" s="1712"/>
      <c r="Y430" s="1712"/>
      <c r="Z430" s="1712"/>
      <c r="AA430" s="1712"/>
    </row>
    <row r="431" s="2571" customFormat="1" customHeight="1" spans="10:27">
      <c r="J431" s="2573"/>
      <c r="K431" s="1712"/>
      <c r="L431" s="1712"/>
      <c r="M431" s="1712"/>
      <c r="N431" s="1712"/>
      <c r="O431" s="1712"/>
      <c r="P431" s="1712"/>
      <c r="Q431" s="1712"/>
      <c r="R431" s="1712"/>
      <c r="S431" s="1712"/>
      <c r="T431" s="1712"/>
      <c r="U431" s="1712"/>
      <c r="V431" s="1712"/>
      <c r="W431" s="1712"/>
      <c r="X431" s="1712"/>
      <c r="Y431" s="1712"/>
      <c r="Z431" s="1712"/>
      <c r="AA431" s="1712"/>
    </row>
    <row r="432" s="2571" customFormat="1" customHeight="1" spans="10:27">
      <c r="J432" s="2573"/>
      <c r="K432" s="1712"/>
      <c r="L432" s="1712"/>
      <c r="M432" s="1712"/>
      <c r="N432" s="1712"/>
      <c r="O432" s="1712"/>
      <c r="P432" s="1712"/>
      <c r="Q432" s="1712"/>
      <c r="R432" s="1712"/>
      <c r="S432" s="1712"/>
      <c r="T432" s="1712"/>
      <c r="U432" s="1712"/>
      <c r="V432" s="1712"/>
      <c r="W432" s="1712"/>
      <c r="X432" s="1712"/>
      <c r="Y432" s="1712"/>
      <c r="Z432" s="1712"/>
      <c r="AA432" s="1712"/>
    </row>
    <row r="433" s="2571" customFormat="1" customHeight="1" spans="10:27">
      <c r="J433" s="2573"/>
      <c r="K433" s="1712"/>
      <c r="L433" s="1712"/>
      <c r="M433" s="1712"/>
      <c r="N433" s="1712"/>
      <c r="O433" s="1712"/>
      <c r="P433" s="1712"/>
      <c r="Q433" s="1712"/>
      <c r="R433" s="1712"/>
      <c r="S433" s="1712"/>
      <c r="T433" s="1712"/>
      <c r="U433" s="1712"/>
      <c r="V433" s="1712"/>
      <c r="W433" s="1712"/>
      <c r="X433" s="1712"/>
      <c r="Y433" s="1712"/>
      <c r="Z433" s="1712"/>
      <c r="AA433" s="1712"/>
    </row>
    <row r="434" s="2571" customFormat="1" customHeight="1" spans="10:27">
      <c r="J434" s="2573"/>
      <c r="K434" s="1712"/>
      <c r="L434" s="1712"/>
      <c r="M434" s="1712"/>
      <c r="N434" s="1712"/>
      <c r="O434" s="1712"/>
      <c r="P434" s="1712"/>
      <c r="Q434" s="1712"/>
      <c r="R434" s="1712"/>
      <c r="S434" s="1712"/>
      <c r="T434" s="1712"/>
      <c r="U434" s="1712"/>
      <c r="V434" s="1712"/>
      <c r="W434" s="1712"/>
      <c r="X434" s="1712"/>
      <c r="Y434" s="1712"/>
      <c r="Z434" s="1712"/>
      <c r="AA434" s="1712"/>
    </row>
    <row r="435" s="2571" customFormat="1" customHeight="1" spans="10:27">
      <c r="J435" s="2573"/>
      <c r="K435" s="1712"/>
      <c r="L435" s="1712"/>
      <c r="M435" s="1712"/>
      <c r="N435" s="1712"/>
      <c r="O435" s="1712"/>
      <c r="P435" s="1712"/>
      <c r="Q435" s="1712"/>
      <c r="R435" s="1712"/>
      <c r="S435" s="1712"/>
      <c r="T435" s="1712"/>
      <c r="U435" s="1712"/>
      <c r="V435" s="1712"/>
      <c r="W435" s="1712"/>
      <c r="X435" s="1712"/>
      <c r="Y435" s="1712"/>
      <c r="Z435" s="1712"/>
      <c r="AA435" s="1712"/>
    </row>
    <row r="436" s="2571" customFormat="1" customHeight="1" spans="10:27">
      <c r="J436" s="2573"/>
      <c r="K436" s="1712"/>
      <c r="L436" s="1712"/>
      <c r="M436" s="1712"/>
      <c r="N436" s="1712"/>
      <c r="O436" s="1712"/>
      <c r="P436" s="1712"/>
      <c r="Q436" s="1712"/>
      <c r="R436" s="1712"/>
      <c r="S436" s="1712"/>
      <c r="T436" s="1712"/>
      <c r="U436" s="1712"/>
      <c r="V436" s="1712"/>
      <c r="W436" s="1712"/>
      <c r="X436" s="1712"/>
      <c r="Y436" s="1712"/>
      <c r="Z436" s="1712"/>
      <c r="AA436" s="1712"/>
    </row>
    <row r="437" s="2571" customFormat="1" customHeight="1" spans="10:27">
      <c r="J437" s="2573"/>
      <c r="K437" s="1712"/>
      <c r="L437" s="1712"/>
      <c r="M437" s="1712"/>
      <c r="N437" s="1712"/>
      <c r="O437" s="1712"/>
      <c r="P437" s="1712"/>
      <c r="Q437" s="1712"/>
      <c r="R437" s="1712"/>
      <c r="S437" s="1712"/>
      <c r="T437" s="1712"/>
      <c r="U437" s="1712"/>
      <c r="V437" s="1712"/>
      <c r="W437" s="1712"/>
      <c r="X437" s="1712"/>
      <c r="Y437" s="1712"/>
      <c r="Z437" s="1712"/>
      <c r="AA437" s="1712"/>
    </row>
    <row r="438" s="2571" customFormat="1" customHeight="1" spans="10:27">
      <c r="J438" s="2573"/>
      <c r="K438" s="1712"/>
      <c r="L438" s="1712"/>
      <c r="M438" s="1712"/>
      <c r="N438" s="1712"/>
      <c r="O438" s="1712"/>
      <c r="P438" s="1712"/>
      <c r="Q438" s="1712"/>
      <c r="R438" s="1712"/>
      <c r="S438" s="1712"/>
      <c r="T438" s="1712"/>
      <c r="U438" s="1712"/>
      <c r="V438" s="1712"/>
      <c r="W438" s="1712"/>
      <c r="X438" s="1712"/>
      <c r="Y438" s="1712"/>
      <c r="Z438" s="1712"/>
      <c r="AA438" s="1712"/>
    </row>
    <row r="439" s="2571" customFormat="1" customHeight="1" spans="10:27">
      <c r="J439" s="2573"/>
      <c r="K439" s="1712"/>
      <c r="L439" s="1712"/>
      <c r="M439" s="1712"/>
      <c r="N439" s="1712"/>
      <c r="O439" s="1712"/>
      <c r="P439" s="1712"/>
      <c r="Q439" s="1712"/>
      <c r="R439" s="1712"/>
      <c r="S439" s="1712"/>
      <c r="T439" s="1712"/>
      <c r="U439" s="1712"/>
      <c r="V439" s="1712"/>
      <c r="W439" s="1712"/>
      <c r="X439" s="1712"/>
      <c r="Y439" s="1712"/>
      <c r="Z439" s="1712"/>
      <c r="AA439" s="1712"/>
    </row>
    <row r="440" s="2571" customFormat="1" customHeight="1" spans="10:27">
      <c r="J440" s="2573"/>
      <c r="K440" s="1712"/>
      <c r="L440" s="1712"/>
      <c r="M440" s="1712"/>
      <c r="N440" s="1712"/>
      <c r="O440" s="1712"/>
      <c r="P440" s="1712"/>
      <c r="Q440" s="1712"/>
      <c r="R440" s="1712"/>
      <c r="S440" s="1712"/>
      <c r="T440" s="1712"/>
      <c r="U440" s="1712"/>
      <c r="V440" s="1712"/>
      <c r="W440" s="1712"/>
      <c r="X440" s="1712"/>
      <c r="Y440" s="1712"/>
      <c r="Z440" s="1712"/>
      <c r="AA440" s="1712"/>
    </row>
    <row r="441" s="2571" customFormat="1" customHeight="1" spans="10:27">
      <c r="J441" s="2573"/>
      <c r="K441" s="1712"/>
      <c r="L441" s="1712"/>
      <c r="M441" s="1712"/>
      <c r="N441" s="1712"/>
      <c r="O441" s="1712"/>
      <c r="P441" s="1712"/>
      <c r="Q441" s="1712"/>
      <c r="R441" s="1712"/>
      <c r="S441" s="1712"/>
      <c r="T441" s="1712"/>
      <c r="U441" s="1712"/>
      <c r="V441" s="1712"/>
      <c r="W441" s="1712"/>
      <c r="X441" s="1712"/>
      <c r="Y441" s="1712"/>
      <c r="Z441" s="1712"/>
      <c r="AA441" s="1712"/>
    </row>
    <row r="442" s="2571" customFormat="1" customHeight="1" spans="10:27">
      <c r="J442" s="2573"/>
      <c r="K442" s="1712"/>
      <c r="L442" s="1712"/>
      <c r="M442" s="1712"/>
      <c r="N442" s="1712"/>
      <c r="O442" s="1712"/>
      <c r="P442" s="1712"/>
      <c r="Q442" s="1712"/>
      <c r="R442" s="1712"/>
      <c r="S442" s="1712"/>
      <c r="T442" s="1712"/>
      <c r="U442" s="1712"/>
      <c r="V442" s="1712"/>
      <c r="W442" s="1712"/>
      <c r="X442" s="1712"/>
      <c r="Y442" s="1712"/>
      <c r="Z442" s="1712"/>
      <c r="AA442" s="1712"/>
    </row>
    <row r="443" s="2571" customFormat="1" customHeight="1" spans="10:27">
      <c r="J443" s="2573"/>
      <c r="K443" s="1712"/>
      <c r="L443" s="1712"/>
      <c r="M443" s="1712"/>
      <c r="N443" s="1712"/>
      <c r="O443" s="1712"/>
      <c r="P443" s="1712"/>
      <c r="Q443" s="1712"/>
      <c r="R443" s="1712"/>
      <c r="S443" s="1712"/>
      <c r="T443" s="1712"/>
      <c r="U443" s="1712"/>
      <c r="V443" s="1712"/>
      <c r="W443" s="1712"/>
      <c r="X443" s="1712"/>
      <c r="Y443" s="1712"/>
      <c r="Z443" s="1712"/>
      <c r="AA443" s="1712"/>
    </row>
    <row r="444" s="2571" customFormat="1" customHeight="1" spans="10:27">
      <c r="J444" s="2573"/>
      <c r="K444" s="1712"/>
      <c r="L444" s="1712"/>
      <c r="M444" s="1712"/>
      <c r="N444" s="1712"/>
      <c r="O444" s="1712"/>
      <c r="P444" s="1712"/>
      <c r="Q444" s="1712"/>
      <c r="R444" s="1712"/>
      <c r="S444" s="1712"/>
      <c r="T444" s="1712"/>
      <c r="U444" s="1712"/>
      <c r="V444" s="1712"/>
      <c r="W444" s="1712"/>
      <c r="X444" s="1712"/>
      <c r="Y444" s="1712"/>
      <c r="Z444" s="1712"/>
      <c r="AA444" s="1712"/>
    </row>
    <row r="445" s="2571" customFormat="1" customHeight="1" spans="10:27">
      <c r="J445" s="2573"/>
      <c r="K445" s="1712"/>
      <c r="L445" s="1712"/>
      <c r="M445" s="1712"/>
      <c r="N445" s="1712"/>
      <c r="O445" s="1712"/>
      <c r="P445" s="1712"/>
      <c r="Q445" s="1712"/>
      <c r="R445" s="1712"/>
      <c r="S445" s="1712"/>
      <c r="T445" s="1712"/>
      <c r="U445" s="1712"/>
      <c r="V445" s="1712"/>
      <c r="W445" s="1712"/>
      <c r="X445" s="1712"/>
      <c r="Y445" s="1712"/>
      <c r="Z445" s="1712"/>
      <c r="AA445" s="1712"/>
    </row>
    <row r="446" s="2571" customFormat="1" customHeight="1" spans="10:27">
      <c r="J446" s="2573"/>
      <c r="K446" s="1712"/>
      <c r="L446" s="1712"/>
      <c r="M446" s="1712"/>
      <c r="N446" s="1712"/>
      <c r="O446" s="1712"/>
      <c r="P446" s="1712"/>
      <c r="Q446" s="1712"/>
      <c r="R446" s="1712"/>
      <c r="S446" s="1712"/>
      <c r="T446" s="1712"/>
      <c r="U446" s="1712"/>
      <c r="V446" s="1712"/>
      <c r="W446" s="1712"/>
      <c r="X446" s="1712"/>
      <c r="Y446" s="1712"/>
      <c r="Z446" s="1712"/>
      <c r="AA446" s="1712"/>
    </row>
    <row r="447" s="2571" customFormat="1" customHeight="1" spans="10:27">
      <c r="J447" s="2573"/>
      <c r="K447" s="1712"/>
      <c r="L447" s="1712"/>
      <c r="M447" s="1712"/>
      <c r="N447" s="1712"/>
      <c r="O447" s="1712"/>
      <c r="P447" s="1712"/>
      <c r="Q447" s="1712"/>
      <c r="R447" s="1712"/>
      <c r="S447" s="1712"/>
      <c r="T447" s="1712"/>
      <c r="U447" s="1712"/>
      <c r="V447" s="1712"/>
      <c r="W447" s="1712"/>
      <c r="X447" s="1712"/>
      <c r="Y447" s="1712"/>
      <c r="Z447" s="1712"/>
      <c r="AA447" s="1712"/>
    </row>
    <row r="448" s="2571" customFormat="1" customHeight="1" spans="10:27">
      <c r="J448" s="2573"/>
      <c r="K448" s="1712"/>
      <c r="L448" s="1712"/>
      <c r="M448" s="1712"/>
      <c r="N448" s="1712"/>
      <c r="O448" s="1712"/>
      <c r="P448" s="1712"/>
      <c r="Q448" s="1712"/>
      <c r="R448" s="1712"/>
      <c r="S448" s="1712"/>
      <c r="T448" s="1712"/>
      <c r="U448" s="1712"/>
      <c r="V448" s="1712"/>
      <c r="W448" s="1712"/>
      <c r="X448" s="1712"/>
      <c r="Y448" s="1712"/>
      <c r="Z448" s="1712"/>
      <c r="AA448" s="1712"/>
    </row>
    <row r="449" s="2571" customFormat="1" customHeight="1" spans="10:27">
      <c r="J449" s="2573"/>
      <c r="K449" s="1712"/>
      <c r="L449" s="1712"/>
      <c r="M449" s="1712"/>
      <c r="N449" s="1712"/>
      <c r="O449" s="1712"/>
      <c r="P449" s="1712"/>
      <c r="Q449" s="1712"/>
      <c r="R449" s="1712"/>
      <c r="S449" s="1712"/>
      <c r="T449" s="1712"/>
      <c r="U449" s="1712"/>
      <c r="V449" s="1712"/>
      <c r="W449" s="1712"/>
      <c r="X449" s="1712"/>
      <c r="Y449" s="1712"/>
      <c r="Z449" s="1712"/>
      <c r="AA449" s="1712"/>
    </row>
    <row r="450" s="2571" customFormat="1" customHeight="1" spans="10:27">
      <c r="J450" s="2573"/>
      <c r="K450" s="1712"/>
      <c r="L450" s="1712"/>
      <c r="M450" s="1712"/>
      <c r="N450" s="1712"/>
      <c r="O450" s="1712"/>
      <c r="P450" s="1712"/>
      <c r="Q450" s="1712"/>
      <c r="R450" s="1712"/>
      <c r="S450" s="1712"/>
      <c r="T450" s="1712"/>
      <c r="U450" s="1712"/>
      <c r="V450" s="1712"/>
      <c r="W450" s="1712"/>
      <c r="X450" s="1712"/>
      <c r="Y450" s="1712"/>
      <c r="Z450" s="1712"/>
      <c r="AA450" s="1712"/>
    </row>
    <row r="451" s="2571" customFormat="1" customHeight="1" spans="10:27">
      <c r="J451" s="2573"/>
      <c r="K451" s="1712"/>
      <c r="L451" s="1712"/>
      <c r="M451" s="1712"/>
      <c r="N451" s="1712"/>
      <c r="O451" s="1712"/>
      <c r="P451" s="1712"/>
      <c r="Q451" s="1712"/>
      <c r="R451" s="1712"/>
      <c r="S451" s="1712"/>
      <c r="T451" s="1712"/>
      <c r="U451" s="1712"/>
      <c r="V451" s="1712"/>
      <c r="W451" s="1712"/>
      <c r="X451" s="1712"/>
      <c r="Y451" s="1712"/>
      <c r="Z451" s="1712"/>
      <c r="AA451" s="1712"/>
    </row>
    <row r="452" s="2571" customFormat="1" customHeight="1" spans="10:27">
      <c r="J452" s="2573"/>
      <c r="K452" s="1712"/>
      <c r="L452" s="1712"/>
      <c r="M452" s="1712"/>
      <c r="N452" s="1712"/>
      <c r="O452" s="1712"/>
      <c r="P452" s="1712"/>
      <c r="Q452" s="1712"/>
      <c r="R452" s="1712"/>
      <c r="S452" s="1712"/>
      <c r="T452" s="1712"/>
      <c r="U452" s="1712"/>
      <c r="V452" s="1712"/>
      <c r="W452" s="1712"/>
      <c r="X452" s="1712"/>
      <c r="Y452" s="1712"/>
      <c r="Z452" s="1712"/>
      <c r="AA452" s="1712"/>
    </row>
    <row r="453" s="2571" customFormat="1" customHeight="1" spans="10:27">
      <c r="J453" s="2573"/>
      <c r="K453" s="1712"/>
      <c r="L453" s="1712"/>
      <c r="M453" s="1712"/>
      <c r="N453" s="1712"/>
      <c r="O453" s="1712"/>
      <c r="P453" s="1712"/>
      <c r="Q453" s="1712"/>
      <c r="R453" s="1712"/>
      <c r="S453" s="1712"/>
      <c r="T453" s="1712"/>
      <c r="U453" s="1712"/>
      <c r="V453" s="1712"/>
      <c r="W453" s="1712"/>
      <c r="X453" s="1712"/>
      <c r="Y453" s="1712"/>
      <c r="Z453" s="1712"/>
      <c r="AA453" s="1712"/>
    </row>
    <row r="454" s="2571" customFormat="1" customHeight="1" spans="10:27">
      <c r="J454" s="2573"/>
      <c r="K454" s="1712"/>
      <c r="L454" s="1712"/>
      <c r="M454" s="1712"/>
      <c r="N454" s="1712"/>
      <c r="O454" s="1712"/>
      <c r="P454" s="1712"/>
      <c r="Q454" s="1712"/>
      <c r="R454" s="1712"/>
      <c r="S454" s="1712"/>
      <c r="T454" s="1712"/>
      <c r="U454" s="1712"/>
      <c r="V454" s="1712"/>
      <c r="W454" s="1712"/>
      <c r="X454" s="1712"/>
      <c r="Y454" s="1712"/>
      <c r="Z454" s="1712"/>
      <c r="AA454" s="1712"/>
    </row>
    <row r="455" s="2571" customFormat="1" customHeight="1" spans="10:27">
      <c r="J455" s="2573"/>
      <c r="K455" s="1712"/>
      <c r="L455" s="1712"/>
      <c r="M455" s="1712"/>
      <c r="N455" s="1712"/>
      <c r="O455" s="1712"/>
      <c r="P455" s="1712"/>
      <c r="Q455" s="1712"/>
      <c r="R455" s="1712"/>
      <c r="S455" s="1712"/>
      <c r="T455" s="1712"/>
      <c r="U455" s="1712"/>
      <c r="V455" s="1712"/>
      <c r="W455" s="1712"/>
      <c r="X455" s="1712"/>
      <c r="Y455" s="1712"/>
      <c r="Z455" s="1712"/>
      <c r="AA455" s="1712"/>
    </row>
    <row r="456" s="2571" customFormat="1" customHeight="1" spans="10:27">
      <c r="J456" s="2573"/>
      <c r="K456" s="1712"/>
      <c r="L456" s="1712"/>
      <c r="M456" s="1712"/>
      <c r="N456" s="1712"/>
      <c r="O456" s="1712"/>
      <c r="P456" s="1712"/>
      <c r="Q456" s="1712"/>
      <c r="R456" s="1712"/>
      <c r="S456" s="1712"/>
      <c r="T456" s="1712"/>
      <c r="U456" s="1712"/>
      <c r="V456" s="1712"/>
      <c r="W456" s="1712"/>
      <c r="X456" s="1712"/>
      <c r="Y456" s="1712"/>
      <c r="Z456" s="1712"/>
      <c r="AA456" s="1712"/>
    </row>
    <row r="457" s="2571" customFormat="1" customHeight="1" spans="10:27">
      <c r="J457" s="2573"/>
      <c r="K457" s="1712"/>
      <c r="L457" s="1712"/>
      <c r="M457" s="1712"/>
      <c r="N457" s="1712"/>
      <c r="O457" s="1712"/>
      <c r="P457" s="1712"/>
      <c r="Q457" s="1712"/>
      <c r="R457" s="1712"/>
      <c r="S457" s="1712"/>
      <c r="T457" s="1712"/>
      <c r="U457" s="1712"/>
      <c r="V457" s="1712"/>
      <c r="W457" s="1712"/>
      <c r="X457" s="1712"/>
      <c r="Y457" s="1712"/>
      <c r="Z457" s="1712"/>
      <c r="AA457" s="1712"/>
    </row>
    <row r="458" s="2571" customFormat="1" customHeight="1" spans="10:27">
      <c r="J458" s="2573"/>
      <c r="K458" s="1712"/>
      <c r="L458" s="1712"/>
      <c r="M458" s="1712"/>
      <c r="N458" s="1712"/>
      <c r="O458" s="1712"/>
      <c r="P458" s="1712"/>
      <c r="Q458" s="1712"/>
      <c r="R458" s="1712"/>
      <c r="S458" s="1712"/>
      <c r="T458" s="1712"/>
      <c r="U458" s="1712"/>
      <c r="V458" s="1712"/>
      <c r="W458" s="1712"/>
      <c r="X458" s="1712"/>
      <c r="Y458" s="1712"/>
      <c r="Z458" s="1712"/>
      <c r="AA458" s="1712"/>
    </row>
    <row r="459" s="2571" customFormat="1" customHeight="1" spans="10:27">
      <c r="J459" s="2573"/>
      <c r="K459" s="1712"/>
      <c r="L459" s="1712"/>
      <c r="M459" s="1712"/>
      <c r="N459" s="1712"/>
      <c r="O459" s="1712"/>
      <c r="P459" s="1712"/>
      <c r="Q459" s="1712"/>
      <c r="R459" s="1712"/>
      <c r="S459" s="1712"/>
      <c r="T459" s="1712"/>
      <c r="U459" s="1712"/>
      <c r="V459" s="1712"/>
      <c r="W459" s="1712"/>
      <c r="X459" s="1712"/>
      <c r="Y459" s="1712"/>
      <c r="Z459" s="1712"/>
      <c r="AA459" s="1712"/>
    </row>
    <row r="460" s="2571" customFormat="1" customHeight="1" spans="10:27">
      <c r="J460" s="2573"/>
      <c r="K460" s="1712"/>
      <c r="L460" s="1712"/>
      <c r="M460" s="1712"/>
      <c r="N460" s="1712"/>
      <c r="O460" s="1712"/>
      <c r="P460" s="1712"/>
      <c r="Q460" s="1712"/>
      <c r="R460" s="1712"/>
      <c r="S460" s="1712"/>
      <c r="T460" s="1712"/>
      <c r="U460" s="1712"/>
      <c r="V460" s="1712"/>
      <c r="W460" s="1712"/>
      <c r="X460" s="1712"/>
      <c r="Y460" s="1712"/>
      <c r="Z460" s="1712"/>
      <c r="AA460" s="1712"/>
    </row>
    <row r="461" s="2571" customFormat="1" customHeight="1" spans="10:27">
      <c r="J461" s="2573"/>
      <c r="K461" s="1712"/>
      <c r="L461" s="1712"/>
      <c r="M461" s="1712"/>
      <c r="N461" s="1712"/>
      <c r="O461" s="1712"/>
      <c r="P461" s="1712"/>
      <c r="Q461" s="1712"/>
      <c r="R461" s="1712"/>
      <c r="S461" s="1712"/>
      <c r="T461" s="1712"/>
      <c r="U461" s="1712"/>
      <c r="V461" s="1712"/>
      <c r="W461" s="1712"/>
      <c r="X461" s="1712"/>
      <c r="Y461" s="1712"/>
      <c r="Z461" s="1712"/>
      <c r="AA461" s="1712"/>
    </row>
    <row r="462" s="2571" customFormat="1" customHeight="1" spans="10:27">
      <c r="J462" s="2573"/>
      <c r="K462" s="1712"/>
      <c r="L462" s="1712"/>
      <c r="M462" s="1712"/>
      <c r="N462" s="1712"/>
      <c r="O462" s="1712"/>
      <c r="P462" s="1712"/>
      <c r="Q462" s="1712"/>
      <c r="R462" s="1712"/>
      <c r="S462" s="1712"/>
      <c r="T462" s="1712"/>
      <c r="U462" s="1712"/>
      <c r="V462" s="1712"/>
      <c r="W462" s="1712"/>
      <c r="X462" s="1712"/>
      <c r="Y462" s="1712"/>
      <c r="Z462" s="1712"/>
      <c r="AA462" s="1712"/>
    </row>
    <row r="463" s="2571" customFormat="1" customHeight="1" spans="10:27">
      <c r="J463" s="2573"/>
      <c r="K463" s="1712"/>
      <c r="L463" s="1712"/>
      <c r="M463" s="1712"/>
      <c r="N463" s="1712"/>
      <c r="O463" s="1712"/>
      <c r="P463" s="1712"/>
      <c r="Q463" s="1712"/>
      <c r="R463" s="1712"/>
      <c r="S463" s="1712"/>
      <c r="T463" s="1712"/>
      <c r="U463" s="1712"/>
      <c r="V463" s="1712"/>
      <c r="W463" s="1712"/>
      <c r="X463" s="1712"/>
      <c r="Y463" s="1712"/>
      <c r="Z463" s="1712"/>
      <c r="AA463" s="1712"/>
    </row>
    <row r="464" s="2571" customFormat="1" customHeight="1" spans="10:27">
      <c r="J464" s="2573"/>
      <c r="K464" s="1712"/>
      <c r="L464" s="1712"/>
      <c r="M464" s="1712"/>
      <c r="N464" s="1712"/>
      <c r="O464" s="1712"/>
      <c r="P464" s="1712"/>
      <c r="Q464" s="1712"/>
      <c r="R464" s="1712"/>
      <c r="S464" s="1712"/>
      <c r="T464" s="1712"/>
      <c r="U464" s="1712"/>
      <c r="V464" s="1712"/>
      <c r="W464" s="1712"/>
      <c r="X464" s="1712"/>
      <c r="Y464" s="1712"/>
      <c r="Z464" s="1712"/>
      <c r="AA464" s="1712"/>
    </row>
    <row r="465" s="2571" customFormat="1" customHeight="1" spans="10:27">
      <c r="J465" s="2573"/>
      <c r="K465" s="1712"/>
      <c r="L465" s="1712"/>
      <c r="M465" s="1712"/>
      <c r="N465" s="1712"/>
      <c r="O465" s="1712"/>
      <c r="P465" s="1712"/>
      <c r="Q465" s="1712"/>
      <c r="R465" s="1712"/>
      <c r="S465" s="1712"/>
      <c r="T465" s="1712"/>
      <c r="U465" s="1712"/>
      <c r="V465" s="1712"/>
      <c r="W465" s="1712"/>
      <c r="X465" s="1712"/>
      <c r="Y465" s="1712"/>
      <c r="Z465" s="1712"/>
      <c r="AA465" s="1712"/>
    </row>
    <row r="466" s="2571" customFormat="1" customHeight="1" spans="10:27">
      <c r="J466" s="2573"/>
      <c r="K466" s="1712"/>
      <c r="L466" s="1712"/>
      <c r="M466" s="1712"/>
      <c r="N466" s="1712"/>
      <c r="O466" s="1712"/>
      <c r="P466" s="1712"/>
      <c r="Q466" s="1712"/>
      <c r="R466" s="1712"/>
      <c r="S466" s="1712"/>
      <c r="T466" s="1712"/>
      <c r="U466" s="1712"/>
      <c r="V466" s="1712"/>
      <c r="W466" s="1712"/>
      <c r="X466" s="1712"/>
      <c r="Y466" s="1712"/>
      <c r="Z466" s="1712"/>
      <c r="AA466" s="1712"/>
    </row>
    <row r="467" s="2571" customFormat="1" customHeight="1" spans="10:27">
      <c r="J467" s="2573"/>
      <c r="K467" s="1712"/>
      <c r="L467" s="1712"/>
      <c r="M467" s="1712"/>
      <c r="N467" s="1712"/>
      <c r="O467" s="1712"/>
      <c r="P467" s="1712"/>
      <c r="Q467" s="1712"/>
      <c r="R467" s="1712"/>
      <c r="S467" s="1712"/>
      <c r="T467" s="1712"/>
      <c r="U467" s="1712"/>
      <c r="V467" s="1712"/>
      <c r="W467" s="1712"/>
      <c r="X467" s="1712"/>
      <c r="Y467" s="1712"/>
      <c r="Z467" s="1712"/>
      <c r="AA467" s="1712"/>
    </row>
    <row r="468" s="2571" customFormat="1" customHeight="1" spans="10:27">
      <c r="J468" s="2573"/>
      <c r="K468" s="1712"/>
      <c r="L468" s="1712"/>
      <c r="M468" s="1712"/>
      <c r="N468" s="1712"/>
      <c r="O468" s="1712"/>
      <c r="P468" s="1712"/>
      <c r="Q468" s="1712"/>
      <c r="R468" s="1712"/>
      <c r="S468" s="1712"/>
      <c r="T468" s="1712"/>
      <c r="U468" s="1712"/>
      <c r="V468" s="1712"/>
      <c r="W468" s="1712"/>
      <c r="X468" s="1712"/>
      <c r="Y468" s="1712"/>
      <c r="Z468" s="1712"/>
      <c r="AA468" s="1712"/>
    </row>
    <row r="469" s="2571" customFormat="1" customHeight="1" spans="10:27">
      <c r="J469" s="2573"/>
      <c r="K469" s="1712"/>
      <c r="L469" s="1712"/>
      <c r="M469" s="1712"/>
      <c r="N469" s="1712"/>
      <c r="O469" s="1712"/>
      <c r="P469" s="1712"/>
      <c r="Q469" s="1712"/>
      <c r="R469" s="1712"/>
      <c r="S469" s="1712"/>
      <c r="T469" s="1712"/>
      <c r="U469" s="1712"/>
      <c r="V469" s="1712"/>
      <c r="W469" s="1712"/>
      <c r="X469" s="1712"/>
      <c r="Y469" s="1712"/>
      <c r="Z469" s="1712"/>
      <c r="AA469" s="1712"/>
    </row>
    <row r="470" s="2571" customFormat="1" customHeight="1" spans="10:27">
      <c r="J470" s="2573"/>
      <c r="K470" s="1712"/>
      <c r="L470" s="1712"/>
      <c r="M470" s="1712"/>
      <c r="N470" s="1712"/>
      <c r="O470" s="1712"/>
      <c r="P470" s="1712"/>
      <c r="Q470" s="1712"/>
      <c r="R470" s="1712"/>
      <c r="S470" s="1712"/>
      <c r="T470" s="1712"/>
      <c r="U470" s="1712"/>
      <c r="V470" s="1712"/>
      <c r="W470" s="1712"/>
      <c r="X470" s="1712"/>
      <c r="Y470" s="1712"/>
      <c r="Z470" s="1712"/>
      <c r="AA470" s="1712"/>
    </row>
    <row r="471" s="2571" customFormat="1" customHeight="1" spans="10:27">
      <c r="J471" s="2573"/>
      <c r="K471" s="1712"/>
      <c r="L471" s="1712"/>
      <c r="M471" s="1712"/>
      <c r="N471" s="1712"/>
      <c r="O471" s="1712"/>
      <c r="P471" s="1712"/>
      <c r="Q471" s="1712"/>
      <c r="R471" s="1712"/>
      <c r="S471" s="1712"/>
      <c r="T471" s="1712"/>
      <c r="U471" s="1712"/>
      <c r="V471" s="1712"/>
      <c r="W471" s="1712"/>
      <c r="X471" s="1712"/>
      <c r="Y471" s="1712"/>
      <c r="Z471" s="1712"/>
      <c r="AA471" s="1712"/>
    </row>
    <row r="472" s="2571" customFormat="1" customHeight="1" spans="10:27">
      <c r="J472" s="2573"/>
      <c r="K472" s="1712"/>
      <c r="L472" s="1712"/>
      <c r="M472" s="1712"/>
      <c r="N472" s="1712"/>
      <c r="O472" s="1712"/>
      <c r="P472" s="1712"/>
      <c r="Q472" s="1712"/>
      <c r="R472" s="1712"/>
      <c r="S472" s="1712"/>
      <c r="T472" s="1712"/>
      <c r="U472" s="1712"/>
      <c r="V472" s="1712"/>
      <c r="W472" s="1712"/>
      <c r="X472" s="1712"/>
      <c r="Y472" s="1712"/>
      <c r="Z472" s="1712"/>
      <c r="AA472" s="1712"/>
    </row>
    <row r="473" s="2571" customFormat="1" customHeight="1" spans="10:27">
      <c r="J473" s="2573"/>
      <c r="K473" s="1712"/>
      <c r="L473" s="1712"/>
      <c r="M473" s="1712"/>
      <c r="N473" s="1712"/>
      <c r="O473" s="1712"/>
      <c r="P473" s="1712"/>
      <c r="Q473" s="1712"/>
      <c r="R473" s="1712"/>
      <c r="S473" s="1712"/>
      <c r="T473" s="1712"/>
      <c r="U473" s="1712"/>
      <c r="V473" s="1712"/>
      <c r="W473" s="1712"/>
      <c r="X473" s="1712"/>
      <c r="Y473" s="1712"/>
      <c r="Z473" s="1712"/>
      <c r="AA473" s="1712"/>
    </row>
    <row r="474" s="2571" customFormat="1" customHeight="1" spans="10:27">
      <c r="J474" s="2573"/>
      <c r="K474" s="1712"/>
      <c r="L474" s="1712"/>
      <c r="M474" s="1712"/>
      <c r="N474" s="1712"/>
      <c r="O474" s="1712"/>
      <c r="P474" s="1712"/>
      <c r="Q474" s="1712"/>
      <c r="R474" s="1712"/>
      <c r="S474" s="1712"/>
      <c r="T474" s="1712"/>
      <c r="U474" s="1712"/>
      <c r="V474" s="1712"/>
      <c r="W474" s="1712"/>
      <c r="X474" s="1712"/>
      <c r="Y474" s="1712"/>
      <c r="Z474" s="1712"/>
      <c r="AA474" s="1712"/>
    </row>
    <row r="475" s="2571" customFormat="1" customHeight="1" spans="10:27">
      <c r="J475" s="2573"/>
      <c r="K475" s="1712"/>
      <c r="L475" s="1712"/>
      <c r="M475" s="1712"/>
      <c r="N475" s="1712"/>
      <c r="O475" s="1712"/>
      <c r="P475" s="1712"/>
      <c r="Q475" s="1712"/>
      <c r="R475" s="1712"/>
      <c r="S475" s="1712"/>
      <c r="T475" s="1712"/>
      <c r="U475" s="1712"/>
      <c r="V475" s="1712"/>
      <c r="W475" s="1712"/>
      <c r="X475" s="1712"/>
      <c r="Y475" s="1712"/>
      <c r="Z475" s="1712"/>
      <c r="AA475" s="1712"/>
    </row>
    <row r="476" s="2571" customFormat="1" customHeight="1" spans="10:27">
      <c r="J476" s="2573"/>
      <c r="K476" s="1712"/>
      <c r="L476" s="1712"/>
      <c r="M476" s="1712"/>
      <c r="N476" s="1712"/>
      <c r="O476" s="1712"/>
      <c r="P476" s="1712"/>
      <c r="Q476" s="1712"/>
      <c r="R476" s="1712"/>
      <c r="S476" s="1712"/>
      <c r="T476" s="1712"/>
      <c r="U476" s="1712"/>
      <c r="V476" s="1712"/>
      <c r="W476" s="1712"/>
      <c r="X476" s="1712"/>
      <c r="Y476" s="1712"/>
      <c r="Z476" s="1712"/>
      <c r="AA476" s="1712"/>
    </row>
    <row r="477" s="2571" customFormat="1" customHeight="1" spans="10:27">
      <c r="J477" s="2573"/>
      <c r="K477" s="1712"/>
      <c r="L477" s="1712"/>
      <c r="M477" s="1712"/>
      <c r="N477" s="1712"/>
      <c r="O477" s="1712"/>
      <c r="P477" s="1712"/>
      <c r="Q477" s="1712"/>
      <c r="R477" s="1712"/>
      <c r="S477" s="1712"/>
      <c r="T477" s="1712"/>
      <c r="U477" s="1712"/>
      <c r="V477" s="1712"/>
      <c r="W477" s="1712"/>
      <c r="X477" s="1712"/>
      <c r="Y477" s="1712"/>
      <c r="Z477" s="1712"/>
      <c r="AA477" s="1712"/>
    </row>
    <row r="478" s="2571" customFormat="1" customHeight="1" spans="10:27">
      <c r="J478" s="2573"/>
      <c r="K478" s="1712"/>
      <c r="L478" s="1712"/>
      <c r="M478" s="1712"/>
      <c r="N478" s="1712"/>
      <c r="O478" s="1712"/>
      <c r="P478" s="1712"/>
      <c r="Q478" s="1712"/>
      <c r="R478" s="1712"/>
      <c r="S478" s="1712"/>
      <c r="T478" s="1712"/>
      <c r="U478" s="1712"/>
      <c r="V478" s="1712"/>
      <c r="W478" s="1712"/>
      <c r="X478" s="1712"/>
      <c r="Y478" s="1712"/>
      <c r="Z478" s="1712"/>
      <c r="AA478" s="1712"/>
    </row>
    <row r="479" s="2571" customFormat="1" customHeight="1" spans="10:27">
      <c r="J479" s="2573"/>
      <c r="K479" s="1712"/>
      <c r="L479" s="1712"/>
      <c r="M479" s="1712"/>
      <c r="N479" s="1712"/>
      <c r="O479" s="1712"/>
      <c r="P479" s="1712"/>
      <c r="Q479" s="1712"/>
      <c r="R479" s="1712"/>
      <c r="S479" s="1712"/>
      <c r="T479" s="1712"/>
      <c r="U479" s="1712"/>
      <c r="V479" s="1712"/>
      <c r="W479" s="1712"/>
      <c r="X479" s="1712"/>
      <c r="Y479" s="1712"/>
      <c r="Z479" s="1712"/>
      <c r="AA479" s="1712"/>
    </row>
    <row r="480" s="2571" customFormat="1" customHeight="1" spans="10:27">
      <c r="J480" s="2573"/>
      <c r="K480" s="1712"/>
      <c r="L480" s="1712"/>
      <c r="M480" s="1712"/>
      <c r="N480" s="1712"/>
      <c r="O480" s="1712"/>
      <c r="P480" s="1712"/>
      <c r="Q480" s="1712"/>
      <c r="R480" s="1712"/>
      <c r="S480" s="1712"/>
      <c r="T480" s="1712"/>
      <c r="U480" s="1712"/>
      <c r="V480" s="1712"/>
      <c r="W480" s="1712"/>
      <c r="X480" s="1712"/>
      <c r="Y480" s="1712"/>
      <c r="Z480" s="1712"/>
      <c r="AA480" s="1712"/>
    </row>
    <row r="481" s="2571" customFormat="1" customHeight="1" spans="10:27">
      <c r="J481" s="2573"/>
      <c r="K481" s="1712"/>
      <c r="L481" s="1712"/>
      <c r="M481" s="1712"/>
      <c r="N481" s="1712"/>
      <c r="O481" s="1712"/>
      <c r="P481" s="1712"/>
      <c r="Q481" s="1712"/>
      <c r="R481" s="1712"/>
      <c r="S481" s="1712"/>
      <c r="T481" s="1712"/>
      <c r="U481" s="1712"/>
      <c r="V481" s="1712"/>
      <c r="W481" s="1712"/>
      <c r="X481" s="1712"/>
      <c r="Y481" s="1712"/>
      <c r="Z481" s="1712"/>
      <c r="AA481" s="1712"/>
    </row>
    <row r="482" s="2571" customFormat="1" customHeight="1" spans="10:27">
      <c r="J482" s="2573"/>
      <c r="K482" s="1712"/>
      <c r="L482" s="1712"/>
      <c r="M482" s="1712"/>
      <c r="N482" s="1712"/>
      <c r="O482" s="1712"/>
      <c r="P482" s="1712"/>
      <c r="Q482" s="1712"/>
      <c r="R482" s="1712"/>
      <c r="S482" s="1712"/>
      <c r="T482" s="1712"/>
      <c r="U482" s="1712"/>
      <c r="V482" s="1712"/>
      <c r="W482" s="1712"/>
      <c r="X482" s="1712"/>
      <c r="Y482" s="1712"/>
      <c r="Z482" s="1712"/>
      <c r="AA482" s="1712"/>
    </row>
    <row r="483" s="2571" customFormat="1" customHeight="1" spans="10:27">
      <c r="J483" s="2573"/>
      <c r="K483" s="1712"/>
      <c r="L483" s="1712"/>
      <c r="M483" s="1712"/>
      <c r="N483" s="1712"/>
      <c r="O483" s="1712"/>
      <c r="P483" s="1712"/>
      <c r="Q483" s="1712"/>
      <c r="R483" s="1712"/>
      <c r="S483" s="1712"/>
      <c r="T483" s="1712"/>
      <c r="U483" s="1712"/>
      <c r="V483" s="1712"/>
      <c r="W483" s="1712"/>
      <c r="X483" s="1712"/>
      <c r="Y483" s="1712"/>
      <c r="Z483" s="1712"/>
      <c r="AA483" s="1712"/>
    </row>
    <row r="484" s="2571" customFormat="1" customHeight="1" spans="10:27">
      <c r="J484" s="2573"/>
      <c r="K484" s="1712"/>
      <c r="L484" s="1712"/>
      <c r="M484" s="1712"/>
      <c r="N484" s="1712"/>
      <c r="O484" s="1712"/>
      <c r="P484" s="1712"/>
      <c r="Q484" s="1712"/>
      <c r="R484" s="1712"/>
      <c r="S484" s="1712"/>
      <c r="T484" s="1712"/>
      <c r="U484" s="1712"/>
      <c r="V484" s="1712"/>
      <c r="W484" s="1712"/>
      <c r="X484" s="1712"/>
      <c r="Y484" s="1712"/>
      <c r="Z484" s="1712"/>
      <c r="AA484" s="1712"/>
    </row>
    <row r="485" s="2571" customFormat="1" customHeight="1" spans="10:27">
      <c r="J485" s="2573"/>
      <c r="K485" s="1712"/>
      <c r="L485" s="1712"/>
      <c r="M485" s="1712"/>
      <c r="N485" s="1712"/>
      <c r="O485" s="1712"/>
      <c r="P485" s="1712"/>
      <c r="Q485" s="1712"/>
      <c r="R485" s="1712"/>
      <c r="S485" s="1712"/>
      <c r="T485" s="1712"/>
      <c r="U485" s="1712"/>
      <c r="V485" s="1712"/>
      <c r="W485" s="1712"/>
      <c r="X485" s="1712"/>
      <c r="Y485" s="1712"/>
      <c r="Z485" s="1712"/>
      <c r="AA485" s="1712"/>
    </row>
    <row r="486" s="2571" customFormat="1" customHeight="1" spans="10:27">
      <c r="J486" s="2573"/>
      <c r="K486" s="1712"/>
      <c r="L486" s="1712"/>
      <c r="M486" s="1712"/>
      <c r="N486" s="1712"/>
      <c r="O486" s="1712"/>
      <c r="P486" s="1712"/>
      <c r="Q486" s="1712"/>
      <c r="R486" s="1712"/>
      <c r="S486" s="1712"/>
      <c r="T486" s="1712"/>
      <c r="U486" s="1712"/>
      <c r="V486" s="1712"/>
      <c r="W486" s="1712"/>
      <c r="X486" s="1712"/>
      <c r="Y486" s="1712"/>
      <c r="Z486" s="1712"/>
      <c r="AA486" s="1712"/>
    </row>
    <row r="487" s="2571" customFormat="1" customHeight="1" spans="10:27">
      <c r="J487" s="2573"/>
      <c r="K487" s="1712"/>
      <c r="L487" s="1712"/>
      <c r="M487" s="1712"/>
      <c r="N487" s="1712"/>
      <c r="O487" s="1712"/>
      <c r="P487" s="1712"/>
      <c r="Q487" s="1712"/>
      <c r="R487" s="1712"/>
      <c r="S487" s="1712"/>
      <c r="T487" s="1712"/>
      <c r="U487" s="1712"/>
      <c r="V487" s="1712"/>
      <c r="W487" s="1712"/>
      <c r="X487" s="1712"/>
      <c r="Y487" s="1712"/>
      <c r="Z487" s="1712"/>
      <c r="AA487" s="1712"/>
    </row>
    <row r="488" s="2571" customFormat="1" customHeight="1" spans="10:27">
      <c r="J488" s="2573"/>
      <c r="K488" s="1712"/>
      <c r="L488" s="1712"/>
      <c r="M488" s="1712"/>
      <c r="N488" s="1712"/>
      <c r="O488" s="1712"/>
      <c r="P488" s="1712"/>
      <c r="Q488" s="1712"/>
      <c r="R488" s="1712"/>
      <c r="S488" s="1712"/>
      <c r="T488" s="1712"/>
      <c r="U488" s="1712"/>
      <c r="V488" s="1712"/>
      <c r="W488" s="1712"/>
      <c r="X488" s="1712"/>
      <c r="Y488" s="1712"/>
      <c r="Z488" s="1712"/>
      <c r="AA488" s="1712"/>
    </row>
    <row r="489" s="2571" customFormat="1" customHeight="1" spans="10:27">
      <c r="J489" s="2573"/>
      <c r="K489" s="1712"/>
      <c r="L489" s="1712"/>
      <c r="M489" s="1712"/>
      <c r="N489" s="1712"/>
      <c r="O489" s="1712"/>
      <c r="P489" s="1712"/>
      <c r="Q489" s="1712"/>
      <c r="R489" s="1712"/>
      <c r="S489" s="1712"/>
      <c r="T489" s="1712"/>
      <c r="U489" s="1712"/>
      <c r="V489" s="1712"/>
      <c r="W489" s="1712"/>
      <c r="X489" s="1712"/>
      <c r="Y489" s="1712"/>
      <c r="Z489" s="1712"/>
      <c r="AA489" s="1712"/>
    </row>
    <row r="490" s="2571" customFormat="1" customHeight="1" spans="10:27">
      <c r="J490" s="2573"/>
      <c r="K490" s="1712"/>
      <c r="L490" s="1712"/>
      <c r="M490" s="1712"/>
      <c r="N490" s="1712"/>
      <c r="O490" s="1712"/>
      <c r="P490" s="1712"/>
      <c r="Q490" s="1712"/>
      <c r="R490" s="1712"/>
      <c r="S490" s="1712"/>
      <c r="T490" s="1712"/>
      <c r="U490" s="1712"/>
      <c r="V490" s="1712"/>
      <c r="W490" s="1712"/>
      <c r="X490" s="1712"/>
      <c r="Y490" s="1712"/>
      <c r="Z490" s="1712"/>
      <c r="AA490" s="1712"/>
    </row>
    <row r="491" s="2571" customFormat="1" customHeight="1" spans="10:27">
      <c r="J491" s="2573"/>
      <c r="K491" s="1712"/>
      <c r="L491" s="1712"/>
      <c r="M491" s="1712"/>
      <c r="N491" s="1712"/>
      <c r="O491" s="1712"/>
      <c r="P491" s="1712"/>
      <c r="Q491" s="1712"/>
      <c r="R491" s="1712"/>
      <c r="S491" s="1712"/>
      <c r="T491" s="1712"/>
      <c r="U491" s="1712"/>
      <c r="V491" s="1712"/>
      <c r="W491" s="1712"/>
      <c r="X491" s="1712"/>
      <c r="Y491" s="1712"/>
      <c r="Z491" s="1712"/>
      <c r="AA491" s="1712"/>
    </row>
    <row r="492" s="2571" customFormat="1" customHeight="1" spans="10:27">
      <c r="J492" s="2573"/>
      <c r="K492" s="1712"/>
      <c r="L492" s="1712"/>
      <c r="M492" s="1712"/>
      <c r="N492" s="1712"/>
      <c r="O492" s="1712"/>
      <c r="P492" s="1712"/>
      <c r="Q492" s="1712"/>
      <c r="R492" s="1712"/>
      <c r="S492" s="1712"/>
      <c r="T492" s="1712"/>
      <c r="U492" s="1712"/>
      <c r="V492" s="1712"/>
      <c r="W492" s="1712"/>
      <c r="X492" s="1712"/>
      <c r="Y492" s="1712"/>
      <c r="Z492" s="1712"/>
      <c r="AA492" s="1712"/>
    </row>
    <row r="493" s="2571" customFormat="1" customHeight="1" spans="10:27">
      <c r="J493" s="2573"/>
      <c r="K493" s="1712"/>
      <c r="L493" s="1712"/>
      <c r="M493" s="1712"/>
      <c r="N493" s="1712"/>
      <c r="O493" s="1712"/>
      <c r="P493" s="1712"/>
      <c r="Q493" s="1712"/>
      <c r="R493" s="1712"/>
      <c r="S493" s="1712"/>
      <c r="T493" s="1712"/>
      <c r="U493" s="1712"/>
      <c r="V493" s="1712"/>
      <c r="W493" s="1712"/>
      <c r="X493" s="1712"/>
      <c r="Y493" s="1712"/>
      <c r="Z493" s="1712"/>
      <c r="AA493" s="1712"/>
    </row>
    <row r="494" s="2571" customFormat="1" customHeight="1" spans="10:27">
      <c r="J494" s="2573"/>
      <c r="K494" s="1712"/>
      <c r="L494" s="1712"/>
      <c r="M494" s="1712"/>
      <c r="N494" s="1712"/>
      <c r="O494" s="1712"/>
      <c r="P494" s="1712"/>
      <c r="Q494" s="1712"/>
      <c r="R494" s="1712"/>
      <c r="S494" s="1712"/>
      <c r="T494" s="1712"/>
      <c r="U494" s="1712"/>
      <c r="V494" s="1712"/>
      <c r="W494" s="1712"/>
      <c r="X494" s="1712"/>
      <c r="Y494" s="1712"/>
      <c r="Z494" s="1712"/>
      <c r="AA494" s="1712"/>
    </row>
    <row r="495" s="2571" customFormat="1" customHeight="1" spans="10:27">
      <c r="J495" s="2573"/>
      <c r="K495" s="1712"/>
      <c r="L495" s="1712"/>
      <c r="M495" s="1712"/>
      <c r="N495" s="1712"/>
      <c r="O495" s="1712"/>
      <c r="P495" s="1712"/>
      <c r="Q495" s="1712"/>
      <c r="R495" s="1712"/>
      <c r="S495" s="1712"/>
      <c r="T495" s="1712"/>
      <c r="U495" s="1712"/>
      <c r="V495" s="1712"/>
      <c r="W495" s="1712"/>
      <c r="X495" s="1712"/>
      <c r="Y495" s="1712"/>
      <c r="Z495" s="1712"/>
      <c r="AA495" s="1712"/>
    </row>
    <row r="496" s="2571" customFormat="1" customHeight="1" spans="10:27">
      <c r="J496" s="2573"/>
      <c r="K496" s="1712"/>
      <c r="L496" s="1712"/>
      <c r="M496" s="1712"/>
      <c r="N496" s="1712"/>
      <c r="O496" s="1712"/>
      <c r="P496" s="1712"/>
      <c r="Q496" s="1712"/>
      <c r="R496" s="1712"/>
      <c r="S496" s="1712"/>
      <c r="T496" s="1712"/>
      <c r="U496" s="1712"/>
      <c r="V496" s="1712"/>
      <c r="W496" s="1712"/>
      <c r="X496" s="1712"/>
      <c r="Y496" s="1712"/>
      <c r="Z496" s="1712"/>
      <c r="AA496" s="1712"/>
    </row>
    <row r="497" s="2571" customFormat="1" customHeight="1" spans="10:27">
      <c r="J497" s="2573"/>
      <c r="K497" s="1712"/>
      <c r="L497" s="1712"/>
      <c r="M497" s="1712"/>
      <c r="N497" s="1712"/>
      <c r="O497" s="1712"/>
      <c r="P497" s="1712"/>
      <c r="Q497" s="1712"/>
      <c r="R497" s="1712"/>
      <c r="S497" s="1712"/>
      <c r="T497" s="1712"/>
      <c r="U497" s="1712"/>
      <c r="V497" s="1712"/>
      <c r="W497" s="1712"/>
      <c r="X497" s="1712"/>
      <c r="Y497" s="1712"/>
      <c r="Z497" s="1712"/>
      <c r="AA497" s="1712"/>
    </row>
    <row r="498" s="2571" customFormat="1" customHeight="1" spans="10:27">
      <c r="J498" s="2573"/>
      <c r="K498" s="1712"/>
      <c r="L498" s="1712"/>
      <c r="M498" s="1712"/>
      <c r="N498" s="1712"/>
      <c r="O498" s="1712"/>
      <c r="P498" s="1712"/>
      <c r="Q498" s="1712"/>
      <c r="R498" s="1712"/>
      <c r="S498" s="1712"/>
      <c r="T498" s="1712"/>
      <c r="U498" s="1712"/>
      <c r="V498" s="1712"/>
      <c r="W498" s="1712"/>
      <c r="X498" s="1712"/>
      <c r="Y498" s="1712"/>
      <c r="Z498" s="1712"/>
      <c r="AA498" s="1712"/>
    </row>
    <row r="499" s="2571" customFormat="1" customHeight="1" spans="10:27">
      <c r="J499" s="2573"/>
      <c r="K499" s="1712"/>
      <c r="L499" s="1712"/>
      <c r="M499" s="1712"/>
      <c r="N499" s="1712"/>
      <c r="O499" s="1712"/>
      <c r="P499" s="1712"/>
      <c r="Q499" s="1712"/>
      <c r="R499" s="1712"/>
      <c r="S499" s="1712"/>
      <c r="T499" s="1712"/>
      <c r="U499" s="1712"/>
      <c r="V499" s="1712"/>
      <c r="W499" s="1712"/>
      <c r="X499" s="1712"/>
      <c r="Y499" s="1712"/>
      <c r="Z499" s="1712"/>
      <c r="AA499" s="1712"/>
    </row>
    <row r="500" s="2571" customFormat="1" customHeight="1" spans="10:27">
      <c r="J500" s="2573"/>
      <c r="K500" s="1712"/>
      <c r="L500" s="1712"/>
      <c r="M500" s="1712"/>
      <c r="N500" s="1712"/>
      <c r="O500" s="1712"/>
      <c r="P500" s="1712"/>
      <c r="Q500" s="1712"/>
      <c r="R500" s="1712"/>
      <c r="S500" s="1712"/>
      <c r="T500" s="1712"/>
      <c r="U500" s="1712"/>
      <c r="V500" s="1712"/>
      <c r="W500" s="1712"/>
      <c r="X500" s="1712"/>
      <c r="Y500" s="1712"/>
      <c r="Z500" s="1712"/>
      <c r="AA500" s="1712"/>
    </row>
    <row r="501" s="2571" customFormat="1" customHeight="1" spans="10:27">
      <c r="J501" s="2573"/>
      <c r="K501" s="1712"/>
      <c r="L501" s="1712"/>
      <c r="M501" s="1712"/>
      <c r="N501" s="1712"/>
      <c r="O501" s="1712"/>
      <c r="P501" s="1712"/>
      <c r="Q501" s="1712"/>
      <c r="R501" s="1712"/>
      <c r="S501" s="1712"/>
      <c r="T501" s="1712"/>
      <c r="U501" s="1712"/>
      <c r="V501" s="1712"/>
      <c r="W501" s="1712"/>
      <c r="X501" s="1712"/>
      <c r="Y501" s="1712"/>
      <c r="Z501" s="1712"/>
      <c r="AA501" s="1712"/>
    </row>
    <row r="502" s="2571" customFormat="1" customHeight="1" spans="10:27">
      <c r="J502" s="2573"/>
      <c r="K502" s="1712"/>
      <c r="L502" s="1712"/>
      <c r="M502" s="1712"/>
      <c r="N502" s="1712"/>
      <c r="O502" s="1712"/>
      <c r="P502" s="1712"/>
      <c r="Q502" s="1712"/>
      <c r="R502" s="1712"/>
      <c r="S502" s="1712"/>
      <c r="T502" s="1712"/>
      <c r="U502" s="1712"/>
      <c r="V502" s="1712"/>
      <c r="W502" s="1712"/>
      <c r="X502" s="1712"/>
      <c r="Y502" s="1712"/>
      <c r="Z502" s="1712"/>
      <c r="AA502" s="1712"/>
    </row>
    <row r="503" s="2571" customFormat="1" customHeight="1" spans="10:27">
      <c r="J503" s="2573"/>
      <c r="K503" s="1712"/>
      <c r="L503" s="1712"/>
      <c r="M503" s="1712"/>
      <c r="N503" s="1712"/>
      <c r="O503" s="1712"/>
      <c r="P503" s="1712"/>
      <c r="Q503" s="1712"/>
      <c r="R503" s="1712"/>
      <c r="S503" s="1712"/>
      <c r="T503" s="1712"/>
      <c r="U503" s="1712"/>
      <c r="V503" s="1712"/>
      <c r="W503" s="1712"/>
      <c r="X503" s="1712"/>
      <c r="Y503" s="1712"/>
      <c r="Z503" s="1712"/>
      <c r="AA503" s="1712"/>
    </row>
    <row r="504" s="2571" customFormat="1" customHeight="1" spans="10:27">
      <c r="J504" s="2573"/>
      <c r="K504" s="1712"/>
      <c r="L504" s="1712"/>
      <c r="M504" s="1712"/>
      <c r="N504" s="1712"/>
      <c r="O504" s="1712"/>
      <c r="P504" s="1712"/>
      <c r="Q504" s="1712"/>
      <c r="R504" s="1712"/>
      <c r="S504" s="1712"/>
      <c r="T504" s="1712"/>
      <c r="U504" s="1712"/>
      <c r="V504" s="1712"/>
      <c r="W504" s="1712"/>
      <c r="X504" s="1712"/>
      <c r="Y504" s="1712"/>
      <c r="Z504" s="1712"/>
      <c r="AA504" s="1712"/>
    </row>
    <row r="505" s="2571" customFormat="1" customHeight="1" spans="10:27">
      <c r="J505" s="2573"/>
      <c r="K505" s="1712"/>
      <c r="L505" s="1712"/>
      <c r="M505" s="1712"/>
      <c r="N505" s="1712"/>
      <c r="O505" s="1712"/>
      <c r="P505" s="1712"/>
      <c r="Q505" s="1712"/>
      <c r="R505" s="1712"/>
      <c r="S505" s="1712"/>
      <c r="T505" s="1712"/>
      <c r="U505" s="1712"/>
      <c r="V505" s="1712"/>
      <c r="W505" s="1712"/>
      <c r="X505" s="1712"/>
      <c r="Y505" s="1712"/>
      <c r="Z505" s="1712"/>
      <c r="AA505" s="1712"/>
    </row>
    <row r="506" s="2571" customFormat="1" customHeight="1" spans="10:27">
      <c r="J506" s="2573"/>
      <c r="K506" s="1712"/>
      <c r="L506" s="1712"/>
      <c r="M506" s="1712"/>
      <c r="N506" s="1712"/>
      <c r="O506" s="1712"/>
      <c r="P506" s="1712"/>
      <c r="Q506" s="1712"/>
      <c r="R506" s="1712"/>
      <c r="S506" s="1712"/>
      <c r="T506" s="1712"/>
      <c r="U506" s="1712"/>
      <c r="V506" s="1712"/>
      <c r="W506" s="1712"/>
      <c r="X506" s="1712"/>
      <c r="Y506" s="1712"/>
      <c r="Z506" s="1712"/>
      <c r="AA506" s="1712"/>
    </row>
    <row r="507" s="2571" customFormat="1" customHeight="1" spans="10:27">
      <c r="J507" s="2573"/>
      <c r="K507" s="1712"/>
      <c r="L507" s="1712"/>
      <c r="M507" s="1712"/>
      <c r="N507" s="1712"/>
      <c r="O507" s="1712"/>
      <c r="P507" s="1712"/>
      <c r="Q507" s="1712"/>
      <c r="R507" s="1712"/>
      <c r="S507" s="1712"/>
      <c r="T507" s="1712"/>
      <c r="U507" s="1712"/>
      <c r="V507" s="1712"/>
      <c r="W507" s="1712"/>
      <c r="X507" s="1712"/>
      <c r="Y507" s="1712"/>
      <c r="Z507" s="1712"/>
      <c r="AA507" s="1712"/>
    </row>
    <row r="508" s="2571" customFormat="1" customHeight="1" spans="10:27">
      <c r="J508" s="2573"/>
      <c r="K508" s="1712"/>
      <c r="L508" s="1712"/>
      <c r="M508" s="1712"/>
      <c r="N508" s="1712"/>
      <c r="O508" s="1712"/>
      <c r="P508" s="1712"/>
      <c r="Q508" s="1712"/>
      <c r="R508" s="1712"/>
      <c r="S508" s="1712"/>
      <c r="T508" s="1712"/>
      <c r="U508" s="1712"/>
      <c r="V508" s="1712"/>
      <c r="W508" s="1712"/>
      <c r="X508" s="1712"/>
      <c r="Y508" s="1712"/>
      <c r="Z508" s="1712"/>
      <c r="AA508" s="1712"/>
    </row>
    <row r="509" s="2571" customFormat="1" customHeight="1" spans="10:27">
      <c r="J509" s="2573"/>
      <c r="K509" s="1712"/>
      <c r="L509" s="1712"/>
      <c r="M509" s="1712"/>
      <c r="N509" s="1712"/>
      <c r="O509" s="1712"/>
      <c r="P509" s="1712"/>
      <c r="Q509" s="1712"/>
      <c r="R509" s="1712"/>
      <c r="S509" s="1712"/>
      <c r="T509" s="1712"/>
      <c r="U509" s="1712"/>
      <c r="V509" s="1712"/>
      <c r="W509" s="1712"/>
      <c r="X509" s="1712"/>
      <c r="Y509" s="1712"/>
      <c r="Z509" s="1712"/>
      <c r="AA509" s="1712"/>
    </row>
    <row r="510" s="2571" customFormat="1" customHeight="1" spans="10:27">
      <c r="J510" s="2573"/>
      <c r="K510" s="1712"/>
      <c r="L510" s="1712"/>
      <c r="M510" s="1712"/>
      <c r="N510" s="1712"/>
      <c r="O510" s="1712"/>
      <c r="P510" s="1712"/>
      <c r="Q510" s="1712"/>
      <c r="R510" s="1712"/>
      <c r="S510" s="1712"/>
      <c r="T510" s="1712"/>
      <c r="U510" s="1712"/>
      <c r="V510" s="1712"/>
      <c r="W510" s="1712"/>
      <c r="X510" s="1712"/>
      <c r="Y510" s="1712"/>
      <c r="Z510" s="1712"/>
      <c r="AA510" s="1712"/>
    </row>
    <row r="511" s="2571" customFormat="1" customHeight="1" spans="10:27">
      <c r="J511" s="2573"/>
      <c r="K511" s="1712"/>
      <c r="L511" s="1712"/>
      <c r="M511" s="1712"/>
      <c r="N511" s="1712"/>
      <c r="O511" s="1712"/>
      <c r="P511" s="1712"/>
      <c r="Q511" s="1712"/>
      <c r="R511" s="1712"/>
      <c r="S511" s="1712"/>
      <c r="T511" s="1712"/>
      <c r="U511" s="1712"/>
      <c r="V511" s="1712"/>
      <c r="W511" s="1712"/>
      <c r="X511" s="1712"/>
      <c r="Y511" s="1712"/>
      <c r="Z511" s="1712"/>
      <c r="AA511" s="1712"/>
    </row>
    <row r="512" s="2571" customFormat="1" customHeight="1" spans="10:27">
      <c r="J512" s="2573"/>
      <c r="K512" s="1712"/>
      <c r="L512" s="1712"/>
      <c r="M512" s="1712"/>
      <c r="N512" s="1712"/>
      <c r="O512" s="1712"/>
      <c r="P512" s="1712"/>
      <c r="Q512" s="1712"/>
      <c r="R512" s="1712"/>
      <c r="S512" s="1712"/>
      <c r="T512" s="1712"/>
      <c r="U512" s="1712"/>
      <c r="V512" s="1712"/>
      <c r="W512" s="1712"/>
      <c r="X512" s="1712"/>
      <c r="Y512" s="1712"/>
      <c r="Z512" s="1712"/>
      <c r="AA512" s="1712"/>
    </row>
    <row r="513" s="2571" customFormat="1" customHeight="1" spans="10:27">
      <c r="J513" s="2573"/>
      <c r="K513" s="1712"/>
      <c r="L513" s="1712"/>
      <c r="M513" s="1712"/>
      <c r="N513" s="1712"/>
      <c r="O513" s="1712"/>
      <c r="P513" s="1712"/>
      <c r="Q513" s="1712"/>
      <c r="R513" s="1712"/>
      <c r="S513" s="1712"/>
      <c r="T513" s="1712"/>
      <c r="U513" s="1712"/>
      <c r="V513" s="1712"/>
      <c r="W513" s="1712"/>
      <c r="X513" s="1712"/>
      <c r="Y513" s="1712"/>
      <c r="Z513" s="1712"/>
      <c r="AA513" s="1712"/>
    </row>
    <row r="514" s="2571" customFormat="1" customHeight="1" spans="10:27">
      <c r="J514" s="2573"/>
      <c r="K514" s="1712"/>
      <c r="L514" s="1712"/>
      <c r="M514" s="1712"/>
      <c r="N514" s="1712"/>
      <c r="O514" s="1712"/>
      <c r="P514" s="1712"/>
      <c r="Q514" s="1712"/>
      <c r="R514" s="1712"/>
      <c r="S514" s="1712"/>
      <c r="T514" s="1712"/>
      <c r="U514" s="1712"/>
      <c r="V514" s="1712"/>
      <c r="W514" s="1712"/>
      <c r="X514" s="1712"/>
      <c r="Y514" s="1712"/>
      <c r="Z514" s="1712"/>
      <c r="AA514" s="1712"/>
    </row>
    <row r="515" s="2571" customFormat="1" customHeight="1" spans="10:27">
      <c r="J515" s="2573"/>
      <c r="K515" s="1712"/>
      <c r="L515" s="1712"/>
      <c r="M515" s="1712"/>
      <c r="N515" s="1712"/>
      <c r="O515" s="1712"/>
      <c r="P515" s="1712"/>
      <c r="Q515" s="1712"/>
      <c r="R515" s="1712"/>
      <c r="S515" s="1712"/>
      <c r="T515" s="1712"/>
      <c r="U515" s="1712"/>
      <c r="V515" s="1712"/>
      <c r="W515" s="1712"/>
      <c r="X515" s="1712"/>
      <c r="Y515" s="1712"/>
      <c r="Z515" s="1712"/>
      <c r="AA515" s="1712"/>
    </row>
    <row r="516" s="2571" customFormat="1" customHeight="1" spans="6:27">
      <c r="F516" s="2572"/>
      <c r="G516" s="2572"/>
      <c r="H516" s="2572"/>
      <c r="I516" s="2572"/>
      <c r="J516" s="2573"/>
      <c r="K516" s="1712"/>
      <c r="L516" s="1712"/>
      <c r="M516" s="1712"/>
      <c r="N516" s="1712"/>
      <c r="O516" s="1712"/>
      <c r="P516" s="1712"/>
      <c r="Q516" s="1712"/>
      <c r="R516" s="1712"/>
      <c r="S516" s="1712"/>
      <c r="T516" s="1712"/>
      <c r="U516" s="1712"/>
      <c r="V516" s="1712"/>
      <c r="W516" s="1712"/>
      <c r="X516" s="1712"/>
      <c r="Y516" s="1712"/>
      <c r="Z516" s="1712"/>
      <c r="AA516" s="1712"/>
    </row>
  </sheetData>
  <sheetProtection password="CEE9" sheet="1" formatCells="0" formatColumns="0" formatRows="0" objects="1" scenarios="1"/>
  <mergeCells count="138">
    <mergeCell ref="A2:I2"/>
    <mergeCell ref="A3:I3"/>
    <mergeCell ref="E4:I4"/>
    <mergeCell ref="E18:I18"/>
    <mergeCell ref="A45:C45"/>
    <mergeCell ref="K45:P45"/>
    <mergeCell ref="A46:G46"/>
    <mergeCell ref="L46:M46"/>
    <mergeCell ref="N46:P46"/>
    <mergeCell ref="L47:M47"/>
    <mergeCell ref="N47:P47"/>
    <mergeCell ref="A48:C48"/>
    <mergeCell ref="L48:M48"/>
    <mergeCell ref="N48:P48"/>
    <mergeCell ref="B49:C49"/>
    <mergeCell ref="L49:M49"/>
    <mergeCell ref="N49:P49"/>
    <mergeCell ref="B50:C50"/>
    <mergeCell ref="K50:P50"/>
    <mergeCell ref="B51:C51"/>
    <mergeCell ref="L51:M51"/>
    <mergeCell ref="B52:C52"/>
    <mergeCell ref="L52:M52"/>
    <mergeCell ref="B53:C53"/>
    <mergeCell ref="L53:M53"/>
    <mergeCell ref="B54:C54"/>
    <mergeCell ref="L54:M54"/>
    <mergeCell ref="A55:C55"/>
    <mergeCell ref="L55:M55"/>
    <mergeCell ref="A56:C56"/>
    <mergeCell ref="L56:M56"/>
    <mergeCell ref="O56:P56"/>
    <mergeCell ref="B57:C57"/>
    <mergeCell ref="B58:C58"/>
    <mergeCell ref="A59:C59"/>
    <mergeCell ref="A61:E61"/>
    <mergeCell ref="L61:M61"/>
    <mergeCell ref="A62:B62"/>
    <mergeCell ref="A70:H70"/>
    <mergeCell ref="A71:B71"/>
    <mergeCell ref="E76:H76"/>
    <mergeCell ref="E78:H78"/>
    <mergeCell ref="A83:H83"/>
    <mergeCell ref="A84:B84"/>
    <mergeCell ref="G90:H90"/>
    <mergeCell ref="E91:G91"/>
    <mergeCell ref="E92:H92"/>
    <mergeCell ref="E93:H93"/>
    <mergeCell ref="E94:H94"/>
    <mergeCell ref="A99:D99"/>
    <mergeCell ref="F99:I99"/>
    <mergeCell ref="A100:B100"/>
    <mergeCell ref="F100:G100"/>
    <mergeCell ref="H100:I100"/>
    <mergeCell ref="F101:G101"/>
    <mergeCell ref="H101:I101"/>
    <mergeCell ref="F104:G104"/>
    <mergeCell ref="H104:I104"/>
    <mergeCell ref="A105:D105"/>
    <mergeCell ref="F105:G105"/>
    <mergeCell ref="F106:G106"/>
    <mergeCell ref="F107:G107"/>
    <mergeCell ref="A108:B108"/>
    <mergeCell ref="F108:G108"/>
    <mergeCell ref="A109:B109"/>
    <mergeCell ref="F109:G109"/>
    <mergeCell ref="H109:I109"/>
    <mergeCell ref="A110:B110"/>
    <mergeCell ref="A111:B111"/>
    <mergeCell ref="F116:G116"/>
    <mergeCell ref="H116:I116"/>
    <mergeCell ref="F117:I117"/>
    <mergeCell ref="A118:I118"/>
    <mergeCell ref="D119:E119"/>
    <mergeCell ref="F119:G119"/>
    <mergeCell ref="H119:I119"/>
    <mergeCell ref="A122:C122"/>
    <mergeCell ref="D122:E122"/>
    <mergeCell ref="F122:G122"/>
    <mergeCell ref="H122:I122"/>
    <mergeCell ref="A123:C123"/>
    <mergeCell ref="D123:I123"/>
    <mergeCell ref="A124:C124"/>
    <mergeCell ref="D124:I124"/>
    <mergeCell ref="A125:C125"/>
    <mergeCell ref="D125:I125"/>
    <mergeCell ref="A126:C126"/>
    <mergeCell ref="D126:I126"/>
    <mergeCell ref="A127:C127"/>
    <mergeCell ref="D127:I127"/>
    <mergeCell ref="A128:C128"/>
    <mergeCell ref="D128:I128"/>
    <mergeCell ref="A129:C129"/>
    <mergeCell ref="D129:I129"/>
    <mergeCell ref="A130:C130"/>
    <mergeCell ref="D130:I130"/>
    <mergeCell ref="A132:I132"/>
    <mergeCell ref="A5:A7"/>
    <mergeCell ref="A8:A9"/>
    <mergeCell ref="A10:A11"/>
    <mergeCell ref="A12:A13"/>
    <mergeCell ref="A14:A16"/>
    <mergeCell ref="A24:A25"/>
    <mergeCell ref="A36:A38"/>
    <mergeCell ref="A101:A102"/>
    <mergeCell ref="A103:A104"/>
    <mergeCell ref="A119:A120"/>
    <mergeCell ref="B5:B7"/>
    <mergeCell ref="B8:B9"/>
    <mergeCell ref="B10:B11"/>
    <mergeCell ref="B12:B13"/>
    <mergeCell ref="B14:B16"/>
    <mergeCell ref="B119:B120"/>
    <mergeCell ref="C5:C7"/>
    <mergeCell ref="C8:C9"/>
    <mergeCell ref="C10:C11"/>
    <mergeCell ref="C12:C13"/>
    <mergeCell ref="C14:C16"/>
    <mergeCell ref="C119:C120"/>
    <mergeCell ref="D5:D7"/>
    <mergeCell ref="D8:D9"/>
    <mergeCell ref="D10:D11"/>
    <mergeCell ref="D12:D13"/>
    <mergeCell ref="D14:D16"/>
    <mergeCell ref="G49:G51"/>
    <mergeCell ref="K57:K58"/>
    <mergeCell ref="K59:K60"/>
    <mergeCell ref="K63:K69"/>
    <mergeCell ref="L57:L58"/>
    <mergeCell ref="L59:L60"/>
    <mergeCell ref="F114:G115"/>
    <mergeCell ref="A112:B113"/>
    <mergeCell ref="A114:B115"/>
    <mergeCell ref="A116:B117"/>
    <mergeCell ref="F102:G103"/>
    <mergeCell ref="A106:B107"/>
    <mergeCell ref="F110:G111"/>
    <mergeCell ref="F112:G113"/>
  </mergeCells>
  <conditionalFormatting sqref="C90">
    <cfRule type="expression" dxfId="5" priority="3" stopIfTrue="1">
      <formula>$H$88&lt;&gt;"仅含出让金"</formula>
    </cfRule>
  </conditionalFormatting>
  <conditionalFormatting sqref="C91">
    <cfRule type="expression" dxfId="6" priority="2" stopIfTrue="1">
      <formula>$H$91="由企业提供"</formula>
    </cfRule>
  </conditionalFormatting>
  <conditionalFormatting sqref="C5:C7">
    <cfRule type="cellIs" dxfId="7" priority="21" stopIfTrue="1" operator="equal">
      <formula>25</formula>
    </cfRule>
  </conditionalFormatting>
  <conditionalFormatting sqref="C8:C9">
    <cfRule type="cellIs" dxfId="7" priority="19" stopIfTrue="1" operator="equal">
      <formula>15</formula>
    </cfRule>
  </conditionalFormatting>
  <conditionalFormatting sqref="C14:C16">
    <cfRule type="cellIs" dxfId="7" priority="13" stopIfTrue="1" operator="equal">
      <formula>30</formula>
    </cfRule>
  </conditionalFormatting>
  <conditionalFormatting sqref="D5:D7">
    <cfRule type="cellIs" dxfId="7" priority="10" stopIfTrue="1" operator="equal">
      <formula>25</formula>
    </cfRule>
  </conditionalFormatting>
  <conditionalFormatting sqref="D8:D9">
    <cfRule type="cellIs" dxfId="7" priority="9" stopIfTrue="1" operator="equal">
      <formula>15</formula>
    </cfRule>
  </conditionalFormatting>
  <conditionalFormatting sqref="D14:D16">
    <cfRule type="cellIs" dxfId="7" priority="6" stopIfTrue="1" operator="equal">
      <formula>30</formula>
    </cfRule>
  </conditionalFormatting>
  <conditionalFormatting sqref="C10:D13">
    <cfRule type="cellIs" dxfId="7" priority="8" stopIfTrue="1" operator="equal">
      <formula>15</formula>
    </cfRule>
  </conditionalFormatting>
  <dataValidations count="16">
    <dataValidation type="list" allowBlank="1" showInputMessage="1" showErrorMessage="1" sqref="C4:D4">
      <formula1>估价方法</formula1>
    </dataValidation>
    <dataValidation type="list" allowBlank="1" showInputMessage="1" showErrorMessage="1" sqref="D33">
      <formula1>"成本法成本比率,收益法收益比率,收益法成本比率,自定义"</formula1>
    </dataValidation>
    <dataValidation type="list" allowBlank="1" showInputMessage="1" showErrorMessage="1" sqref="A27">
      <formula1>"成本价,优惠价,标准价,经适房,按经适房管理"</formula1>
    </dataValidation>
    <dataValidation type="list" allowBlank="1" showInputMessage="1" showErrorMessage="1" sqref="H59">
      <formula1>"非个人房产,个人住宅（满五唯一有凭证）,个人其他（有凭证）,个人其他（无凭证）"</formula1>
    </dataValidation>
    <dataValidation type="list" allowBlank="1" showInputMessage="1" showErrorMessage="1" sqref="F45">
      <formula1>"100%,80%,60%,64%"</formula1>
    </dataValidation>
    <dataValidation type="list" allowBlank="1" showInputMessage="1" showErrorMessage="1" sqref="D36">
      <formula1>"同一抵押权人同一抵押物续贷,注销后放款,正常操作"</formula1>
    </dataValidation>
    <dataValidation type="list" allowBlank="1" showInputMessage="1" showErrorMessage="1" sqref="H88">
      <formula1>"仅含出让金,出让金+开发费"</formula1>
    </dataValidation>
    <dataValidation type="list" allowBlank="1" showInputMessage="1" showErrorMessage="1" sqref="H48">
      <formula1>"情况1,情况2,情况3,情况4"</formula1>
    </dataValidation>
    <dataValidation type="list" allowBlank="1" showInputMessage="1" showErrorMessage="1" sqref="H58">
      <formula1>"转让取得,自行开发建设"</formula1>
    </dataValidation>
    <dataValidation type="list" allowBlank="1" showInputMessage="1" showErrorMessage="1" sqref="C133">
      <formula1>"无,有"</formula1>
    </dataValidation>
    <dataValidation type="list" allowBlank="1" showInputMessage="1" showErrorMessage="1" sqref="F75">
      <formula1>"买卖合同,购房发票"</formula1>
    </dataValidation>
    <dataValidation type="list" allowBlank="1" showInputMessage="1" showErrorMessage="1" sqref="G77">
      <formula1>"个人住宅,2016年5月1日前购买,2016年5月1日后购买"</formula1>
    </dataValidation>
    <dataValidation type="list" allowBlank="1" showInputMessage="1" showErrorMessage="1" sqref="H91">
      <formula1>"企业提供（在右侧录入）,——"</formula1>
    </dataValidation>
    <dataValidation type="list" allowBlank="1" showInputMessage="1" showErrorMessage="1" sqref="D92">
      <formula1>"0,5%,10%"</formula1>
    </dataValidation>
    <dataValidation type="list" allowBlank="1" showInputMessage="1" showErrorMessage="1" sqref="D119:E119">
      <formula1>"出让国有建设用地使用权价值,划拨国有建设用地使用权价值"</formula1>
    </dataValidation>
    <dataValidation type="list" allowBlank="1" showInputMessage="1" showErrorMessage="1" sqref="H55:H56">
      <formula1>"个人住宅,正常"</formula1>
    </dataValidation>
  </dataValidations>
  <pageMargins left="0.433070866141732" right="0.433070866141732" top="0.354330708661417" bottom="0.15748031496063" header="0.31496062992126" footer="0.31496062992126"/>
  <pageSetup paperSize="9" scale="81" orientation="portrait"/>
  <headerFooter/>
  <rowBreaks count="3" manualBreakCount="3">
    <brk id="43" max="8" man="1"/>
    <brk id="97" max="8" man="1"/>
    <brk id="146" max="8" man="1"/>
  </rowBreaks>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1">
    <tabColor rgb="FFFF0000"/>
  </sheetPr>
  <dimension ref="A1:AJ520"/>
  <sheetViews>
    <sheetView view="pageBreakPreview" zoomScale="90" zoomScalePageLayoutView="80" zoomScaleNormal="100" topLeftCell="C4" workbookViewId="0">
      <selection activeCell="E28" sqref="E28"/>
    </sheetView>
  </sheetViews>
  <sheetFormatPr defaultColWidth="12.625" defaultRowHeight="21.75" customHeight="1"/>
  <cols>
    <col min="1" max="1" width="12.625" style="2572"/>
    <col min="2" max="2" width="17.625" style="2572" customWidth="1"/>
    <col min="3" max="4" width="12.625" style="2572" customWidth="1"/>
    <col min="5" max="9" width="12.625" style="2572"/>
    <col min="10" max="10" width="4.125" style="2573" customWidth="1"/>
    <col min="11" max="12" width="12.625" style="1712" customWidth="1"/>
    <col min="13" max="13" width="12.625" style="1712"/>
    <col min="14" max="14" width="14.125" style="1712" customWidth="1"/>
    <col min="15" max="27" width="12.625" style="1712"/>
    <col min="28" max="36" width="12.625" style="2571"/>
    <col min="37" max="16384" width="12.625" style="2572"/>
  </cols>
  <sheetData>
    <row r="1" customHeight="1" spans="1:9">
      <c r="A1" s="2574" t="s">
        <v>606</v>
      </c>
      <c r="B1" s="2575"/>
      <c r="C1" s="2575"/>
      <c r="D1" s="2575"/>
      <c r="E1" s="2575"/>
      <c r="F1" s="2575"/>
      <c r="G1" s="2575"/>
      <c r="H1" s="2575"/>
      <c r="I1" s="2575"/>
    </row>
    <row r="2" customHeight="1" spans="1:10">
      <c r="A2" s="2576" t="s">
        <v>822</v>
      </c>
      <c r="B2" s="2576"/>
      <c r="C2" s="2576"/>
      <c r="D2" s="2576"/>
      <c r="E2" s="2576"/>
      <c r="F2" s="2576"/>
      <c r="G2" s="2576"/>
      <c r="H2" s="2576"/>
      <c r="I2" s="2576"/>
      <c r="J2" s="2708"/>
    </row>
    <row r="3" ht="13.5" spans="1:10">
      <c r="A3" s="2577" t="s">
        <v>607</v>
      </c>
      <c r="B3" s="2128"/>
      <c r="C3" s="2128"/>
      <c r="D3" s="2128"/>
      <c r="E3" s="2128"/>
      <c r="F3" s="2128"/>
      <c r="G3" s="2128"/>
      <c r="H3" s="2128"/>
      <c r="I3" s="2128"/>
      <c r="J3" s="2709"/>
    </row>
    <row r="4" ht="14.25" spans="1:15">
      <c r="A4" s="2578" t="s">
        <v>608</v>
      </c>
      <c r="B4" s="2578" t="s">
        <v>609</v>
      </c>
      <c r="C4" s="2579" t="s">
        <v>823</v>
      </c>
      <c r="D4" s="2579" t="s">
        <v>824</v>
      </c>
      <c r="E4" s="2110" t="s">
        <v>611</v>
      </c>
      <c r="F4" s="2111"/>
      <c r="G4" s="2111"/>
      <c r="H4" s="2111"/>
      <c r="I4" s="2693"/>
      <c r="J4" s="2710"/>
      <c r="L4" s="2575" t="str">
        <f>IF(ISNUMBER(FIND("比较法",'结果表 (1修多)'!C4)),"比较法",IF(ISNUMBER(FIND("成本法",'结果表 (1修多)'!C4)),"成本法",IF(ISNUMBER(FIND("假设开发法",'结果表 (1修多)'!C4)),"假设开发法",IF(ISNUMBER(FIND("收益法",'结果表 (1修多)'!C4)),"收益法","基准地价系数修正法"))))</f>
        <v>比较法</v>
      </c>
      <c r="M4" s="2575" t="str">
        <f>IF(ISNUMBER(FIND("比较法",'结果表 (1修多)'!D4)),"比较法",IF(ISNUMBER(FIND("成本法",'结果表 (1修多)'!D4)),"成本法",IF(ISNUMBER(FIND("假设开发法",'结果表 (1修多)'!D4)),"假设开发法",IF(ISNUMBER(FIND("收益法",'结果表 (1修多)'!D4)),"收益法","基准地价系数修正法"))))</f>
        <v>收益法</v>
      </c>
      <c r="N4" s="2575"/>
      <c r="O4" s="2575"/>
    </row>
    <row r="5" ht="13.5" spans="1:10">
      <c r="A5" s="1294" t="s">
        <v>612</v>
      </c>
      <c r="B5" s="1294">
        <v>25</v>
      </c>
      <c r="C5" s="2580"/>
      <c r="D5" s="2581"/>
      <c r="E5" s="2191" t="s">
        <v>613</v>
      </c>
      <c r="F5" s="2111"/>
      <c r="G5" s="2111"/>
      <c r="H5" s="2111"/>
      <c r="I5" s="2693"/>
      <c r="J5" s="2710"/>
    </row>
    <row r="6" ht="13.5" spans="1:10">
      <c r="A6" s="1294"/>
      <c r="B6" s="1294"/>
      <c r="C6" s="2582"/>
      <c r="D6" s="2581"/>
      <c r="E6" s="2191" t="s">
        <v>614</v>
      </c>
      <c r="F6" s="2111"/>
      <c r="G6" s="2111"/>
      <c r="H6" s="2111"/>
      <c r="I6" s="2693"/>
      <c r="J6" s="2710"/>
    </row>
    <row r="7" ht="13.5" spans="1:10">
      <c r="A7" s="1294"/>
      <c r="B7" s="1294"/>
      <c r="C7" s="2583"/>
      <c r="D7" s="2581"/>
      <c r="E7" s="2191" t="s">
        <v>615</v>
      </c>
      <c r="F7" s="2111"/>
      <c r="G7" s="2111"/>
      <c r="H7" s="2111"/>
      <c r="I7" s="2693"/>
      <c r="J7" s="2710"/>
    </row>
    <row r="8" ht="13.5" spans="1:10">
      <c r="A8" s="1294" t="s">
        <v>616</v>
      </c>
      <c r="B8" s="1294">
        <v>15</v>
      </c>
      <c r="C8" s="2580"/>
      <c r="D8" s="2581"/>
      <c r="E8" s="2191" t="s">
        <v>617</v>
      </c>
      <c r="F8" s="2111"/>
      <c r="G8" s="2111"/>
      <c r="H8" s="2111"/>
      <c r="I8" s="2693"/>
      <c r="J8" s="2710"/>
    </row>
    <row r="9" ht="13.5" spans="1:10">
      <c r="A9" s="1294"/>
      <c r="B9" s="1294"/>
      <c r="C9" s="2583"/>
      <c r="D9" s="2581"/>
      <c r="E9" s="2191" t="s">
        <v>618</v>
      </c>
      <c r="F9" s="2111"/>
      <c r="G9" s="2111"/>
      <c r="H9" s="2111"/>
      <c r="I9" s="2693"/>
      <c r="J9" s="2710"/>
    </row>
    <row r="10" ht="13.5" spans="1:10">
      <c r="A10" s="1294" t="s">
        <v>619</v>
      </c>
      <c r="B10" s="1294">
        <v>15</v>
      </c>
      <c r="C10" s="2580"/>
      <c r="D10" s="2581"/>
      <c r="E10" s="2191" t="s">
        <v>620</v>
      </c>
      <c r="F10" s="2111"/>
      <c r="G10" s="2111"/>
      <c r="H10" s="2111"/>
      <c r="I10" s="2693"/>
      <c r="J10" s="2710"/>
    </row>
    <row r="11" ht="13.5" spans="1:10">
      <c r="A11" s="1294"/>
      <c r="B11" s="1294"/>
      <c r="C11" s="2583"/>
      <c r="D11" s="2581"/>
      <c r="E11" s="2191" t="s">
        <v>621</v>
      </c>
      <c r="F11" s="2111"/>
      <c r="G11" s="2111"/>
      <c r="H11" s="2111"/>
      <c r="I11" s="2693"/>
      <c r="J11" s="2710"/>
    </row>
    <row r="12" ht="13.5" spans="1:10">
      <c r="A12" s="1294" t="s">
        <v>622</v>
      </c>
      <c r="B12" s="1294">
        <v>15</v>
      </c>
      <c r="C12" s="2580"/>
      <c r="D12" s="2581"/>
      <c r="E12" s="2191" t="s">
        <v>623</v>
      </c>
      <c r="F12" s="2111"/>
      <c r="G12" s="2111"/>
      <c r="H12" s="2111"/>
      <c r="I12" s="2693"/>
      <c r="J12" s="2710"/>
    </row>
    <row r="13" ht="13.5" spans="1:10">
      <c r="A13" s="1294"/>
      <c r="B13" s="1294"/>
      <c r="C13" s="2583"/>
      <c r="D13" s="2581"/>
      <c r="E13" s="2191" t="s">
        <v>624</v>
      </c>
      <c r="F13" s="2111"/>
      <c r="G13" s="2111"/>
      <c r="H13" s="2111"/>
      <c r="I13" s="2693"/>
      <c r="J13" s="2710"/>
    </row>
    <row r="14" ht="13.5" spans="1:10">
      <c r="A14" s="1294" t="s">
        <v>625</v>
      </c>
      <c r="B14" s="1294">
        <v>30</v>
      </c>
      <c r="C14" s="2580">
        <v>8</v>
      </c>
      <c r="D14" s="2581">
        <v>2</v>
      </c>
      <c r="E14" s="2191" t="s">
        <v>626</v>
      </c>
      <c r="F14" s="2111"/>
      <c r="G14" s="2111"/>
      <c r="H14" s="2111"/>
      <c r="I14" s="2693"/>
      <c r="J14" s="2710"/>
    </row>
    <row r="15" ht="13.5" spans="1:10">
      <c r="A15" s="1294"/>
      <c r="B15" s="1294"/>
      <c r="C15" s="2582"/>
      <c r="D15" s="2581"/>
      <c r="E15" s="2191" t="s">
        <v>627</v>
      </c>
      <c r="F15" s="2111"/>
      <c r="G15" s="2111"/>
      <c r="H15" s="2111"/>
      <c r="I15" s="2693"/>
      <c r="J15" s="2710"/>
    </row>
    <row r="16" ht="13.5" spans="1:10">
      <c r="A16" s="1294"/>
      <c r="B16" s="1294"/>
      <c r="C16" s="2583"/>
      <c r="D16" s="2581"/>
      <c r="E16" s="2191" t="s">
        <v>628</v>
      </c>
      <c r="F16" s="2111"/>
      <c r="G16" s="2111"/>
      <c r="H16" s="2111"/>
      <c r="I16" s="2693"/>
      <c r="J16" s="2710"/>
    </row>
    <row r="17" ht="14.25" spans="1:10">
      <c r="A17" s="2584" t="s">
        <v>629</v>
      </c>
      <c r="B17" s="1293"/>
      <c r="C17" s="2585">
        <f>SUM(C5:C16)</f>
        <v>8</v>
      </c>
      <c r="D17" s="2585">
        <f>SUM(D5:D16)</f>
        <v>2</v>
      </c>
      <c r="E17" s="2586"/>
      <c r="F17" s="2586"/>
      <c r="G17" s="2586"/>
      <c r="H17" s="2586"/>
      <c r="I17" s="2586"/>
      <c r="J17" s="2711"/>
    </row>
    <row r="18" ht="32.45" customHeight="1" spans="1:10">
      <c r="A18" s="2587" t="s">
        <v>630</v>
      </c>
      <c r="B18" s="2588"/>
      <c r="C18" s="2589">
        <f>ROUND(C17/SUM(C17:D17),2)</f>
        <v>0.8</v>
      </c>
      <c r="D18" s="2589">
        <f>1-C18</f>
        <v>0.2</v>
      </c>
      <c r="E18" s="2590" t="s">
        <v>631</v>
      </c>
      <c r="F18" s="2591"/>
      <c r="G18" s="2591"/>
      <c r="H18" s="2591"/>
      <c r="I18" s="2591"/>
      <c r="J18" s="2711"/>
    </row>
    <row r="19" ht="14.25" spans="1:10">
      <c r="A19" s="2592" t="s">
        <v>632</v>
      </c>
      <c r="B19" s="2593" t="s">
        <v>633</v>
      </c>
      <c r="C19" s="2594">
        <f ca="1">SUMIF(INDIRECT("'"&amp;C4&amp;"'"&amp;"!A:A"),'结果表 (1修多)'!B19,INDIRECT("'"&amp;C4&amp;"'"&amp;"!B:B"))</f>
        <v>21634327</v>
      </c>
      <c r="D19" s="2595">
        <f ca="1">SUMIF(INDIRECT("'"&amp;D4&amp;"'"&amp;"!A:A"),'结果表 (1修多)'!B19,INDIRECT("'"&amp;D4&amp;"'"&amp;"!B:B"))</f>
        <v>8841725</v>
      </c>
      <c r="E19" s="2592" t="s">
        <v>634</v>
      </c>
      <c r="F19" s="2593" t="s">
        <v>633</v>
      </c>
      <c r="G19" s="2596">
        <f ca="1">ROUND(C19*$C$18+D19*$D$18,0)</f>
        <v>19075807</v>
      </c>
      <c r="H19" s="2597" t="str">
        <f>'数据-取费表'!B3</f>
        <v>元</v>
      </c>
      <c r="I19" s="2586"/>
      <c r="J19" s="2711"/>
    </row>
    <row r="20" ht="15" spans="1:10">
      <c r="A20" s="2598"/>
      <c r="B20" s="1311" t="s">
        <v>635</v>
      </c>
      <c r="C20" s="1218">
        <f ca="1">SUMIF(INDIRECT("'"&amp;C4&amp;"'"&amp;"!A:A"),'结果表 (1修多)'!B20,INDIRECT("'"&amp;C4&amp;"'"&amp;"!B:B"))</f>
        <v>87734</v>
      </c>
      <c r="D20" s="2356">
        <f ca="1">SUMIF(INDIRECT("'"&amp;D4&amp;"'"&amp;"!A:A"),'结果表 (1修多)'!B20,INDIRECT("'"&amp;D4&amp;"'"&amp;"!B:B"))</f>
        <v>35856</v>
      </c>
      <c r="E20" s="2598"/>
      <c r="F20" s="1311" t="s">
        <v>635</v>
      </c>
      <c r="G20" s="1242">
        <f ca="1">ROUND(C20*$C$18+D20*$D$18,0)</f>
        <v>77358</v>
      </c>
      <c r="H20" s="2599" t="s">
        <v>636</v>
      </c>
      <c r="I20" s="2586"/>
      <c r="J20" s="2711"/>
    </row>
    <row r="21" ht="15" customHeight="1" spans="1:10">
      <c r="A21" s="2600"/>
      <c r="B21" s="2601"/>
      <c r="C21" s="2601"/>
      <c r="D21" s="2602"/>
      <c r="E21" s="2600"/>
      <c r="F21" s="2601"/>
      <c r="G21" s="2603"/>
      <c r="H21" s="2604"/>
      <c r="I21" s="2586"/>
      <c r="J21" s="2711"/>
    </row>
    <row r="22" ht="15" spans="1:10">
      <c r="A22" s="2605" t="s">
        <v>637</v>
      </c>
      <c r="B22" s="2606"/>
      <c r="C22" s="2607"/>
      <c r="D22" s="2608">
        <f ca="1">IF(C19&lt;D19,D19/C19-1,C19/D19-1)</f>
        <v>1.44684459197724</v>
      </c>
      <c r="E22" s="2229"/>
      <c r="F22" s="2229"/>
      <c r="G22" s="2609">
        <f ca="1">G20*'比较法-住宅'!C33</f>
        <v>19075709.22</v>
      </c>
      <c r="H22" s="2229"/>
      <c r="I22" s="2229"/>
      <c r="J22" s="2711"/>
    </row>
    <row r="23" ht="14.25" spans="1:10">
      <c r="A23" s="2586"/>
      <c r="B23" s="2586"/>
      <c r="C23" s="2586"/>
      <c r="D23" s="2586"/>
      <c r="E23" s="2229"/>
      <c r="F23" s="2229"/>
      <c r="G23" s="2229"/>
      <c r="H23" s="2229"/>
      <c r="I23" s="2229"/>
      <c r="J23" s="2711"/>
    </row>
    <row r="24" customHeight="1" spans="1:10">
      <c r="A24" s="1122" t="s">
        <v>638</v>
      </c>
      <c r="B24" s="2593" t="s">
        <v>633</v>
      </c>
      <c r="C24" s="2596">
        <f>D30</f>
        <v>0</v>
      </c>
      <c r="D24" s="2610"/>
      <c r="E24" s="2229"/>
      <c r="F24" s="2229"/>
      <c r="G24" s="2229"/>
      <c r="H24" s="2229"/>
      <c r="I24" s="2229"/>
      <c r="J24" s="2711"/>
    </row>
    <row r="25" customHeight="1" spans="1:10">
      <c r="A25" s="2611"/>
      <c r="B25" s="1311" t="s">
        <v>635</v>
      </c>
      <c r="C25" s="2612">
        <f>IF(B30=0,0,C30)</f>
        <v>0</v>
      </c>
      <c r="D25" s="2613"/>
      <c r="E25" s="2229"/>
      <c r="F25" s="2229"/>
      <c r="G25" s="2229"/>
      <c r="H25" s="2229"/>
      <c r="I25" s="2229"/>
      <c r="J25" s="2711"/>
    </row>
    <row r="26" ht="13.5" customHeight="1" spans="1:10">
      <c r="A26" s="2614" t="s">
        <v>639</v>
      </c>
      <c r="B26" s="2615" t="s">
        <v>640</v>
      </c>
      <c r="C26" s="2615" t="s">
        <v>641</v>
      </c>
      <c r="D26" s="2616" t="s">
        <v>642</v>
      </c>
      <c r="E26" s="2229"/>
      <c r="F26" s="2229"/>
      <c r="G26" s="2229"/>
      <c r="H26" s="2229"/>
      <c r="I26" s="2229"/>
      <c r="J26" s="2711"/>
    </row>
    <row r="27" ht="14.25" spans="1:10">
      <c r="A27" s="2617" t="s">
        <v>825</v>
      </c>
      <c r="B27" s="2615">
        <v>0</v>
      </c>
      <c r="C27" s="2615">
        <v>0</v>
      </c>
      <c r="D27" s="2616">
        <f>ROUND(C27*B27/10000,0)</f>
        <v>0</v>
      </c>
      <c r="E27" s="2229"/>
      <c r="F27" s="2229"/>
      <c r="G27" s="2229"/>
      <c r="H27" s="2229"/>
      <c r="I27" s="2229"/>
      <c r="J27" s="2711"/>
    </row>
    <row r="28" ht="14.25" spans="1:10">
      <c r="A28" s="2614"/>
      <c r="B28" s="2615"/>
      <c r="C28" s="2615"/>
      <c r="D28" s="2616">
        <f>ROUND(C28*B28/10000,0)</f>
        <v>0</v>
      </c>
      <c r="E28" s="2229"/>
      <c r="F28" s="2229"/>
      <c r="G28" s="2229"/>
      <c r="H28" s="2229"/>
      <c r="I28" s="2229"/>
      <c r="J28" s="2711"/>
    </row>
    <row r="29" ht="14.25" spans="1:10">
      <c r="A29" s="2614"/>
      <c r="B29" s="2615"/>
      <c r="C29" s="2615"/>
      <c r="D29" s="2616">
        <f t="shared" ref="D29" si="0">ROUND(C29*B29/10000,0)</f>
        <v>0</v>
      </c>
      <c r="E29" s="2229"/>
      <c r="F29" s="2229"/>
      <c r="G29" s="2229"/>
      <c r="H29" s="2229"/>
      <c r="I29" s="2229"/>
      <c r="J29" s="2711"/>
    </row>
    <row r="30" ht="15" spans="1:10">
      <c r="A30" s="2618" t="s">
        <v>643</v>
      </c>
      <c r="B30" s="2619"/>
      <c r="C30" s="2619"/>
      <c r="D30" s="2619"/>
      <c r="E30" s="2620" t="s">
        <v>644</v>
      </c>
      <c r="F30" s="2586"/>
      <c r="G30" s="2586"/>
      <c r="H30" s="2586"/>
      <c r="I30" s="2586"/>
      <c r="J30" s="2711"/>
    </row>
    <row r="31" s="2568" customFormat="1" ht="27.6" customHeight="1" spans="1:36">
      <c r="A31" s="2621"/>
      <c r="B31" s="2622"/>
      <c r="C31" s="2622"/>
      <c r="D31" s="2622"/>
      <c r="E31" s="2622"/>
      <c r="F31" s="2622"/>
      <c r="G31" s="2622"/>
      <c r="H31" s="2622"/>
      <c r="I31" s="2712" t="s">
        <v>645</v>
      </c>
      <c r="J31" s="2713"/>
      <c r="K31" s="2714"/>
      <c r="L31" s="2714"/>
      <c r="M31" s="2714"/>
      <c r="N31" s="2714"/>
      <c r="O31" s="2714"/>
      <c r="P31" s="2714"/>
      <c r="Q31" s="2714"/>
      <c r="R31" s="2714"/>
      <c r="S31" s="2714"/>
      <c r="T31" s="2714"/>
      <c r="U31" s="2714"/>
      <c r="V31" s="2714"/>
      <c r="W31" s="2714"/>
      <c r="X31" s="2714"/>
      <c r="Y31" s="2714"/>
      <c r="Z31" s="2714"/>
      <c r="AA31" s="2714"/>
      <c r="AB31" s="2759"/>
      <c r="AC31" s="2759"/>
      <c r="AD31" s="2759"/>
      <c r="AE31" s="2759"/>
      <c r="AF31" s="2759"/>
      <c r="AG31" s="2759"/>
      <c r="AH31" s="2759"/>
      <c r="AI31" s="2759"/>
      <c r="AJ31" s="2759"/>
    </row>
    <row r="32" s="2569" customFormat="1" ht="16.5" spans="1:36">
      <c r="A32" s="2623" t="s">
        <v>826</v>
      </c>
      <c r="B32" s="2623"/>
      <c r="C32" s="2623"/>
      <c r="D32" s="2623"/>
      <c r="E32" s="2623"/>
      <c r="F32" s="2623"/>
      <c r="G32" s="2623"/>
      <c r="H32" s="2623"/>
      <c r="I32" s="2623"/>
      <c r="J32" s="2715"/>
      <c r="K32" s="1712"/>
      <c r="L32" s="1712"/>
      <c r="M32" s="1712"/>
      <c r="N32" s="1712"/>
      <c r="O32" s="1712"/>
      <c r="P32" s="1712"/>
      <c r="Q32" s="1712"/>
      <c r="R32" s="1712"/>
      <c r="S32" s="1712"/>
      <c r="T32" s="1712"/>
      <c r="U32" s="1712"/>
      <c r="V32" s="1712"/>
      <c r="W32" s="1712"/>
      <c r="X32" s="1712"/>
      <c r="Y32" s="1712"/>
      <c r="Z32" s="1712"/>
      <c r="AA32" s="1712"/>
      <c r="AB32" s="2571"/>
      <c r="AC32" s="2571"/>
      <c r="AD32" s="2571"/>
      <c r="AE32" s="2571"/>
      <c r="AF32" s="2571"/>
      <c r="AG32" s="2571"/>
      <c r="AH32" s="2571"/>
      <c r="AI32" s="2571"/>
      <c r="AJ32" s="2571"/>
    </row>
    <row r="33" ht="15" spans="1:10">
      <c r="A33" s="2624"/>
      <c r="B33" s="2625" t="s">
        <v>827</v>
      </c>
      <c r="C33" s="2626">
        <f ca="1">典型户型修正!R27</f>
        <v>77358</v>
      </c>
      <c r="D33" s="2586" t="s">
        <v>636</v>
      </c>
      <c r="E33" s="2229"/>
      <c r="F33" s="2229"/>
      <c r="G33" s="2229"/>
      <c r="H33" s="2229"/>
      <c r="I33" s="2229"/>
      <c r="J33" s="2711"/>
    </row>
    <row r="34" ht="14.25" spans="1:10">
      <c r="A34" s="2627" t="s">
        <v>828</v>
      </c>
      <c r="B34" s="2628" t="s">
        <v>829</v>
      </c>
      <c r="C34" s="2629">
        <f ca="1">典型户型修正!B2</f>
        <v>38130532</v>
      </c>
      <c r="D34" s="2630" t="str">
        <f>IF('数据-取费表'!B3="万元","万元","元")</f>
        <v>元</v>
      </c>
      <c r="E34" s="2229"/>
      <c r="F34" s="2229"/>
      <c r="G34" s="2229"/>
      <c r="H34" s="2229"/>
      <c r="I34" s="2229"/>
      <c r="J34" s="2711"/>
    </row>
    <row r="35" ht="15.75" spans="1:10">
      <c r="A35" s="2631"/>
      <c r="B35" s="2632" t="s">
        <v>830</v>
      </c>
      <c r="C35" s="2602">
        <f ca="1">典型户型修正!B3</f>
        <v>773580004</v>
      </c>
      <c r="D35" s="2586" t="s">
        <v>636</v>
      </c>
      <c r="E35" s="2229"/>
      <c r="F35" s="2229"/>
      <c r="G35" s="2229"/>
      <c r="H35" s="2229"/>
      <c r="I35" s="2229"/>
      <c r="J35" s="2711"/>
    </row>
    <row r="36" ht="15" spans="1:10">
      <c r="A36" s="2633"/>
      <c r="B36" s="2634" t="s">
        <v>649</v>
      </c>
      <c r="C36" s="2635">
        <f>IF('数据-取费表'!B3="万元",典型户型修正!V25,典型户型修正!U25)</f>
        <v>0</v>
      </c>
      <c r="D36" s="2586" t="str">
        <f>D34</f>
        <v>元</v>
      </c>
      <c r="E36" s="2229"/>
      <c r="F36" s="2229"/>
      <c r="G36" s="2229"/>
      <c r="H36" s="2229"/>
      <c r="I36" s="2229"/>
      <c r="J36" s="2711"/>
    </row>
    <row r="37" ht="15.75" spans="1:10">
      <c r="A37" s="2636"/>
      <c r="B37" s="2637" t="s">
        <v>651</v>
      </c>
      <c r="C37" s="2638">
        <f>IF('数据-取费表'!B3="万元",典型户型修正!Y25,典型户型修正!X25)</f>
        <v>0</v>
      </c>
      <c r="D37" s="2586" t="str">
        <f>D34</f>
        <v>元</v>
      </c>
      <c r="E37" s="2229"/>
      <c r="F37" s="2229"/>
      <c r="G37" s="2229"/>
      <c r="H37" s="2229"/>
      <c r="I37" s="2229"/>
      <c r="J37" s="2711"/>
    </row>
    <row r="38" ht="15.75" spans="1:10">
      <c r="A38" s="1122" t="s">
        <v>653</v>
      </c>
      <c r="B38" s="2634" t="s">
        <v>654</v>
      </c>
      <c r="C38" s="2639"/>
      <c r="D38" s="2640"/>
      <c r="E38" s="2641"/>
      <c r="F38" s="2641"/>
      <c r="G38" s="2229"/>
      <c r="H38" s="2229"/>
      <c r="I38" s="2229"/>
      <c r="J38" s="2711"/>
    </row>
    <row r="39" ht="15.75" spans="1:10">
      <c r="A39" s="1134"/>
      <c r="B39" s="1293" t="s">
        <v>655</v>
      </c>
      <c r="C39" s="2642"/>
      <c r="D39" s="2643"/>
      <c r="E39" s="2643"/>
      <c r="F39" s="2641"/>
      <c r="G39" s="2643"/>
      <c r="H39" s="2643"/>
      <c r="I39" s="2643"/>
      <c r="J39" s="2716"/>
    </row>
    <row r="40" ht="15.75" spans="1:10">
      <c r="A40" s="2644"/>
      <c r="B40" s="2637" t="s">
        <v>656</v>
      </c>
      <c r="C40" s="2645"/>
      <c r="D40" s="2646" t="s">
        <v>657</v>
      </c>
      <c r="E40" s="2643"/>
      <c r="F40" s="2641"/>
      <c r="G40" s="2643"/>
      <c r="H40" s="2643"/>
      <c r="I40" s="2643"/>
      <c r="J40" s="2716"/>
    </row>
    <row r="41" ht="14.25" spans="1:10">
      <c r="A41" s="2598" t="s">
        <v>658</v>
      </c>
      <c r="B41" s="2647" t="s">
        <v>640</v>
      </c>
      <c r="C41" s="2648" t="s">
        <v>641</v>
      </c>
      <c r="D41" s="2648" t="s">
        <v>659</v>
      </c>
      <c r="E41" s="2649" t="s">
        <v>642</v>
      </c>
      <c r="F41" s="2641"/>
      <c r="G41" s="2643"/>
      <c r="H41" s="2643"/>
      <c r="I41" s="2643"/>
      <c r="J41" s="2716"/>
    </row>
    <row r="42" ht="14.25" spans="1:10">
      <c r="A42" s="2650" t="s">
        <v>660</v>
      </c>
      <c r="B42" s="2651"/>
      <c r="C42" s="2652"/>
      <c r="D42" s="2652"/>
      <c r="E42" s="2653"/>
      <c r="F42" s="2641"/>
      <c r="G42" s="2643"/>
      <c r="H42" s="2643"/>
      <c r="I42" s="2643"/>
      <c r="J42" s="2716"/>
    </row>
    <row r="43" ht="14.25" spans="1:10">
      <c r="A43" s="2650" t="s">
        <v>661</v>
      </c>
      <c r="B43" s="2651"/>
      <c r="C43" s="2652"/>
      <c r="D43" s="2652"/>
      <c r="E43" s="2653"/>
      <c r="F43" s="2641"/>
      <c r="G43" s="2643"/>
      <c r="H43" s="2643"/>
      <c r="I43" s="2643"/>
      <c r="J43" s="2716"/>
    </row>
    <row r="44" ht="15" spans="1:10">
      <c r="A44" s="2654"/>
      <c r="B44" s="2655"/>
      <c r="C44" s="2656"/>
      <c r="D44" s="2656"/>
      <c r="E44" s="2657"/>
      <c r="F44" s="2641"/>
      <c r="G44" s="2643"/>
      <c r="H44" s="2643"/>
      <c r="I44" s="2643"/>
      <c r="J44" s="2716"/>
    </row>
    <row r="45" ht="13.5" spans="1:10">
      <c r="A45" s="2658"/>
      <c r="B45" s="2658"/>
      <c r="C45" s="2658"/>
      <c r="D45" s="2658"/>
      <c r="E45" s="2658"/>
      <c r="F45" s="2659"/>
      <c r="G45" s="2659"/>
      <c r="H45" s="2659"/>
      <c r="I45" s="2717"/>
      <c r="J45" s="2718"/>
    </row>
    <row r="46" ht="18.75" spans="1:16">
      <c r="A46" s="2660" t="s">
        <v>662</v>
      </c>
      <c r="B46" s="2661"/>
      <c r="C46" s="2661"/>
      <c r="D46" s="2662"/>
      <c r="E46" s="2662"/>
      <c r="F46" s="2662"/>
      <c r="G46" s="2662"/>
      <c r="H46" s="2662"/>
      <c r="I46" s="2719" t="s">
        <v>663</v>
      </c>
      <c r="J46" s="2720"/>
      <c r="K46" s="2721" t="s">
        <v>664</v>
      </c>
      <c r="L46" s="2722"/>
      <c r="M46" s="2722"/>
      <c r="N46" s="2722"/>
      <c r="O46" s="2722"/>
      <c r="P46" s="2722"/>
    </row>
    <row r="47" ht="14.25" customHeight="1" spans="1:16">
      <c r="A47" s="2663" t="s">
        <v>665</v>
      </c>
      <c r="B47" s="2664"/>
      <c r="C47" s="2665"/>
      <c r="D47" s="2089">
        <f ca="1">ROUND(I104*F47,0)</f>
        <v>38130532</v>
      </c>
      <c r="E47" s="2178" t="s">
        <v>666</v>
      </c>
      <c r="F47" s="2666">
        <v>1</v>
      </c>
      <c r="G47" s="2667" t="s">
        <v>667</v>
      </c>
      <c r="H47" s="2229"/>
      <c r="I47" s="2229"/>
      <c r="J47" s="2711"/>
      <c r="K47" s="2723" t="s">
        <v>831</v>
      </c>
      <c r="L47" s="2723"/>
      <c r="M47" s="2723"/>
      <c r="N47" s="2723"/>
      <c r="O47" s="2723"/>
      <c r="P47" s="2723"/>
    </row>
    <row r="48" ht="14.25" customHeight="1" spans="1:16">
      <c r="A48" s="2668" t="s">
        <v>669</v>
      </c>
      <c r="B48" s="2669"/>
      <c r="C48" s="2669"/>
      <c r="D48" s="2669"/>
      <c r="E48" s="2669"/>
      <c r="F48" s="2669"/>
      <c r="G48" s="2670"/>
      <c r="H48" s="2671"/>
      <c r="I48" s="2229"/>
      <c r="J48" s="2711"/>
      <c r="K48" s="2724">
        <v>1</v>
      </c>
      <c r="L48" s="2725" t="s">
        <v>832</v>
      </c>
      <c r="M48" s="2725"/>
      <c r="N48" s="2726"/>
      <c r="O48" s="2726"/>
      <c r="P48" s="2726"/>
    </row>
    <row r="49" ht="12" customHeight="1" spans="1:16">
      <c r="A49" s="2672" t="s">
        <v>670</v>
      </c>
      <c r="B49" s="2673"/>
      <c r="C49" s="2674"/>
      <c r="D49" s="2127" t="s">
        <v>671</v>
      </c>
      <c r="E49" s="2077" t="s">
        <v>672</v>
      </c>
      <c r="F49" s="2295" t="s">
        <v>673</v>
      </c>
      <c r="G49" s="2675" t="s">
        <v>674</v>
      </c>
      <c r="H49" s="2671"/>
      <c r="I49" s="2229"/>
      <c r="J49" s="2711"/>
      <c r="K49" s="2724">
        <v>2</v>
      </c>
      <c r="L49" s="2725" t="s">
        <v>833</v>
      </c>
      <c r="M49" s="2725"/>
      <c r="N49" s="2727">
        <f>'数据-取费表'!B2</f>
        <v>44567</v>
      </c>
      <c r="O49" s="2727"/>
      <c r="P49" s="2727"/>
    </row>
    <row r="50" ht="24.75" spans="1:16">
      <c r="A50" s="2676" t="s">
        <v>676</v>
      </c>
      <c r="B50" s="2132"/>
      <c r="C50" s="2132"/>
      <c r="D50" s="2191">
        <f ca="1">IF(H50="情况1",0,IF(H50="情况2",D54,IF(H50="情况3",D55,IF(H50="情况4",D56))))</f>
        <v>2033628</v>
      </c>
      <c r="E50" s="2132" t="str">
        <f>IF(H50="情况4","(销售额-原购置价)×税（费）率","销售额×税（费）率")</f>
        <v>销售额×税（费）率</v>
      </c>
      <c r="F50" s="2677">
        <f>IF(H50="情况1","免征",'数据-取费表'!E29)</f>
        <v>0.056</v>
      </c>
      <c r="G50" s="2678" t="s">
        <v>677</v>
      </c>
      <c r="H50" s="2679" t="s">
        <v>678</v>
      </c>
      <c r="I50" s="2671"/>
      <c r="J50" s="2728"/>
      <c r="K50" s="2724">
        <v>3</v>
      </c>
      <c r="L50" s="2725" t="s">
        <v>834</v>
      </c>
      <c r="M50" s="2725"/>
      <c r="N50" s="2729">
        <f ca="1">I104</f>
        <v>38130532</v>
      </c>
      <c r="O50" s="2729"/>
      <c r="P50" s="2729"/>
    </row>
    <row r="51" ht="25.5" customHeight="1" spans="1:16">
      <c r="A51" s="2676" t="s">
        <v>680</v>
      </c>
      <c r="B51" s="2111" t="s">
        <v>681</v>
      </c>
      <c r="C51" s="2111"/>
      <c r="D51" s="2680">
        <v>0</v>
      </c>
      <c r="E51" s="2138" t="s">
        <v>682</v>
      </c>
      <c r="F51" s="2681" t="s">
        <v>121</v>
      </c>
      <c r="G51" s="2682"/>
      <c r="H51" s="2683" t="s">
        <v>835</v>
      </c>
      <c r="I51" s="2730"/>
      <c r="J51" s="2731"/>
      <c r="K51" s="2724">
        <v>4</v>
      </c>
      <c r="L51" s="2725" t="str">
        <f>IF(项目基本情况!F5="房地产抵押价值","房地产抵押价值","抵押担保权已注销时的房地产抵押价值")</f>
        <v>抵押担保权已注销时的房地产抵押价值</v>
      </c>
      <c r="M51" s="2725"/>
      <c r="N51" s="2729" t="str">
        <f ca="1">IF(项目基本情况!F5="房地产抵押价值",I112,I114)</f>
        <v>——</v>
      </c>
      <c r="O51" s="2729"/>
      <c r="P51" s="2729"/>
    </row>
    <row r="52" ht="25.5" customHeight="1" spans="1:16">
      <c r="A52" s="2684"/>
      <c r="B52" s="2111" t="s">
        <v>684</v>
      </c>
      <c r="C52" s="2111"/>
      <c r="D52" s="2685"/>
      <c r="E52" s="2148"/>
      <c r="F52" s="2681"/>
      <c r="G52" s="2686"/>
      <c r="H52" s="2687" t="s">
        <v>685</v>
      </c>
      <c r="I52" s="2730"/>
      <c r="J52" s="2731"/>
      <c r="K52" s="2725" t="s">
        <v>836</v>
      </c>
      <c r="L52" s="2725"/>
      <c r="M52" s="2725"/>
      <c r="N52" s="2725"/>
      <c r="O52" s="2725"/>
      <c r="P52" s="2725"/>
    </row>
    <row r="53" ht="20.45" customHeight="1" spans="1:16">
      <c r="A53" s="2688"/>
      <c r="B53" s="2111" t="s">
        <v>687</v>
      </c>
      <c r="C53" s="2111"/>
      <c r="D53" s="2127"/>
      <c r="E53" s="447"/>
      <c r="F53" s="2681"/>
      <c r="G53" s="2689"/>
      <c r="H53" s="2687" t="s">
        <v>688</v>
      </c>
      <c r="I53" s="2730"/>
      <c r="J53" s="2731"/>
      <c r="K53" s="2725" t="s">
        <v>837</v>
      </c>
      <c r="L53" s="2725" t="s">
        <v>838</v>
      </c>
      <c r="M53" s="2725"/>
      <c r="N53" s="2725" t="s">
        <v>839</v>
      </c>
      <c r="O53" s="2725" t="s">
        <v>840</v>
      </c>
      <c r="P53" s="2725" t="s">
        <v>841</v>
      </c>
    </row>
    <row r="54" ht="24" customHeight="1" spans="1:16">
      <c r="A54" s="2690" t="s">
        <v>694</v>
      </c>
      <c r="B54" s="2111" t="s">
        <v>695</v>
      </c>
      <c r="C54" s="2111"/>
      <c r="D54" s="2127">
        <f ca="1">ROUND(D47*'数据-取费表'!E29/(1+'数据-取费表'!F30),0)</f>
        <v>2033628</v>
      </c>
      <c r="E54" s="2132" t="s">
        <v>696</v>
      </c>
      <c r="F54" s="2691">
        <f>'数据-取费表'!E29</f>
        <v>0.056</v>
      </c>
      <c r="G54" s="2692"/>
      <c r="H54" s="2229"/>
      <c r="I54" s="2732"/>
      <c r="J54" s="2731"/>
      <c r="K54" s="2724">
        <v>1</v>
      </c>
      <c r="L54" s="2724" t="s">
        <v>842</v>
      </c>
      <c r="M54" s="2724"/>
      <c r="N54" s="2733">
        <f ca="1">D50</f>
        <v>2033628</v>
      </c>
      <c r="O54" s="2724" t="str">
        <f>E50</f>
        <v>销售额×税（费）率</v>
      </c>
      <c r="P54" s="2734">
        <f>F50</f>
        <v>0.056</v>
      </c>
    </row>
    <row r="55" ht="12" customHeight="1" spans="1:16">
      <c r="A55" s="2690" t="s">
        <v>698</v>
      </c>
      <c r="B55" s="2110" t="s">
        <v>699</v>
      </c>
      <c r="C55" s="2693"/>
      <c r="D55" s="2127">
        <f ca="1">ROUND(D47*'数据-取费表'!E29/(1+'数据-取费表'!F30),0)</f>
        <v>2033628</v>
      </c>
      <c r="E55" s="2132" t="s">
        <v>696</v>
      </c>
      <c r="F55" s="2691">
        <f>'数据-取费表'!E29</f>
        <v>0.056</v>
      </c>
      <c r="G55" s="2692"/>
      <c r="H55" s="2229"/>
      <c r="I55" s="2732"/>
      <c r="J55" s="2731"/>
      <c r="K55" s="2724">
        <v>2</v>
      </c>
      <c r="L55" s="2724" t="s">
        <v>843</v>
      </c>
      <c r="M55" s="2724"/>
      <c r="N55" s="2733">
        <f ca="1" t="shared" ref="N55:P56" si="1">D57</f>
        <v>19065</v>
      </c>
      <c r="O55" s="2724" t="str">
        <f t="shared" si="1"/>
        <v>销售额×税（费）率</v>
      </c>
      <c r="P55" s="2734">
        <f t="shared" si="1"/>
        <v>0.0005</v>
      </c>
    </row>
    <row r="56" ht="12" customHeight="1" spans="1:16">
      <c r="A56" s="2690" t="s">
        <v>701</v>
      </c>
      <c r="B56" s="2110" t="s">
        <v>702</v>
      </c>
      <c r="C56" s="2693"/>
      <c r="D56" s="2127">
        <f ca="1">C70</f>
        <v>2033628</v>
      </c>
      <c r="E56" s="447" t="s">
        <v>703</v>
      </c>
      <c r="F56" s="2691">
        <f>'数据-取费表'!E29</f>
        <v>0.056</v>
      </c>
      <c r="G56" s="2692"/>
      <c r="H56" s="2694"/>
      <c r="I56" s="2732"/>
      <c r="J56" s="2731"/>
      <c r="K56" s="2724">
        <v>3</v>
      </c>
      <c r="L56" s="2724" t="s">
        <v>844</v>
      </c>
      <c r="M56" s="2724"/>
      <c r="N56" s="2733">
        <f ca="1" t="shared" si="1"/>
        <v>21581881</v>
      </c>
      <c r="O56" s="2724" t="str">
        <f t="shared" si="1"/>
        <v>增值额×税（费）率</v>
      </c>
      <c r="P56" s="2735" t="str">
        <f t="shared" si="1"/>
        <v>——</v>
      </c>
    </row>
    <row r="57" ht="24" customHeight="1" spans="1:16">
      <c r="A57" s="2690" t="s">
        <v>705</v>
      </c>
      <c r="B57" s="2132"/>
      <c r="C57" s="2132"/>
      <c r="D57" s="2191">
        <f ca="1">IF(H57="个人住宅",0,ROUND(D47*I57,0))</f>
        <v>19065</v>
      </c>
      <c r="E57" s="2132" t="s">
        <v>706</v>
      </c>
      <c r="F57" s="2691">
        <f>IF(H57="正常",I57,"免征")</f>
        <v>0.0005</v>
      </c>
      <c r="G57" s="2692"/>
      <c r="H57" s="2679" t="s">
        <v>845</v>
      </c>
      <c r="I57" s="2736">
        <f>'数据-取费表'!E37</f>
        <v>0.0005</v>
      </c>
      <c r="J57" s="2731"/>
      <c r="K57" s="2724">
        <f>IF(H61="非个人房产","",4)</f>
        <v>4</v>
      </c>
      <c r="L57" s="2724" t="str">
        <f>IF(H61="非个人房产","——","个人所得税")</f>
        <v>个人所得税</v>
      </c>
      <c r="M57" s="2724"/>
      <c r="N57" s="2737">
        <f ca="1">D61</f>
        <v>381305</v>
      </c>
      <c r="O57" s="2738" t="str">
        <f>E61</f>
        <v>销售额×税（费）率</v>
      </c>
      <c r="P57" s="2739">
        <f>F61</f>
        <v>0.01</v>
      </c>
    </row>
    <row r="58" ht="24.75" spans="1:16">
      <c r="A58" s="2690" t="s">
        <v>708</v>
      </c>
      <c r="B58" s="2132"/>
      <c r="C58" s="2132"/>
      <c r="D58" s="2191">
        <f ca="1">IF(H58="个人住宅",D59,D60)</f>
        <v>21581881</v>
      </c>
      <c r="E58" s="2132" t="s">
        <v>709</v>
      </c>
      <c r="F58" s="2691" t="str">
        <f>IF(H58="正常",F60,"免征")</f>
        <v>——</v>
      </c>
      <c r="G58" s="2695" t="s">
        <v>710</v>
      </c>
      <c r="H58" s="2696" t="s">
        <v>845</v>
      </c>
      <c r="I58" s="2697"/>
      <c r="J58" s="2731"/>
      <c r="K58" s="2724" t="str">
        <f>IF(项目基本情况!I6="上海银行",IF(K57="",4,K57+1),"")</f>
        <v/>
      </c>
      <c r="L58" s="2740" t="str">
        <f>IF(项目基本情况!I6="上海银行","其他处置费用","")</f>
        <v/>
      </c>
      <c r="M58" s="2741"/>
      <c r="N58" s="2733" t="str">
        <f ca="1">IF(项目基本情况!I6="上海银行",N71,"")</f>
        <v/>
      </c>
      <c r="O58" s="2740" t="str">
        <f>IF(项目基本情况!I6="上海银行","包含处置中涉及的律师、诉讼、拍卖、评估等费用","")</f>
        <v/>
      </c>
      <c r="P58" s="2742"/>
    </row>
    <row r="59" ht="13.5" spans="1:17">
      <c r="A59" s="2690" t="s">
        <v>680</v>
      </c>
      <c r="B59" s="2110" t="s">
        <v>711</v>
      </c>
      <c r="C59" s="2693"/>
      <c r="D59" s="2680">
        <v>0</v>
      </c>
      <c r="E59" s="2138" t="s">
        <v>682</v>
      </c>
      <c r="F59" s="2077"/>
      <c r="G59" s="2692"/>
      <c r="H59" s="2697"/>
      <c r="I59" s="2697"/>
      <c r="J59" s="2731"/>
      <c r="K59" s="2724">
        <f>IF(AND(K57="",K58=""),4,IF(项目基本情况!I6="上海银行",K58+1,K57+1))</f>
        <v>5</v>
      </c>
      <c r="L59" s="2724" t="s">
        <v>846</v>
      </c>
      <c r="M59" s="2743" t="s">
        <v>847</v>
      </c>
      <c r="N59" s="2744"/>
      <c r="O59" s="2745">
        <f ca="1">SUMIF(N54:N58,"&lt;9e307")</f>
        <v>24015879</v>
      </c>
      <c r="P59" s="2746"/>
      <c r="Q59" s="2758" t="e">
        <f ca="1">O59/N51</f>
        <v>#VALUE!</v>
      </c>
    </row>
    <row r="60" ht="24.75" spans="1:16">
      <c r="A60" s="2690" t="s">
        <v>694</v>
      </c>
      <c r="B60" s="2110" t="s">
        <v>713</v>
      </c>
      <c r="C60" s="2111"/>
      <c r="D60" s="2191">
        <f ca="1">IF(H60="转让取得",C83,C99)</f>
        <v>21581881</v>
      </c>
      <c r="E60" s="2132" t="s">
        <v>709</v>
      </c>
      <c r="F60" s="2077" t="s">
        <v>121</v>
      </c>
      <c r="G60" s="2692"/>
      <c r="H60" s="2696" t="s">
        <v>714</v>
      </c>
      <c r="I60" s="2697"/>
      <c r="J60" s="2731"/>
      <c r="K60" s="2724"/>
      <c r="L60" s="2724"/>
      <c r="M60" s="2743" t="s">
        <v>848</v>
      </c>
      <c r="N60" s="2747"/>
      <c r="O60" s="2748" t="str">
        <f ca="1">IF(H19="元",NUMBERSTRING(INT(O59),2)&amp;"元整",NUMBERSTRING(INT(O59*10000),2)&amp;"元整")</f>
        <v>贰仟肆佰零壹万伍仟捌佰柒拾玖元整</v>
      </c>
      <c r="P60" s="2749"/>
    </row>
    <row r="61" ht="25.5" spans="1:16">
      <c r="A61" s="2698" t="s">
        <v>716</v>
      </c>
      <c r="B61" s="2699"/>
      <c r="C61" s="2699"/>
      <c r="D61" s="2700">
        <f ca="1">IF(H61="非个人房产","——",IF(H61="个人住宅（满五唯一有凭证）",0,IF(H61="个人其他（无凭证）",ROUND(D47*F61,0),ROUND(C69*F61,0))))</f>
        <v>381305</v>
      </c>
      <c r="E61" s="2699" t="str">
        <f>IF(H61="非个人房产","——",IF(H61="个人其他（无凭证）","销售额×税（费）率",IF(H61="个人住宅（满五唯一有凭证）","免征","差额计税")))</f>
        <v>销售额×税（费）率</v>
      </c>
      <c r="F61" s="2701">
        <f>IF(OR(H61="非个人房产",H61="个人住宅（满五唯一有凭证）"),"——",IF(H61="个人其他（有凭证）",20%,1%))</f>
        <v>0.01</v>
      </c>
      <c r="G61" s="2702" t="s">
        <v>717</v>
      </c>
      <c r="H61" s="2703" t="s">
        <v>849</v>
      </c>
      <c r="I61" s="2750" t="s">
        <v>719</v>
      </c>
      <c r="J61" s="2731"/>
      <c r="K61" s="2738">
        <f>K59+1</f>
        <v>6</v>
      </c>
      <c r="L61" s="2724" t="s">
        <v>850</v>
      </c>
      <c r="M61" s="2724" t="s">
        <v>847</v>
      </c>
      <c r="N61" s="2751"/>
      <c r="O61" s="2752" t="e">
        <f ca="1">N51-O59</f>
        <v>#VALUE!</v>
      </c>
      <c r="P61" s="2753"/>
    </row>
    <row r="62" ht="12" customHeight="1" spans="1:16">
      <c r="A62" s="2704"/>
      <c r="B62" s="2586"/>
      <c r="C62" s="2586"/>
      <c r="D62" s="2586"/>
      <c r="E62" s="2704"/>
      <c r="F62" s="2697"/>
      <c r="G62" s="2697"/>
      <c r="H62" s="2705"/>
      <c r="I62" s="2229"/>
      <c r="J62" s="2731"/>
      <c r="K62" s="2754"/>
      <c r="L62" s="2724"/>
      <c r="M62" s="2743" t="s">
        <v>848</v>
      </c>
      <c r="N62" s="2747"/>
      <c r="O62" s="2748" t="e">
        <f ca="1">IF(H19="元",NUMBERSTRING(INT(O61),2)&amp;"元整",NUMBERSTRING(INT(O61*10000),2)&amp;"元整")</f>
        <v>#VALUE!</v>
      </c>
      <c r="P62" s="2749"/>
    </row>
    <row r="63" ht="14.25" spans="1:16">
      <c r="A63" s="2706" t="s">
        <v>720</v>
      </c>
      <c r="B63" s="2706"/>
      <c r="C63" s="2706"/>
      <c r="D63" s="2706"/>
      <c r="E63" s="2706"/>
      <c r="F63" s="2697"/>
      <c r="G63" s="2697"/>
      <c r="H63" s="2705"/>
      <c r="I63" s="2229"/>
      <c r="J63" s="2711"/>
      <c r="K63" s="2724">
        <f>K61+1</f>
        <v>7</v>
      </c>
      <c r="L63" s="2724" t="s">
        <v>851</v>
      </c>
      <c r="M63" s="2724"/>
      <c r="N63" s="2755"/>
      <c r="O63" s="2756" t="e">
        <f ca="1">IF(H19="元",ROUND(O61/项目基本情况!C12,0),ROUND(O61*10000/项目基本情况!C12,0))</f>
        <v>#VALUE!</v>
      </c>
      <c r="P63" s="2757"/>
    </row>
    <row r="64" ht="13.5" spans="1:15">
      <c r="A64" s="459" t="s">
        <v>722</v>
      </c>
      <c r="B64" s="425"/>
      <c r="C64" s="425"/>
      <c r="D64" s="425" t="s">
        <v>723</v>
      </c>
      <c r="E64" s="2707" t="s">
        <v>674</v>
      </c>
      <c r="F64" s="2697"/>
      <c r="G64" s="2697"/>
      <c r="H64" s="2705"/>
      <c r="I64" s="2229"/>
      <c r="J64" s="2711"/>
      <c r="K64" s="2571"/>
      <c r="L64" s="2571"/>
      <c r="M64" s="2571"/>
      <c r="N64" s="2571"/>
      <c r="O64" s="2571"/>
    </row>
    <row r="65" ht="13.5" spans="1:15">
      <c r="A65" s="2760">
        <v>1</v>
      </c>
      <c r="B65" s="2761" t="s">
        <v>724</v>
      </c>
      <c r="C65" s="2762">
        <f ca="1">ROUND((C66+C67)/(1+'数据-取费表'!F30),0)</f>
        <v>36314792</v>
      </c>
      <c r="D65" s="2761"/>
      <c r="E65" s="2763"/>
      <c r="F65" s="2697"/>
      <c r="G65" s="2697"/>
      <c r="H65" s="2705"/>
      <c r="I65" s="2229"/>
      <c r="J65" s="2711"/>
      <c r="K65" s="2829" t="s">
        <v>852</v>
      </c>
      <c r="L65" s="2829" t="s">
        <v>853</v>
      </c>
      <c r="M65" s="2829" t="e">
        <f ca="1">IF(N51&gt;10000,N51*0.5%,IF(AND(N51&gt;1000,N51&lt;=10000),N51*1%,IF(AND(N51&gt;100,N51&lt;=1000),N51*3%,IF(AND(N51&gt;10,N51&lt;=100),N51*5%,N51*8%))))</f>
        <v>#VALUE!</v>
      </c>
      <c r="N65" s="2077" t="e">
        <f ca="1">ROUND(M65,1)</f>
        <v>#VALUE!</v>
      </c>
      <c r="O65" s="2875"/>
    </row>
    <row r="66" ht="13.5" spans="1:15">
      <c r="A66" s="2764" t="s">
        <v>727</v>
      </c>
      <c r="B66" s="410" t="s">
        <v>728</v>
      </c>
      <c r="C66" s="2765">
        <f ca="1">D47</f>
        <v>38130532</v>
      </c>
      <c r="D66" s="410" t="s">
        <v>121</v>
      </c>
      <c r="E66" s="2766"/>
      <c r="F66" s="2697"/>
      <c r="G66" s="2697"/>
      <c r="H66" s="2705"/>
      <c r="I66" s="2229"/>
      <c r="J66" s="2711"/>
      <c r="K66" s="2829"/>
      <c r="L66" s="2829" t="s">
        <v>854</v>
      </c>
      <c r="M66" s="2829" t="e">
        <f ca="1">IF(N51&gt;2000,N51*0.5%,IF(AND(N51&gt;1000,N51&lt;=2000),N51*0.6%,IF(AND(N51&gt;500,N51&lt;=1000),N51*0.7%,IF(AND(N51&gt;200,N51&lt;=500),N51*0.8%,IF(AND(N51&gt;100,N51&lt;=200),N51*0.9%,IF(AND(N51&gt;50,N51&lt;=100),N51*1%,IF(AND(N51&gt;20,N51&lt;=50),N51*1.5%,IF(AND(N51&gt;10,N51&lt;=20),N51*2%,IF(AND(N51&gt;1,N51&lt;=10),N51*2.5%)))))))))</f>
        <v>#VALUE!</v>
      </c>
      <c r="N66" s="2077" t="e">
        <f ca="1" t="shared" ref="N66:N67" si="2">ROUND(M66,1)</f>
        <v>#VALUE!</v>
      </c>
      <c r="O66" s="2875" t="s">
        <v>855</v>
      </c>
    </row>
    <row r="67" ht="13.5" spans="1:15">
      <c r="A67" s="2764" t="s">
        <v>731</v>
      </c>
      <c r="B67" s="410" t="s">
        <v>732</v>
      </c>
      <c r="C67" s="2767"/>
      <c r="D67" s="410"/>
      <c r="E67" s="2766"/>
      <c r="F67" s="2697"/>
      <c r="G67" s="2697"/>
      <c r="H67" s="2705"/>
      <c r="I67" s="2229"/>
      <c r="J67" s="2711"/>
      <c r="K67" s="2829"/>
      <c r="L67" s="2829" t="s">
        <v>856</v>
      </c>
      <c r="M67" s="2829" t="e">
        <f ca="1">IF(N51&gt;1000,N51*0.1%,IF(AND(N51&gt;500,N51&lt;=1000),N51*0.5%,IF(AND(N51&gt;50,N51&lt;=500),N51*1%,IF(AND(N51&gt;1,N51&lt;=50),N51*1.5%))))</f>
        <v>#VALUE!</v>
      </c>
      <c r="N67" s="2077" t="e">
        <f ca="1" t="shared" si="2"/>
        <v>#VALUE!</v>
      </c>
      <c r="O67" s="2875" t="s">
        <v>855</v>
      </c>
    </row>
    <row r="68" ht="13.5" spans="1:15">
      <c r="A68" s="2768" t="s">
        <v>734</v>
      </c>
      <c r="B68" s="516" t="s">
        <v>735</v>
      </c>
      <c r="C68" s="2769"/>
      <c r="D68" s="516" t="s">
        <v>121</v>
      </c>
      <c r="E68" s="2770" t="s">
        <v>736</v>
      </c>
      <c r="F68" s="2697"/>
      <c r="G68" s="2697"/>
      <c r="H68" s="2705"/>
      <c r="I68" s="2229"/>
      <c r="J68" s="2711"/>
      <c r="K68" s="2829"/>
      <c r="L68" s="2829" t="s">
        <v>857</v>
      </c>
      <c r="M68" s="2829" t="e">
        <f ca="1">N51*0.5%</f>
        <v>#VALUE!</v>
      </c>
      <c r="N68" s="2077" t="e">
        <f ca="1">IF(M68&gt;0.5,0.5,ROUND(M68,0))</f>
        <v>#VALUE!</v>
      </c>
      <c r="O68" s="2875" t="s">
        <v>858</v>
      </c>
    </row>
    <row r="69" ht="13.5" spans="1:15">
      <c r="A69" s="2768" t="s">
        <v>739</v>
      </c>
      <c r="B69" s="516" t="s">
        <v>740</v>
      </c>
      <c r="C69" s="2771">
        <f ca="1">C65-C68</f>
        <v>36314792</v>
      </c>
      <c r="D69" s="410" t="s">
        <v>121</v>
      </c>
      <c r="E69" s="2766"/>
      <c r="F69" s="2697"/>
      <c r="G69" s="2697"/>
      <c r="H69" s="2705"/>
      <c r="I69" s="2229"/>
      <c r="J69" s="2711"/>
      <c r="K69" s="2829"/>
      <c r="L69" s="2829" t="s">
        <v>859</v>
      </c>
      <c r="M69" s="2829" t="e">
        <f ca="1">IF(N51&gt;=10000,(8.25+(N51-10000)*0.01%),IF(AND(N51&gt;=8000,N51&lt;10000),(7.85+(N51-8000)*0.02%),IF(AND(N51&gt;=5000,N51&lt;8000),(6.65+(N51-5000)*0.04%),IF(AND(N51&gt;=2000,N51&lt;5000),(4.25+(PN51-2000)*0.08%),IF(AND(N51&gt;=1000,N51&lt;2000),(2.75+(N51-1000)*0.15%),IF(AND(N51&gt;=100,N51&lt;1000),(0.5+(N51-100)*0.25%),IF(AND(N51&gt;0,N51&lt;100),N51*0.5%)))))))</f>
        <v>#VALUE!</v>
      </c>
      <c r="N69" s="2077" t="e">
        <f ca="1">ROUND(M69*0.9,1)</f>
        <v>#VALUE!</v>
      </c>
      <c r="O69" s="2875"/>
    </row>
    <row r="70" ht="14.25" spans="1:15">
      <c r="A70" s="2772" t="s">
        <v>742</v>
      </c>
      <c r="B70" s="537" t="s">
        <v>743</v>
      </c>
      <c r="C70" s="2773">
        <f ca="1">IF(C69&lt;=0,0,ROUND(C69*D70,0))</f>
        <v>2033628</v>
      </c>
      <c r="D70" s="631">
        <f>'数据-取费表'!E29</f>
        <v>0.056</v>
      </c>
      <c r="E70" s="2774"/>
      <c r="F70" s="2697"/>
      <c r="G70" s="2697"/>
      <c r="H70" s="2705"/>
      <c r="I70" s="2229"/>
      <c r="J70" s="2711"/>
      <c r="K70" s="2829"/>
      <c r="L70" s="2829" t="s">
        <v>860</v>
      </c>
      <c r="M70" s="2829" t="e">
        <f ca="1">IF(N51&gt;10000,N51*0.5%,IF(AND(N51&gt;5000,N51&lt;=10000),N51*1%,IF(AND(N51&gt;1000,N51&lt;=5000),N51*2%,IF(AND(N51&gt;200,N51&lt;=1000),N51*3%,N51*5%))))</f>
        <v>#VALUE!</v>
      </c>
      <c r="N70" s="2077" t="e">
        <f ca="1">ROUND(M70,1)</f>
        <v>#VALUE!</v>
      </c>
      <c r="O70" s="2875"/>
    </row>
    <row r="71" s="2569" customFormat="1" ht="7.5" customHeight="1" spans="1:36">
      <c r="A71" s="2775"/>
      <c r="B71" s="507"/>
      <c r="C71" s="2776"/>
      <c r="D71" s="558"/>
      <c r="E71" s="2658"/>
      <c r="F71" s="2704"/>
      <c r="G71" s="2704"/>
      <c r="H71" s="2658"/>
      <c r="I71" s="2586"/>
      <c r="J71" s="2711"/>
      <c r="K71" s="2829"/>
      <c r="L71" s="2829" t="s">
        <v>861</v>
      </c>
      <c r="M71" s="2829"/>
      <c r="N71" s="2077" t="e">
        <f ca="1">ROUND(SUM(N65:N70),0)</f>
        <v>#VALUE!</v>
      </c>
      <c r="O71" s="2876" t="e">
        <f ca="1">N71/N51</f>
        <v>#VALUE!</v>
      </c>
      <c r="P71" s="1712"/>
      <c r="Q71" s="1712"/>
      <c r="R71" s="1712"/>
      <c r="S71" s="1712"/>
      <c r="T71" s="1712"/>
      <c r="U71" s="1712"/>
      <c r="V71" s="1712"/>
      <c r="W71" s="1712"/>
      <c r="X71" s="1712"/>
      <c r="Y71" s="1712"/>
      <c r="Z71" s="1712"/>
      <c r="AA71" s="1712"/>
      <c r="AB71" s="2571"/>
      <c r="AC71" s="2571"/>
      <c r="AD71" s="2571"/>
      <c r="AE71" s="2571"/>
      <c r="AF71" s="2571"/>
      <c r="AG71" s="2571"/>
      <c r="AH71" s="2571"/>
      <c r="AI71" s="2571"/>
      <c r="AJ71" s="2571"/>
    </row>
    <row r="72" s="2570" customFormat="1" ht="15" spans="1:36">
      <c r="A72" s="2777" t="s">
        <v>745</v>
      </c>
      <c r="B72" s="507"/>
      <c r="C72" s="507"/>
      <c r="D72" s="507"/>
      <c r="E72" s="507"/>
      <c r="F72" s="507"/>
      <c r="G72" s="507"/>
      <c r="H72" s="507"/>
      <c r="I72" s="2877"/>
      <c r="J72" s="2878"/>
      <c r="K72" s="367"/>
      <c r="L72" s="367"/>
      <c r="M72" s="367"/>
      <c r="N72" s="367"/>
      <c r="O72" s="367"/>
      <c r="P72" s="367"/>
      <c r="Q72" s="367"/>
      <c r="R72" s="367"/>
      <c r="S72" s="367"/>
      <c r="T72" s="367"/>
      <c r="U72" s="367"/>
      <c r="V72" s="367"/>
      <c r="W72" s="367"/>
      <c r="X72" s="367"/>
      <c r="Y72" s="367"/>
      <c r="Z72" s="367"/>
      <c r="AA72" s="367"/>
      <c r="AB72" s="2884"/>
      <c r="AC72" s="2884"/>
      <c r="AD72" s="2884"/>
      <c r="AE72" s="2884"/>
      <c r="AF72" s="2884"/>
      <c r="AG72" s="2884"/>
      <c r="AH72" s="2884"/>
      <c r="AI72" s="2884"/>
      <c r="AJ72" s="2884"/>
    </row>
    <row r="73" s="2570" customFormat="1" ht="14.25" spans="1:36">
      <c r="A73" s="459" t="s">
        <v>722</v>
      </c>
      <c r="B73" s="425"/>
      <c r="C73" s="425"/>
      <c r="D73" s="425" t="s">
        <v>723</v>
      </c>
      <c r="E73" s="2778" t="s">
        <v>674</v>
      </c>
      <c r="F73" s="2779"/>
      <c r="G73" s="2779"/>
      <c r="H73" s="2780"/>
      <c r="I73" s="2879"/>
      <c r="J73" s="2880"/>
      <c r="K73" s="367"/>
      <c r="L73" s="367"/>
      <c r="M73" s="367"/>
      <c r="N73" s="367"/>
      <c r="O73" s="367"/>
      <c r="P73" s="367"/>
      <c r="Q73" s="367"/>
      <c r="R73" s="367"/>
      <c r="S73" s="367"/>
      <c r="T73" s="367"/>
      <c r="U73" s="367"/>
      <c r="V73" s="367"/>
      <c r="W73" s="367"/>
      <c r="X73" s="367"/>
      <c r="Y73" s="367"/>
      <c r="Z73" s="367"/>
      <c r="AA73" s="367"/>
      <c r="AB73" s="2884"/>
      <c r="AC73" s="2884"/>
      <c r="AD73" s="2884"/>
      <c r="AE73" s="2884"/>
      <c r="AF73" s="2884"/>
      <c r="AG73" s="2884"/>
      <c r="AH73" s="2884"/>
      <c r="AI73" s="2884"/>
      <c r="AJ73" s="2884"/>
    </row>
    <row r="74" s="2570" customFormat="1" ht="14.25" spans="1:36">
      <c r="A74" s="2781">
        <v>1</v>
      </c>
      <c r="B74" s="516" t="s">
        <v>746</v>
      </c>
      <c r="C74" s="2771">
        <f ca="1">ROUND(D47/(1+'数据-取费表'!F30),0)</f>
        <v>36314792</v>
      </c>
      <c r="D74" s="410" t="s">
        <v>121</v>
      </c>
      <c r="E74" s="2110"/>
      <c r="F74" s="2111"/>
      <c r="G74" s="2111"/>
      <c r="H74" s="2782"/>
      <c r="I74" s="2879"/>
      <c r="J74" s="2880"/>
      <c r="K74" s="367"/>
      <c r="L74" s="367"/>
      <c r="M74" s="367"/>
      <c r="N74" s="367"/>
      <c r="O74" s="367"/>
      <c r="P74" s="367"/>
      <c r="Q74" s="367"/>
      <c r="R74" s="367"/>
      <c r="S74" s="367"/>
      <c r="T74" s="367"/>
      <c r="U74" s="367"/>
      <c r="V74" s="367"/>
      <c r="W74" s="367"/>
      <c r="X74" s="367"/>
      <c r="Y74" s="367"/>
      <c r="Z74" s="367"/>
      <c r="AA74" s="367"/>
      <c r="AB74" s="2884"/>
      <c r="AC74" s="2884"/>
      <c r="AD74" s="2884"/>
      <c r="AE74" s="2884"/>
      <c r="AF74" s="2884"/>
      <c r="AG74" s="2884"/>
      <c r="AH74" s="2884"/>
      <c r="AI74" s="2884"/>
      <c r="AJ74" s="2884"/>
    </row>
    <row r="75" s="2570" customFormat="1" ht="14.25" spans="1:36">
      <c r="A75" s="2783">
        <v>2</v>
      </c>
      <c r="B75" s="2295" t="s">
        <v>748</v>
      </c>
      <c r="C75" s="2771">
        <f ca="1">C76+C80</f>
        <v>217889</v>
      </c>
      <c r="D75" s="410" t="s">
        <v>121</v>
      </c>
      <c r="E75" s="2110"/>
      <c r="F75" s="2111"/>
      <c r="G75" s="2111"/>
      <c r="H75" s="2782"/>
      <c r="I75" s="2879"/>
      <c r="J75" s="2880"/>
      <c r="K75" s="367"/>
      <c r="L75" s="367"/>
      <c r="M75" s="367"/>
      <c r="N75" s="367"/>
      <c r="O75" s="367"/>
      <c r="P75" s="367"/>
      <c r="Q75" s="367"/>
      <c r="R75" s="367"/>
      <c r="S75" s="367"/>
      <c r="T75" s="367"/>
      <c r="U75" s="367"/>
      <c r="V75" s="367"/>
      <c r="W75" s="367"/>
      <c r="X75" s="367"/>
      <c r="Y75" s="367"/>
      <c r="Z75" s="367"/>
      <c r="AA75" s="367"/>
      <c r="AB75" s="2884"/>
      <c r="AC75" s="2884"/>
      <c r="AD75" s="2884"/>
      <c r="AE75" s="2884"/>
      <c r="AF75" s="2884"/>
      <c r="AG75" s="2884"/>
      <c r="AH75" s="2884"/>
      <c r="AI75" s="2884"/>
      <c r="AJ75" s="2884"/>
    </row>
    <row r="76" s="2570" customFormat="1" ht="14.25" spans="1:36">
      <c r="A76" s="2764" t="s">
        <v>749</v>
      </c>
      <c r="B76" s="410" t="s">
        <v>750</v>
      </c>
      <c r="C76" s="410">
        <f>ROUND(IF(G79="2016年5月1日后购买",C77/(1+'数据-取费表'!F30)+C78+C79,C77+C78+C79),0)</f>
        <v>0</v>
      </c>
      <c r="D76" s="410" t="s">
        <v>121</v>
      </c>
      <c r="E76" s="2110"/>
      <c r="F76" s="2111"/>
      <c r="G76" s="2111"/>
      <c r="H76" s="2782"/>
      <c r="I76" s="2879"/>
      <c r="J76" s="2880"/>
      <c r="K76" s="367"/>
      <c r="L76" s="367"/>
      <c r="M76" s="367"/>
      <c r="N76" s="367"/>
      <c r="O76" s="367"/>
      <c r="P76" s="367"/>
      <c r="Q76" s="367"/>
      <c r="R76" s="367"/>
      <c r="S76" s="367"/>
      <c r="T76" s="367"/>
      <c r="U76" s="367"/>
      <c r="V76" s="367"/>
      <c r="W76" s="367"/>
      <c r="X76" s="367"/>
      <c r="Y76" s="367"/>
      <c r="Z76" s="367"/>
      <c r="AA76" s="367"/>
      <c r="AB76" s="2884"/>
      <c r="AC76" s="2884"/>
      <c r="AD76" s="2884"/>
      <c r="AE76" s="2884"/>
      <c r="AF76" s="2884"/>
      <c r="AG76" s="2884"/>
      <c r="AH76" s="2884"/>
      <c r="AI76" s="2884"/>
      <c r="AJ76" s="2884"/>
    </row>
    <row r="77" s="2570" customFormat="1" ht="14.25" spans="1:36">
      <c r="A77" s="2764" t="s">
        <v>751</v>
      </c>
      <c r="B77" s="410" t="s">
        <v>752</v>
      </c>
      <c r="C77" s="540"/>
      <c r="D77" s="410" t="s">
        <v>121</v>
      </c>
      <c r="E77" s="2784" t="s">
        <v>753</v>
      </c>
      <c r="F77" s="2785" t="s">
        <v>754</v>
      </c>
      <c r="G77" s="2784" t="s">
        <v>755</v>
      </c>
      <c r="H77" s="2786"/>
      <c r="I77" s="544"/>
      <c r="J77" s="2881"/>
      <c r="K77" s="367"/>
      <c r="L77" s="367"/>
      <c r="M77" s="367"/>
      <c r="N77" s="367"/>
      <c r="O77" s="367"/>
      <c r="P77" s="367"/>
      <c r="Q77" s="367"/>
      <c r="R77" s="367"/>
      <c r="S77" s="367"/>
      <c r="T77" s="367"/>
      <c r="U77" s="367"/>
      <c r="V77" s="367"/>
      <c r="W77" s="367"/>
      <c r="X77" s="367"/>
      <c r="Y77" s="367"/>
      <c r="Z77" s="367"/>
      <c r="AA77" s="367"/>
      <c r="AB77" s="2884"/>
      <c r="AC77" s="2884"/>
      <c r="AD77" s="2884"/>
      <c r="AE77" s="2884"/>
      <c r="AF77" s="2884"/>
      <c r="AG77" s="2884"/>
      <c r="AH77" s="2884"/>
      <c r="AI77" s="2884"/>
      <c r="AJ77" s="2884"/>
    </row>
    <row r="78" s="2570" customFormat="1" ht="24.75" customHeight="1" spans="1:36">
      <c r="A78" s="2764" t="s">
        <v>756</v>
      </c>
      <c r="B78" s="432" t="s">
        <v>757</v>
      </c>
      <c r="C78" s="410">
        <f>IF(F77="购房发票",ROUND(C77*H77*D78,0),0)</f>
        <v>0</v>
      </c>
      <c r="D78" s="2787">
        <v>0.05</v>
      </c>
      <c r="E78" s="2110" t="s">
        <v>758</v>
      </c>
      <c r="F78" s="2111"/>
      <c r="G78" s="2111"/>
      <c r="H78" s="2788"/>
      <c r="I78" s="2879"/>
      <c r="J78" s="2880"/>
      <c r="K78" s="367"/>
      <c r="L78" s="367"/>
      <c r="M78" s="367"/>
      <c r="N78" s="367"/>
      <c r="O78" s="367"/>
      <c r="P78" s="367"/>
      <c r="Q78" s="367"/>
      <c r="R78" s="367"/>
      <c r="S78" s="367"/>
      <c r="T78" s="367"/>
      <c r="U78" s="367"/>
      <c r="V78" s="367"/>
      <c r="W78" s="367"/>
      <c r="X78" s="367"/>
      <c r="Y78" s="367"/>
      <c r="Z78" s="367"/>
      <c r="AA78" s="367"/>
      <c r="AB78" s="2884"/>
      <c r="AC78" s="2884"/>
      <c r="AD78" s="2884"/>
      <c r="AE78" s="2884"/>
      <c r="AF78" s="2884"/>
      <c r="AG78" s="2884"/>
      <c r="AH78" s="2884"/>
      <c r="AI78" s="2884"/>
      <c r="AJ78" s="2884"/>
    </row>
    <row r="79" s="2570" customFormat="1" ht="24.75" customHeight="1" spans="1:36">
      <c r="A79" s="2764" t="s">
        <v>759</v>
      </c>
      <c r="B79" s="410" t="s">
        <v>760</v>
      </c>
      <c r="C79" s="410">
        <f>ROUND(IF(G79="个人住宅",0,IF(G79="2016年5月1日前购买",C77*D79,C77*D79/(1+'数据-取费表'!F30))),0)</f>
        <v>0</v>
      </c>
      <c r="D79" s="2789">
        <f>'数据-取费表'!E36+'数据-取费表'!E37</f>
        <v>0.0305</v>
      </c>
      <c r="E79" s="2191" t="s">
        <v>761</v>
      </c>
      <c r="F79" s="1289"/>
      <c r="G79" s="2790" t="s">
        <v>762</v>
      </c>
      <c r="H79" s="2788" t="str">
        <f>IF(G79="个人买卖住房","免征印花税"," ")</f>
        <v> </v>
      </c>
      <c r="I79" s="2879"/>
      <c r="J79" s="2880"/>
      <c r="K79" s="367"/>
      <c r="L79" s="367"/>
      <c r="M79" s="367"/>
      <c r="N79" s="367"/>
      <c r="O79" s="367"/>
      <c r="P79" s="367"/>
      <c r="Q79" s="367"/>
      <c r="R79" s="367"/>
      <c r="S79" s="367"/>
      <c r="T79" s="367"/>
      <c r="U79" s="367"/>
      <c r="V79" s="367"/>
      <c r="W79" s="367"/>
      <c r="X79" s="367"/>
      <c r="Y79" s="367"/>
      <c r="Z79" s="367"/>
      <c r="AA79" s="367"/>
      <c r="AB79" s="2884"/>
      <c r="AC79" s="2884"/>
      <c r="AD79" s="2884"/>
      <c r="AE79" s="2884"/>
      <c r="AF79" s="2884"/>
      <c r="AG79" s="2884"/>
      <c r="AH79" s="2884"/>
      <c r="AI79" s="2884"/>
      <c r="AJ79" s="2884"/>
    </row>
    <row r="80" s="2570" customFormat="1" ht="24.75" customHeight="1" spans="1:36">
      <c r="A80" s="2764" t="s">
        <v>763</v>
      </c>
      <c r="B80" s="410" t="s">
        <v>764</v>
      </c>
      <c r="C80" s="2791">
        <f ca="1">ROUND(D47*D80/(1+'数据-取费表'!F30),0)</f>
        <v>217889</v>
      </c>
      <c r="D80" s="2792">
        <f>'数据-取费表'!E31</f>
        <v>0.006</v>
      </c>
      <c r="E80" s="2793" t="s">
        <v>765</v>
      </c>
      <c r="F80" s="2794"/>
      <c r="G80" s="2794"/>
      <c r="H80" s="2795"/>
      <c r="I80" s="2800"/>
      <c r="J80" s="2882"/>
      <c r="K80" s="367"/>
      <c r="L80" s="367"/>
      <c r="M80" s="367"/>
      <c r="N80" s="367"/>
      <c r="O80" s="367"/>
      <c r="P80" s="367"/>
      <c r="Q80" s="367"/>
      <c r="R80" s="367"/>
      <c r="S80" s="367"/>
      <c r="T80" s="367"/>
      <c r="U80" s="367"/>
      <c r="V80" s="367"/>
      <c r="W80" s="367"/>
      <c r="X80" s="367"/>
      <c r="Y80" s="367"/>
      <c r="Z80" s="367"/>
      <c r="AA80" s="367"/>
      <c r="AB80" s="2884"/>
      <c r="AC80" s="2884"/>
      <c r="AD80" s="2884"/>
      <c r="AE80" s="2884"/>
      <c r="AF80" s="2884"/>
      <c r="AG80" s="2884"/>
      <c r="AH80" s="2884"/>
      <c r="AI80" s="2884"/>
      <c r="AJ80" s="2884"/>
    </row>
    <row r="81" s="2570" customFormat="1" ht="14.25" spans="1:36">
      <c r="A81" s="2768" t="s">
        <v>739</v>
      </c>
      <c r="B81" s="516" t="s">
        <v>766</v>
      </c>
      <c r="C81" s="2771">
        <f ca="1">C74-C75</f>
        <v>36096903</v>
      </c>
      <c r="D81" s="410" t="s">
        <v>121</v>
      </c>
      <c r="E81" s="2110"/>
      <c r="F81" s="2111"/>
      <c r="G81" s="2111"/>
      <c r="H81" s="2782"/>
      <c r="I81" s="2879"/>
      <c r="J81" s="2880"/>
      <c r="K81" s="367"/>
      <c r="L81" s="367"/>
      <c r="M81" s="367"/>
      <c r="N81" s="367"/>
      <c r="O81" s="367"/>
      <c r="P81" s="367"/>
      <c r="Q81" s="367"/>
      <c r="R81" s="367"/>
      <c r="S81" s="367"/>
      <c r="T81" s="367"/>
      <c r="U81" s="367"/>
      <c r="V81" s="367"/>
      <c r="W81" s="367"/>
      <c r="X81" s="367"/>
      <c r="Y81" s="367"/>
      <c r="Z81" s="367"/>
      <c r="AA81" s="367"/>
      <c r="AB81" s="2884"/>
      <c r="AC81" s="2884"/>
      <c r="AD81" s="2884"/>
      <c r="AE81" s="2884"/>
      <c r="AF81" s="2884"/>
      <c r="AG81" s="2884"/>
      <c r="AH81" s="2884"/>
      <c r="AI81" s="2884"/>
      <c r="AJ81" s="2884"/>
    </row>
    <row r="82" s="2570" customFormat="1" ht="14.25" spans="1:36">
      <c r="A82" s="2768" t="s">
        <v>742</v>
      </c>
      <c r="B82" s="516" t="s">
        <v>767</v>
      </c>
      <c r="C82" s="2796">
        <f ca="1">IF(C81&lt;=0,0,C81/C75)</f>
        <v>165.66647696763</v>
      </c>
      <c r="D82" s="410" t="s">
        <v>121</v>
      </c>
      <c r="E82" s="2191" t="str">
        <f ca="1">IF(C82&gt;=200%,"增值额超过扣除项目金额200%",IF(C82&gt;=100%,"增值额超过扣除项目金额100%，未超过200%",IF(C82&gt;=50%,"增值额超过扣除项目金额50%，未超过100%",IF(C82&lt;50%,"增值额未超过扣除项目金额50%"))))</f>
        <v>增值额超过扣除项目金额200%</v>
      </c>
      <c r="F82" s="2111"/>
      <c r="G82" s="2111"/>
      <c r="H82" s="2782"/>
      <c r="I82" s="2879"/>
      <c r="J82" s="2880"/>
      <c r="K82" s="367"/>
      <c r="L82" s="367"/>
      <c r="M82" s="367"/>
      <c r="N82" s="367"/>
      <c r="O82" s="367"/>
      <c r="P82" s="367"/>
      <c r="Q82" s="367"/>
      <c r="R82" s="367"/>
      <c r="S82" s="367"/>
      <c r="T82" s="367"/>
      <c r="U82" s="367"/>
      <c r="V82" s="367"/>
      <c r="W82" s="367"/>
      <c r="X82" s="367"/>
      <c r="Y82" s="367"/>
      <c r="Z82" s="367"/>
      <c r="AA82" s="367"/>
      <c r="AB82" s="2884"/>
      <c r="AC82" s="2884"/>
      <c r="AD82" s="2884"/>
      <c r="AE82" s="2884"/>
      <c r="AF82" s="2884"/>
      <c r="AG82" s="2884"/>
      <c r="AH82" s="2884"/>
      <c r="AI82" s="2884"/>
      <c r="AJ82" s="2884"/>
    </row>
    <row r="83" s="2570" customFormat="1" ht="15" spans="1:36">
      <c r="A83" s="2772" t="s">
        <v>768</v>
      </c>
      <c r="B83" s="537" t="s">
        <v>769</v>
      </c>
      <c r="C83" s="2797">
        <f ca="1">ROUND(IF(C81&lt;=0,0,IF(C82&gt;=200%,C81*60%-C75*35%,IF(C82&gt;=100%,C81*50%-C75*15%,IF(C82&gt;=50%,C81*40%-C75*5%,IF(C82&lt;50%,C81*30%,0))))),0)</f>
        <v>21581881</v>
      </c>
      <c r="D83" s="456" t="s">
        <v>121</v>
      </c>
      <c r="E83" s="2700" t="str">
        <f ca="1">IF(E82="增值额未超过扣除项目金额50%","土地增值税税额=增值额×30%",IF(E82="增值额超过扣除项目金额50%，未超过100%","土地增值税税额=增值额×40%－扣除项目金额×5% ",IF(E82="增值额超过扣除项目金额100%，未超过200%","土地增值税税额=增值额×50%－扣除项目金额×15%",IF(E82="增值额超过扣除项目金额200%","土地增值税税额=增值额×60%－扣除项目金额×35%"))))</f>
        <v>土地增值税税额=增值额×60%－扣除项目金额×35%</v>
      </c>
      <c r="F83" s="2798"/>
      <c r="G83" s="2798"/>
      <c r="H83" s="2799"/>
      <c r="I83" s="2879"/>
      <c r="J83" s="2880"/>
      <c r="K83" s="367"/>
      <c r="L83" s="367"/>
      <c r="M83" s="367"/>
      <c r="N83" s="367"/>
      <c r="O83" s="367"/>
      <c r="P83" s="367"/>
      <c r="Q83" s="367"/>
      <c r="R83" s="367"/>
      <c r="S83" s="367"/>
      <c r="T83" s="367"/>
      <c r="U83" s="367"/>
      <c r="V83" s="367"/>
      <c r="W83" s="367"/>
      <c r="X83" s="367"/>
      <c r="Y83" s="367"/>
      <c r="Z83" s="367"/>
      <c r="AA83" s="367"/>
      <c r="AB83" s="2884"/>
      <c r="AC83" s="2884"/>
      <c r="AD83" s="2884"/>
      <c r="AE83" s="2884"/>
      <c r="AF83" s="2884"/>
      <c r="AG83" s="2884"/>
      <c r="AH83" s="2884"/>
      <c r="AI83" s="2884"/>
      <c r="AJ83" s="2884"/>
    </row>
    <row r="84" s="2570" customFormat="1" ht="7.5" customHeight="1" spans="1:36">
      <c r="A84" s="544"/>
      <c r="B84" s="544"/>
      <c r="C84" s="544"/>
      <c r="D84" s="544"/>
      <c r="E84" s="544"/>
      <c r="F84" s="544"/>
      <c r="G84" s="544"/>
      <c r="H84" s="2800"/>
      <c r="I84" s="2800"/>
      <c r="J84" s="2882"/>
      <c r="K84" s="367"/>
      <c r="L84" s="367"/>
      <c r="M84" s="367"/>
      <c r="N84" s="367"/>
      <c r="O84" s="367"/>
      <c r="P84" s="367"/>
      <c r="Q84" s="367"/>
      <c r="R84" s="367"/>
      <c r="S84" s="367"/>
      <c r="T84" s="367"/>
      <c r="U84" s="367"/>
      <c r="V84" s="367"/>
      <c r="W84" s="367"/>
      <c r="X84" s="367"/>
      <c r="Y84" s="367"/>
      <c r="Z84" s="367"/>
      <c r="AA84" s="367"/>
      <c r="AB84" s="2884"/>
      <c r="AC84" s="2884"/>
      <c r="AD84" s="2884"/>
      <c r="AE84" s="2884"/>
      <c r="AF84" s="2884"/>
      <c r="AG84" s="2884"/>
      <c r="AH84" s="2884"/>
      <c r="AI84" s="2884"/>
      <c r="AJ84" s="2884"/>
    </row>
    <row r="85" s="2570" customFormat="1" ht="15" spans="1:36">
      <c r="A85" s="2777" t="s">
        <v>770</v>
      </c>
      <c r="B85" s="507"/>
      <c r="C85" s="507"/>
      <c r="D85" s="507"/>
      <c r="E85" s="507"/>
      <c r="F85" s="507"/>
      <c r="G85" s="507"/>
      <c r="H85" s="507"/>
      <c r="I85" s="544"/>
      <c r="J85" s="2881"/>
      <c r="K85" s="367"/>
      <c r="L85" s="367"/>
      <c r="M85" s="367"/>
      <c r="N85" s="367"/>
      <c r="O85" s="367"/>
      <c r="P85" s="367"/>
      <c r="Q85" s="367"/>
      <c r="R85" s="367"/>
      <c r="S85" s="367"/>
      <c r="T85" s="367"/>
      <c r="U85" s="367"/>
      <c r="V85" s="367"/>
      <c r="W85" s="367"/>
      <c r="X85" s="367"/>
      <c r="Y85" s="367"/>
      <c r="Z85" s="367"/>
      <c r="AA85" s="367"/>
      <c r="AB85" s="2884"/>
      <c r="AC85" s="2884"/>
      <c r="AD85" s="2884"/>
      <c r="AE85" s="2884"/>
      <c r="AF85" s="2884"/>
      <c r="AG85" s="2884"/>
      <c r="AH85" s="2884"/>
      <c r="AI85" s="2884"/>
      <c r="AJ85" s="2884"/>
    </row>
    <row r="86" s="2570" customFormat="1" ht="14.25" spans="1:36">
      <c r="A86" s="459" t="s">
        <v>722</v>
      </c>
      <c r="B86" s="425"/>
      <c r="C86" s="425"/>
      <c r="D86" s="425" t="s">
        <v>723</v>
      </c>
      <c r="E86" s="2778" t="s">
        <v>674</v>
      </c>
      <c r="F86" s="2779"/>
      <c r="G86" s="2779"/>
      <c r="H86" s="2801"/>
      <c r="I86" s="544"/>
      <c r="J86" s="2881"/>
      <c r="K86" s="367"/>
      <c r="L86" s="367"/>
      <c r="M86" s="367"/>
      <c r="N86" s="367"/>
      <c r="O86" s="367"/>
      <c r="P86" s="367"/>
      <c r="Q86" s="367"/>
      <c r="R86" s="367"/>
      <c r="S86" s="367"/>
      <c r="T86" s="367"/>
      <c r="U86" s="367"/>
      <c r="V86" s="367"/>
      <c r="W86" s="367"/>
      <c r="X86" s="367"/>
      <c r="Y86" s="367"/>
      <c r="Z86" s="367"/>
      <c r="AA86" s="367"/>
      <c r="AB86" s="2884"/>
      <c r="AC86" s="2884"/>
      <c r="AD86" s="2884"/>
      <c r="AE86" s="2884"/>
      <c r="AF86" s="2884"/>
      <c r="AG86" s="2884"/>
      <c r="AH86" s="2884"/>
      <c r="AI86" s="2884"/>
      <c r="AJ86" s="2884"/>
    </row>
    <row r="87" s="2570" customFormat="1" ht="14.25" spans="1:36">
      <c r="A87" s="2781">
        <v>1</v>
      </c>
      <c r="B87" s="516" t="s">
        <v>746</v>
      </c>
      <c r="C87" s="2771">
        <f ca="1">ROUND(D47/(1+'数据-取费表'!F30),0)</f>
        <v>36314792</v>
      </c>
      <c r="D87" s="410" t="s">
        <v>121</v>
      </c>
      <c r="E87" s="2110"/>
      <c r="F87" s="2111"/>
      <c r="G87" s="2111"/>
      <c r="H87" s="2802"/>
      <c r="I87" s="544"/>
      <c r="J87" s="2881"/>
      <c r="K87" s="367"/>
      <c r="L87" s="367"/>
      <c r="M87" s="367"/>
      <c r="N87" s="367"/>
      <c r="O87" s="367"/>
      <c r="P87" s="367"/>
      <c r="Q87" s="367"/>
      <c r="R87" s="367"/>
      <c r="S87" s="367"/>
      <c r="T87" s="367"/>
      <c r="U87" s="367"/>
      <c r="V87" s="367"/>
      <c r="W87" s="367"/>
      <c r="X87" s="367"/>
      <c r="Y87" s="367"/>
      <c r="Z87" s="367"/>
      <c r="AA87" s="367"/>
      <c r="AB87" s="2884"/>
      <c r="AC87" s="2884"/>
      <c r="AD87" s="2884"/>
      <c r="AE87" s="2884"/>
      <c r="AF87" s="2884"/>
      <c r="AG87" s="2884"/>
      <c r="AH87" s="2884"/>
      <c r="AI87" s="2884"/>
      <c r="AJ87" s="2884"/>
    </row>
    <row r="88" s="2570" customFormat="1" ht="14.25" spans="1:36">
      <c r="A88" s="2783">
        <v>2</v>
      </c>
      <c r="B88" s="2295" t="s">
        <v>748</v>
      </c>
      <c r="C88" s="2771">
        <f ca="1">IF(H90="仅含出让金",C89+C92+C93+C94+C95+C96,C89+C93+C94+C95+C96)</f>
        <v>217889</v>
      </c>
      <c r="D88" s="2803"/>
      <c r="E88" s="2110"/>
      <c r="F88" s="2111"/>
      <c r="G88" s="2111"/>
      <c r="H88" s="2802"/>
      <c r="I88" s="544"/>
      <c r="J88" s="2881"/>
      <c r="K88" s="367"/>
      <c r="L88" s="367"/>
      <c r="M88" s="367"/>
      <c r="N88" s="367"/>
      <c r="O88" s="367"/>
      <c r="P88" s="367"/>
      <c r="Q88" s="367"/>
      <c r="R88" s="367"/>
      <c r="S88" s="367"/>
      <c r="T88" s="367"/>
      <c r="U88" s="367"/>
      <c r="V88" s="367"/>
      <c r="W88" s="367"/>
      <c r="X88" s="367"/>
      <c r="Y88" s="367"/>
      <c r="Z88" s="367"/>
      <c r="AA88" s="367"/>
      <c r="AB88" s="2884"/>
      <c r="AC88" s="2884"/>
      <c r="AD88" s="2884"/>
      <c r="AE88" s="2884"/>
      <c r="AF88" s="2884"/>
      <c r="AG88" s="2884"/>
      <c r="AH88" s="2884"/>
      <c r="AI88" s="2884"/>
      <c r="AJ88" s="2884"/>
    </row>
    <row r="89" s="2570" customFormat="1" ht="14.25" spans="1:36">
      <c r="A89" s="2764" t="s">
        <v>749</v>
      </c>
      <c r="B89" s="410" t="s">
        <v>771</v>
      </c>
      <c r="C89" s="2791">
        <f>C90+C91</f>
        <v>0</v>
      </c>
      <c r="D89" s="2792"/>
      <c r="E89" s="2793"/>
      <c r="F89" s="2794"/>
      <c r="G89" s="2794"/>
      <c r="H89" s="2795"/>
      <c r="I89" s="544"/>
      <c r="J89" s="2881"/>
      <c r="K89" s="367"/>
      <c r="L89" s="367"/>
      <c r="M89" s="367"/>
      <c r="N89" s="367"/>
      <c r="O89" s="367"/>
      <c r="P89" s="367"/>
      <c r="Q89" s="367"/>
      <c r="R89" s="367"/>
      <c r="S89" s="367"/>
      <c r="T89" s="367"/>
      <c r="U89" s="367"/>
      <c r="V89" s="367"/>
      <c r="W89" s="367"/>
      <c r="X89" s="367"/>
      <c r="Y89" s="367"/>
      <c r="Z89" s="367"/>
      <c r="AA89" s="367"/>
      <c r="AB89" s="2884"/>
      <c r="AC89" s="2884"/>
      <c r="AD89" s="2884"/>
      <c r="AE89" s="2884"/>
      <c r="AF89" s="2884"/>
      <c r="AG89" s="2884"/>
      <c r="AH89" s="2884"/>
      <c r="AI89" s="2884"/>
      <c r="AJ89" s="2884"/>
    </row>
    <row r="90" s="2570" customFormat="1" ht="14.25" spans="1:36">
      <c r="A90" s="2764" t="s">
        <v>751</v>
      </c>
      <c r="B90" s="410" t="s">
        <v>772</v>
      </c>
      <c r="C90" s="2804"/>
      <c r="D90" s="2792"/>
      <c r="E90" s="2736" t="s">
        <v>773</v>
      </c>
      <c r="F90" s="2794"/>
      <c r="G90" s="2805" t="s">
        <v>774</v>
      </c>
      <c r="H90" s="2806"/>
      <c r="I90" s="544"/>
      <c r="J90" s="2881"/>
      <c r="K90" s="2883" t="s">
        <v>775</v>
      </c>
      <c r="L90" s="2884"/>
      <c r="M90" s="2884"/>
      <c r="N90" s="2884"/>
      <c r="O90" s="2884"/>
      <c r="P90" s="2884"/>
      <c r="Q90" s="2884"/>
      <c r="R90" s="2884"/>
      <c r="S90" s="2884"/>
      <c r="T90" s="367"/>
      <c r="U90" s="367"/>
      <c r="V90" s="367"/>
      <c r="W90" s="367"/>
      <c r="X90" s="367"/>
      <c r="Y90" s="367"/>
      <c r="Z90" s="367"/>
      <c r="AA90" s="367"/>
      <c r="AB90" s="2884"/>
      <c r="AC90" s="2884"/>
      <c r="AD90" s="2884"/>
      <c r="AE90" s="2884"/>
      <c r="AF90" s="2884"/>
      <c r="AG90" s="2884"/>
      <c r="AH90" s="2884"/>
      <c r="AI90" s="2884"/>
      <c r="AJ90" s="2884"/>
    </row>
    <row r="91" s="2570" customFormat="1" ht="14.25" spans="1:36">
      <c r="A91" s="2764" t="s">
        <v>756</v>
      </c>
      <c r="B91" s="410" t="s">
        <v>760</v>
      </c>
      <c r="C91" s="2791">
        <f>ROUND(C90*D91,0)</f>
        <v>0</v>
      </c>
      <c r="D91" s="2792">
        <f>'数据-取费表'!E36+'数据-取费表'!E37</f>
        <v>0.0305</v>
      </c>
      <c r="E91" s="2736" t="s">
        <v>776</v>
      </c>
      <c r="F91" s="2794"/>
      <c r="G91" s="2794"/>
      <c r="H91" s="2795"/>
      <c r="I91" s="544"/>
      <c r="J91" s="2881"/>
      <c r="K91" s="367"/>
      <c r="L91" s="367"/>
      <c r="M91" s="367"/>
      <c r="N91" s="367"/>
      <c r="O91" s="367"/>
      <c r="P91" s="367"/>
      <c r="Q91" s="367"/>
      <c r="R91" s="367"/>
      <c r="S91" s="367"/>
      <c r="T91" s="367"/>
      <c r="U91" s="367"/>
      <c r="V91" s="367"/>
      <c r="W91" s="367"/>
      <c r="X91" s="367"/>
      <c r="Y91" s="367"/>
      <c r="Z91" s="367"/>
      <c r="AA91" s="367"/>
      <c r="AB91" s="2884"/>
      <c r="AC91" s="2884"/>
      <c r="AD91" s="2884"/>
      <c r="AE91" s="2884"/>
      <c r="AF91" s="2884"/>
      <c r="AG91" s="2884"/>
      <c r="AH91" s="2884"/>
      <c r="AI91" s="2884"/>
      <c r="AJ91" s="2884"/>
    </row>
    <row r="92" s="2570" customFormat="1" ht="14.25" spans="1:36">
      <c r="A92" s="2764" t="s">
        <v>763</v>
      </c>
      <c r="B92" s="410" t="s">
        <v>777</v>
      </c>
      <c r="C92" s="2804"/>
      <c r="D92" s="2792"/>
      <c r="E92" s="2736" t="str">
        <f>IF(H90="-","土地取得成本中已包含该笔费用"," ")</f>
        <v> </v>
      </c>
      <c r="F92" s="2794"/>
      <c r="G92" s="2807" t="s">
        <v>778</v>
      </c>
      <c r="H92" s="2808"/>
      <c r="I92" s="544"/>
      <c r="J92" s="2881"/>
      <c r="K92" s="2883" t="s">
        <v>779</v>
      </c>
      <c r="L92" s="2884"/>
      <c r="M92" s="2884"/>
      <c r="N92" s="2884"/>
      <c r="O92" s="2884"/>
      <c r="P92" s="2884"/>
      <c r="Q92" s="2884"/>
      <c r="R92" s="2884"/>
      <c r="S92" s="2884"/>
      <c r="T92" s="367"/>
      <c r="U92" s="367"/>
      <c r="V92" s="367"/>
      <c r="W92" s="367"/>
      <c r="X92" s="367"/>
      <c r="Y92" s="367"/>
      <c r="Z92" s="367"/>
      <c r="AA92" s="367"/>
      <c r="AB92" s="2884"/>
      <c r="AC92" s="2884"/>
      <c r="AD92" s="2884"/>
      <c r="AE92" s="2884"/>
      <c r="AF92" s="2884"/>
      <c r="AG92" s="2884"/>
      <c r="AH92" s="2884"/>
      <c r="AI92" s="2884"/>
      <c r="AJ92" s="2884"/>
    </row>
    <row r="93" s="2570" customFormat="1" ht="30.75" customHeight="1" spans="1:36">
      <c r="A93" s="2764" t="s">
        <v>780</v>
      </c>
      <c r="B93" s="410" t="s">
        <v>781</v>
      </c>
      <c r="C93" s="2791">
        <f>IF(H93="——",成本法!C33,I93)</f>
        <v>0</v>
      </c>
      <c r="D93" s="2792"/>
      <c r="E93" s="2793" t="s">
        <v>782</v>
      </c>
      <c r="F93" s="2794"/>
      <c r="G93" s="2794"/>
      <c r="H93" s="2809" t="s">
        <v>783</v>
      </c>
      <c r="I93" s="2885"/>
      <c r="J93" s="2886"/>
      <c r="K93" s="367"/>
      <c r="L93" s="367"/>
      <c r="M93" s="367"/>
      <c r="N93" s="367"/>
      <c r="O93" s="367"/>
      <c r="P93" s="367"/>
      <c r="Q93" s="367"/>
      <c r="R93" s="367"/>
      <c r="S93" s="367"/>
      <c r="T93" s="367"/>
      <c r="U93" s="367"/>
      <c r="V93" s="367"/>
      <c r="W93" s="367"/>
      <c r="X93" s="367"/>
      <c r="Y93" s="367"/>
      <c r="Z93" s="367"/>
      <c r="AA93" s="367"/>
      <c r="AB93" s="2884"/>
      <c r="AC93" s="2884"/>
      <c r="AD93" s="2884"/>
      <c r="AE93" s="2884"/>
      <c r="AF93" s="2884"/>
      <c r="AG93" s="2884"/>
      <c r="AH93" s="2884"/>
      <c r="AI93" s="2884"/>
      <c r="AJ93" s="2884"/>
    </row>
    <row r="94" s="2570" customFormat="1" ht="25.5" customHeight="1" spans="1:36">
      <c r="A94" s="2764" t="s">
        <v>784</v>
      </c>
      <c r="B94" s="410" t="s">
        <v>785</v>
      </c>
      <c r="C94" s="2791">
        <f>ROUND((C89+C92+C93)*D94,0)</f>
        <v>0</v>
      </c>
      <c r="D94" s="2792">
        <v>0.1</v>
      </c>
      <c r="E94" s="2793" t="s">
        <v>786</v>
      </c>
      <c r="F94" s="2794"/>
      <c r="G94" s="2794"/>
      <c r="H94" s="2795"/>
      <c r="I94" s="544"/>
      <c r="J94" s="2881"/>
      <c r="K94" s="2887" t="s">
        <v>787</v>
      </c>
      <c r="L94" s="2884"/>
      <c r="M94" s="2884"/>
      <c r="N94" s="2884"/>
      <c r="O94" s="2884"/>
      <c r="P94" s="2884"/>
      <c r="Q94" s="367"/>
      <c r="R94" s="367"/>
      <c r="S94" s="367"/>
      <c r="T94" s="367"/>
      <c r="U94" s="367"/>
      <c r="V94" s="367"/>
      <c r="W94" s="367"/>
      <c r="X94" s="367"/>
      <c r="Y94" s="367"/>
      <c r="Z94" s="367"/>
      <c r="AA94" s="367"/>
      <c r="AB94" s="2884"/>
      <c r="AC94" s="2884"/>
      <c r="AD94" s="2884"/>
      <c r="AE94" s="2884"/>
      <c r="AF94" s="2884"/>
      <c r="AG94" s="2884"/>
      <c r="AH94" s="2884"/>
      <c r="AI94" s="2884"/>
      <c r="AJ94" s="2884"/>
    </row>
    <row r="95" s="2570" customFormat="1" ht="25.5" customHeight="1" spans="1:36">
      <c r="A95" s="2764" t="s">
        <v>788</v>
      </c>
      <c r="B95" s="410" t="s">
        <v>764</v>
      </c>
      <c r="C95" s="2791">
        <f ca="1">ROUND(D47*D95/(1+'数据-取费表'!F30),0)</f>
        <v>217889</v>
      </c>
      <c r="D95" s="2792">
        <f>'数据-取费表'!E31</f>
        <v>0.006</v>
      </c>
      <c r="E95" s="2793" t="s">
        <v>765</v>
      </c>
      <c r="F95" s="2794"/>
      <c r="G95" s="2794"/>
      <c r="H95" s="2795"/>
      <c r="I95" s="544"/>
      <c r="J95" s="2881"/>
      <c r="K95" s="367"/>
      <c r="L95" s="367"/>
      <c r="M95" s="367"/>
      <c r="N95" s="367"/>
      <c r="O95" s="367"/>
      <c r="P95" s="367"/>
      <c r="Q95" s="367"/>
      <c r="R95" s="367"/>
      <c r="S95" s="367"/>
      <c r="T95" s="367"/>
      <c r="U95" s="367"/>
      <c r="V95" s="367"/>
      <c r="W95" s="367"/>
      <c r="X95" s="367"/>
      <c r="Y95" s="367"/>
      <c r="Z95" s="367"/>
      <c r="AA95" s="367"/>
      <c r="AB95" s="2884"/>
      <c r="AC95" s="2884"/>
      <c r="AD95" s="2884"/>
      <c r="AE95" s="2884"/>
      <c r="AF95" s="2884"/>
      <c r="AG95" s="2884"/>
      <c r="AH95" s="2884"/>
      <c r="AI95" s="2884"/>
      <c r="AJ95" s="2884"/>
    </row>
    <row r="96" s="2570" customFormat="1" ht="25.5" customHeight="1" spans="1:36">
      <c r="A96" s="2764" t="s">
        <v>789</v>
      </c>
      <c r="B96" s="410" t="s">
        <v>790</v>
      </c>
      <c r="C96" s="2791">
        <f>ROUND((C89+C92+C93)*D96,0)</f>
        <v>0</v>
      </c>
      <c r="D96" s="2792">
        <v>0.2</v>
      </c>
      <c r="E96" s="2793" t="s">
        <v>791</v>
      </c>
      <c r="F96" s="2794"/>
      <c r="G96" s="2794"/>
      <c r="H96" s="2795"/>
      <c r="I96" s="544"/>
      <c r="J96" s="2881"/>
      <c r="K96" s="367"/>
      <c r="L96" s="367"/>
      <c r="M96" s="367"/>
      <c r="N96" s="367"/>
      <c r="O96" s="367"/>
      <c r="P96" s="367"/>
      <c r="Q96" s="367"/>
      <c r="R96" s="367"/>
      <c r="S96" s="367"/>
      <c r="T96" s="367"/>
      <c r="U96" s="367"/>
      <c r="V96" s="367"/>
      <c r="W96" s="367"/>
      <c r="X96" s="367"/>
      <c r="Y96" s="367"/>
      <c r="Z96" s="367"/>
      <c r="AA96" s="367"/>
      <c r="AB96" s="2884"/>
      <c r="AC96" s="2884"/>
      <c r="AD96" s="2884"/>
      <c r="AE96" s="2884"/>
      <c r="AF96" s="2884"/>
      <c r="AG96" s="2884"/>
      <c r="AH96" s="2884"/>
      <c r="AI96" s="2884"/>
      <c r="AJ96" s="2884"/>
    </row>
    <row r="97" s="2570" customFormat="1" ht="14.25" spans="1:36">
      <c r="A97" s="2768" t="s">
        <v>739</v>
      </c>
      <c r="B97" s="516" t="s">
        <v>766</v>
      </c>
      <c r="C97" s="2771">
        <f ca="1">ROUND(C87-C88,0)</f>
        <v>36096903</v>
      </c>
      <c r="D97" s="410" t="s">
        <v>121</v>
      </c>
      <c r="E97" s="2110"/>
      <c r="F97" s="2111"/>
      <c r="G97" s="2111"/>
      <c r="H97" s="2802"/>
      <c r="I97" s="544"/>
      <c r="J97" s="2881"/>
      <c r="K97" s="367"/>
      <c r="L97" s="367"/>
      <c r="M97" s="367"/>
      <c r="N97" s="367"/>
      <c r="O97" s="367"/>
      <c r="P97" s="367"/>
      <c r="Q97" s="367"/>
      <c r="R97" s="367"/>
      <c r="S97" s="367"/>
      <c r="T97" s="367"/>
      <c r="U97" s="367"/>
      <c r="V97" s="367"/>
      <c r="W97" s="367"/>
      <c r="X97" s="367"/>
      <c r="Y97" s="367"/>
      <c r="Z97" s="367"/>
      <c r="AA97" s="367"/>
      <c r="AB97" s="2884"/>
      <c r="AC97" s="2884"/>
      <c r="AD97" s="2884"/>
      <c r="AE97" s="2884"/>
      <c r="AF97" s="2884"/>
      <c r="AG97" s="2884"/>
      <c r="AH97" s="2884"/>
      <c r="AI97" s="2884"/>
      <c r="AJ97" s="2884"/>
    </row>
    <row r="98" s="2570" customFormat="1" ht="14.25" spans="1:36">
      <c r="A98" s="2768" t="s">
        <v>742</v>
      </c>
      <c r="B98" s="516" t="s">
        <v>767</v>
      </c>
      <c r="C98" s="2796">
        <f ca="1">IF(C97&lt;=0,0,C97/C88)</f>
        <v>165.66647696763</v>
      </c>
      <c r="D98" s="410" t="s">
        <v>121</v>
      </c>
      <c r="E98" s="2191" t="str">
        <f ca="1">IF(C98&gt;=200%,"增值额超过扣除项目金额200%",IF(C98&gt;=100%,"增值额超过扣除项目金额100%，未超过200%",IF(C98&gt;=50%,"增值额超过扣除项目金额50%，未超过100%",IF(C98&lt;50%,"增值额未超过扣除项目金额50%"))))</f>
        <v>增值额超过扣除项目金额200%</v>
      </c>
      <c r="F98" s="2111"/>
      <c r="G98" s="2111"/>
      <c r="H98" s="2802"/>
      <c r="I98" s="544"/>
      <c r="J98" s="2881"/>
      <c r="K98" s="367"/>
      <c r="L98" s="367"/>
      <c r="M98" s="367"/>
      <c r="N98" s="367"/>
      <c r="O98" s="367"/>
      <c r="P98" s="367"/>
      <c r="Q98" s="367"/>
      <c r="R98" s="367"/>
      <c r="S98" s="367"/>
      <c r="T98" s="367"/>
      <c r="U98" s="367"/>
      <c r="V98" s="367"/>
      <c r="W98" s="367"/>
      <c r="X98" s="367"/>
      <c r="Y98" s="367"/>
      <c r="Z98" s="367"/>
      <c r="AA98" s="367"/>
      <c r="AB98" s="2884"/>
      <c r="AC98" s="2884"/>
      <c r="AD98" s="2884"/>
      <c r="AE98" s="2884"/>
      <c r="AF98" s="2884"/>
      <c r="AG98" s="2884"/>
      <c r="AH98" s="2884"/>
      <c r="AI98" s="2884"/>
      <c r="AJ98" s="2884"/>
    </row>
    <row r="99" s="2570" customFormat="1" ht="15" spans="1:36">
      <c r="A99" s="2810" t="s">
        <v>768</v>
      </c>
      <c r="B99" s="537" t="s">
        <v>769</v>
      </c>
      <c r="C99" s="2811">
        <f ca="1">ROUND(IF(C97&lt;=0,0,IF(C98&gt;=200%,C97*60%-C88*35%,IF(C98&gt;=100%,C97*50%-C88*15%,IF(C98&gt;=50%,C97*40%-C88*5%,IF(C98&lt;50%,C97*30%,0))))),0)</f>
        <v>21581881</v>
      </c>
      <c r="D99" s="2812" t="s">
        <v>121</v>
      </c>
      <c r="E99" s="2700" t="str">
        <f ca="1">IF(E98="增值额未超过扣除项目金额50%","土地增值税税额=增值额×30%",IF(E98="增值额超过扣除项目金额50%，未超过100%","土地增值税税额=增值额×40%－扣除项目金额×5% ",IF(E98="增值额超过扣除项目金额100%，未超过200%","土地增值税税额=增值额×50%－扣除项目金额×15%",IF(E98="增值额超过扣除项目金额200%","土地增值税税额=增值额×60%－扣除项目金额×35%"))))</f>
        <v>土地增值税税额=增值额×60%－扣除项目金额×35%</v>
      </c>
      <c r="F99" s="2798"/>
      <c r="G99" s="2798"/>
      <c r="H99" s="2813"/>
      <c r="I99" s="2888"/>
      <c r="J99" s="2889"/>
      <c r="K99" s="367"/>
      <c r="L99" s="367"/>
      <c r="M99" s="367"/>
      <c r="N99" s="367"/>
      <c r="O99" s="367"/>
      <c r="P99" s="367"/>
      <c r="Q99" s="367"/>
      <c r="R99" s="367"/>
      <c r="S99" s="367"/>
      <c r="T99" s="367"/>
      <c r="U99" s="367"/>
      <c r="V99" s="367"/>
      <c r="W99" s="367"/>
      <c r="X99" s="367"/>
      <c r="Y99" s="367"/>
      <c r="Z99" s="367"/>
      <c r="AA99" s="367"/>
      <c r="AB99" s="2884"/>
      <c r="AC99" s="2884"/>
      <c r="AD99" s="2884"/>
      <c r="AE99" s="2884"/>
      <c r="AF99" s="2884"/>
      <c r="AG99" s="2884"/>
      <c r="AH99" s="2884"/>
      <c r="AI99" s="2884"/>
      <c r="AJ99" s="2884"/>
    </row>
    <row r="100" customHeight="1" spans="1:9">
      <c r="A100" s="2660" t="s">
        <v>792</v>
      </c>
      <c r="B100" s="2575"/>
      <c r="C100" s="2575"/>
      <c r="D100" s="2575"/>
      <c r="E100" s="2814"/>
      <c r="F100" s="2814"/>
      <c r="G100" s="2814"/>
      <c r="H100" s="2815"/>
      <c r="I100" s="2575"/>
    </row>
    <row r="101" ht="15" spans="1:10">
      <c r="A101" s="2816" t="s">
        <v>793</v>
      </c>
      <c r="B101" s="2817"/>
      <c r="C101" s="2817"/>
      <c r="D101" s="2818"/>
      <c r="E101" s="2575"/>
      <c r="F101" s="2819" t="s">
        <v>862</v>
      </c>
      <c r="G101" s="2820"/>
      <c r="H101" s="2820"/>
      <c r="I101" s="2890"/>
      <c r="J101" s="2891"/>
    </row>
    <row r="102" ht="15" spans="1:10">
      <c r="A102" s="2821" t="s">
        <v>795</v>
      </c>
      <c r="B102" s="2822"/>
      <c r="C102" s="2823" t="str">
        <f>C4</f>
        <v>比较法-住宅</v>
      </c>
      <c r="D102" s="2824" t="str">
        <f>D4</f>
        <v>收益法</v>
      </c>
      <c r="E102" s="2575"/>
      <c r="F102" s="2825" t="s">
        <v>796</v>
      </c>
      <c r="G102" s="2826"/>
      <c r="H102" s="2827" t="s">
        <v>797</v>
      </c>
      <c r="I102" s="2892"/>
      <c r="J102" s="2893"/>
    </row>
    <row r="103" ht="13.5" spans="1:10">
      <c r="A103" s="2828" t="s">
        <v>863</v>
      </c>
      <c r="B103" s="518" t="str">
        <f>IF(H19="元","总价（元）","总价（万元）")</f>
        <v>总价（元）</v>
      </c>
      <c r="C103" s="2829">
        <f ca="1">C19</f>
        <v>21634327</v>
      </c>
      <c r="D103" s="2830">
        <f ca="1">D19</f>
        <v>8841725</v>
      </c>
      <c r="E103" s="2575"/>
      <c r="F103" s="2831"/>
      <c r="G103" s="2832"/>
      <c r="H103" s="2833">
        <f>典型户型修正!B25</f>
        <v>492.91</v>
      </c>
      <c r="I103" s="2892"/>
      <c r="J103" s="2893"/>
    </row>
    <row r="104" ht="13.5" spans="1:10">
      <c r="A104" s="2828"/>
      <c r="B104" s="518" t="s">
        <v>799</v>
      </c>
      <c r="C104" s="2834">
        <f ca="1">C20</f>
        <v>87734</v>
      </c>
      <c r="D104" s="2835">
        <f ca="1">D20</f>
        <v>35856</v>
      </c>
      <c r="E104" s="2575"/>
      <c r="F104" s="2783" t="s">
        <v>800</v>
      </c>
      <c r="G104" s="2295"/>
      <c r="H104" s="2836" t="str">
        <f>C110</f>
        <v>总价（元）</v>
      </c>
      <c r="I104" s="2853">
        <f ca="1">H125</f>
        <v>38130532</v>
      </c>
      <c r="J104" s="2893"/>
    </row>
    <row r="105" ht="13.5" spans="1:10">
      <c r="A105" s="2828" t="s">
        <v>864</v>
      </c>
      <c r="B105" s="519" t="str">
        <f>B103</f>
        <v>总价（元）</v>
      </c>
      <c r="C105" s="2191">
        <f ca="1">ROUND(IF('数据-取费表'!B4="总价",G19,IF(H19="元",G20*'数据-取费表'!E5,G20*'数据-取费表'!E5/10000)),0)</f>
        <v>19075709</v>
      </c>
      <c r="D105" s="2837"/>
      <c r="E105" s="2575"/>
      <c r="F105" s="2783"/>
      <c r="G105" s="2295"/>
      <c r="H105" s="2836" t="s">
        <v>799</v>
      </c>
      <c r="I105" s="2766">
        <f ca="1">I125</f>
        <v>773580004</v>
      </c>
      <c r="J105" s="2710"/>
    </row>
    <row r="106" ht="13.5" spans="1:10">
      <c r="A106" s="2828"/>
      <c r="B106" s="518" t="s">
        <v>799</v>
      </c>
      <c r="C106" s="2658">
        <f ca="1">ROUND(IF('数据-取费表'!B4="楼面单价",G20,IF(H19="元",G19/'数据-取费表'!E5,G19*10000/'数据-取费表'!E5)),0)</f>
        <v>77358</v>
      </c>
      <c r="D106" s="2837"/>
      <c r="E106" s="2575"/>
      <c r="F106" s="2783"/>
      <c r="G106" s="2295"/>
      <c r="H106" s="2836"/>
      <c r="I106" s="2894"/>
      <c r="J106" s="2895"/>
    </row>
    <row r="107" ht="13.5" spans="1:10">
      <c r="A107" s="2838" t="s">
        <v>865</v>
      </c>
      <c r="B107" s="2839" t="str">
        <f>B103</f>
        <v>总价（元）</v>
      </c>
      <c r="C107" s="2840">
        <f ca="1">H125</f>
        <v>38130532</v>
      </c>
      <c r="D107" s="2841"/>
      <c r="E107" s="2575"/>
      <c r="F107" s="2842" t="s">
        <v>803</v>
      </c>
      <c r="G107" s="2843"/>
      <c r="H107" s="2844" t="str">
        <f>C112</f>
        <v>总额（元）</v>
      </c>
      <c r="I107" s="2853">
        <f>SUMIF(I108:I110,"&lt;9E307")</f>
        <v>0</v>
      </c>
      <c r="J107" s="2893"/>
    </row>
    <row r="108" ht="15" spans="1:17">
      <c r="A108" s="567"/>
      <c r="B108" s="2845" t="s">
        <v>799</v>
      </c>
      <c r="C108" s="2846">
        <f ca="1">I125</f>
        <v>773580004</v>
      </c>
      <c r="D108" s="2847"/>
      <c r="E108" s="2575"/>
      <c r="F108" s="2848" t="s">
        <v>804</v>
      </c>
      <c r="G108" s="2849"/>
      <c r="H108" s="2844" t="str">
        <f>C113</f>
        <v>总额（元）</v>
      </c>
      <c r="I108" s="2896">
        <f>IF(D38="同一抵押权人同一抵押物续贷",C38&amp;"（续贷，未扣减，详见特别提示）",C38)</f>
        <v>0</v>
      </c>
      <c r="J108" s="2710"/>
      <c r="L108" s="2897" t="str">
        <f>IF(D125=0,"本次评估不存在"&amp;A125&amp;"。","本次评估"&amp;A125&amp;"为"&amp;D125&amp;"元人民币。")</f>
        <v>本次评估不存在北京市房地产。</v>
      </c>
      <c r="M108" s="2575"/>
      <c r="N108" s="2575"/>
      <c r="O108" s="2575"/>
      <c r="P108" s="2575"/>
      <c r="Q108" s="2575"/>
    </row>
    <row r="109" ht="15" spans="1:10">
      <c r="A109" s="2850" t="s">
        <v>802</v>
      </c>
      <c r="B109" s="2851"/>
      <c r="C109" s="2851"/>
      <c r="D109" s="2852"/>
      <c r="E109" s="2575"/>
      <c r="F109" s="2848" t="s">
        <v>805</v>
      </c>
      <c r="G109" s="2849"/>
      <c r="H109" s="2844" t="str">
        <f>C114</f>
        <v>总额（元）</v>
      </c>
      <c r="I109" s="2766">
        <f>C39</f>
        <v>0</v>
      </c>
      <c r="J109" s="2710"/>
    </row>
    <row r="110" ht="13.5" spans="1:10">
      <c r="A110" s="2783" t="s">
        <v>866</v>
      </c>
      <c r="B110" s="2295"/>
      <c r="C110" s="2836" t="str">
        <f>B103</f>
        <v>总价（元）</v>
      </c>
      <c r="D110" s="2853">
        <f ca="1">H125</f>
        <v>38130532</v>
      </c>
      <c r="E110" s="2575"/>
      <c r="F110" s="2848" t="s">
        <v>806</v>
      </c>
      <c r="G110" s="2849"/>
      <c r="H110" s="2844" t="str">
        <f>C115</f>
        <v>总额（元）</v>
      </c>
      <c r="I110" s="2766">
        <f>C40</f>
        <v>0</v>
      </c>
      <c r="J110" s="2710"/>
    </row>
    <row r="111" ht="13.5" spans="1:10">
      <c r="A111" s="2783"/>
      <c r="B111" s="2295"/>
      <c r="C111" s="2836" t="s">
        <v>799</v>
      </c>
      <c r="D111" s="2766">
        <f ca="1">I125</f>
        <v>773580004</v>
      </c>
      <c r="E111" s="2575"/>
      <c r="F111" s="2783"/>
      <c r="G111" s="2295"/>
      <c r="H111" s="552"/>
      <c r="I111" s="2898"/>
      <c r="J111" s="2899"/>
    </row>
    <row r="112" ht="28.5" customHeight="1" spans="1:10">
      <c r="A112" s="2854" t="s">
        <v>803</v>
      </c>
      <c r="B112" s="2855"/>
      <c r="C112" s="2844" t="str">
        <f>IF(H19="元","总额（元）","总额（万元）")</f>
        <v>总额（元）</v>
      </c>
      <c r="D112" s="2853">
        <f>IF(D38="正常操作",I108+I109+I110,I109+I110)</f>
        <v>0</v>
      </c>
      <c r="E112" s="2575"/>
      <c r="F112" s="2856" t="str">
        <f>IF(项目基本情况!F5="已注销","——","3.房地产抵押价值")</f>
        <v>3.房地产抵押价值</v>
      </c>
      <c r="G112" s="2665"/>
      <c r="H112" s="2658" t="str">
        <f>C116</f>
        <v>总价（元）</v>
      </c>
      <c r="I112" s="2853">
        <f ca="1">IF(F112="——","——",I104-I107)</f>
        <v>38130532</v>
      </c>
      <c r="J112" s="2893"/>
    </row>
    <row r="113" ht="13.5" spans="1:10">
      <c r="A113" s="2848" t="s">
        <v>804</v>
      </c>
      <c r="B113" s="2849"/>
      <c r="C113" s="2844" t="str">
        <f>C112</f>
        <v>总额（元）</v>
      </c>
      <c r="D113" s="2766">
        <f>IF(D38="同一抵押权人同一抵押物续贷",C38&amp;"（未扣减，详见特别提示）",C38)</f>
        <v>0</v>
      </c>
      <c r="E113" s="2575"/>
      <c r="F113" s="2857"/>
      <c r="G113" s="2674"/>
      <c r="H113" s="2836" t="s">
        <v>799</v>
      </c>
      <c r="I113" s="2900">
        <f ca="1">D117</f>
        <v>773580004</v>
      </c>
      <c r="J113" s="2901"/>
    </row>
    <row r="114" ht="13.5" spans="1:10">
      <c r="A114" s="2848" t="s">
        <v>805</v>
      </c>
      <c r="B114" s="2849"/>
      <c r="C114" s="2844" t="str">
        <f>C112</f>
        <v>总额（元）</v>
      </c>
      <c r="D114" s="2766">
        <f>C39</f>
        <v>0</v>
      </c>
      <c r="E114" s="2575"/>
      <c r="F114" s="2856" t="str">
        <f>IF(项目基本情况!F5="已注销及未注销","4.抵押担保权已注销时的房地产抵押价值",IF(项目基本情况!F5="已注销","3.抵押担保权已注销时的房地产抵押价值","——"))</f>
        <v>——</v>
      </c>
      <c r="G114" s="2665"/>
      <c r="H114" s="2658" t="str">
        <f>C118</f>
        <v>总价（元）</v>
      </c>
      <c r="I114" s="2853" t="str">
        <f ca="1">IF(F114="——","——",I104-I109-I110)</f>
        <v>——</v>
      </c>
      <c r="J114" s="2893"/>
    </row>
    <row r="115" ht="13.5" spans="1:10">
      <c r="A115" s="2848" t="s">
        <v>806</v>
      </c>
      <c r="B115" s="2849"/>
      <c r="C115" s="2844" t="str">
        <f>C112</f>
        <v>总额（元）</v>
      </c>
      <c r="D115" s="2766">
        <f>C40</f>
        <v>0</v>
      </c>
      <c r="E115" s="2575"/>
      <c r="F115" s="2857"/>
      <c r="G115" s="2674"/>
      <c r="H115" s="2836" t="s">
        <v>799</v>
      </c>
      <c r="I115" s="2766" t="str">
        <f ca="1">D119</f>
        <v>——</v>
      </c>
      <c r="J115" s="2710"/>
    </row>
    <row r="116" ht="13.5" spans="1:10">
      <c r="A116" s="2783" t="str">
        <f>IF(项目基本情况!F5="已注销","——","3.房地产抵押价值")</f>
        <v>3.房地产抵押价值</v>
      </c>
      <c r="B116" s="2295"/>
      <c r="C116" s="2836" t="str">
        <f>B103</f>
        <v>总价（元）</v>
      </c>
      <c r="D116" s="2853">
        <f ca="1">IF(A116="——","——",D110-D112)</f>
        <v>38130532</v>
      </c>
      <c r="E116" s="2575"/>
      <c r="F116" s="2856" t="str">
        <f>IF(项目基本情况!G5="抵押净值",IF(OR(项目基本情况!F5="已注销",项目基本情况!F5="房地产抵押价值"),"4.抵押净值","5.抵押净值"),"——")</f>
        <v>——</v>
      </c>
      <c r="G116" s="2665"/>
      <c r="H116" s="2836" t="str">
        <f>C120</f>
        <v>总价（元）</v>
      </c>
      <c r="I116" s="2853" t="str">
        <f ca="1">IF(F116="——","——",O61)</f>
        <v>——</v>
      </c>
      <c r="J116" s="2893"/>
    </row>
    <row r="117" ht="14.25" spans="1:10">
      <c r="A117" s="2783"/>
      <c r="B117" s="2295"/>
      <c r="C117" s="2836" t="s">
        <v>799</v>
      </c>
      <c r="D117" s="2766">
        <f ca="1">ROUND(IF(D116=D110,D111,IF(H19="元",D116/B125,D116*10000/B125)),0)</f>
        <v>773580004</v>
      </c>
      <c r="E117" s="2575"/>
      <c r="F117" s="2858"/>
      <c r="G117" s="2859"/>
      <c r="H117" s="2860" t="s">
        <v>799</v>
      </c>
      <c r="I117" s="2864" t="str">
        <f ca="1">D121</f>
        <v>——</v>
      </c>
      <c r="J117" s="2710"/>
    </row>
    <row r="118" ht="15.75" spans="1:16">
      <c r="A118" s="2783" t="str">
        <f>IF(项目基本情况!F5="已注销及未注销","4.抵押担保权已注销时的房地产抵押价值",IF(项目基本情况!F5="已注销","3.抵押担保权已注销时的房地产抵押价值","——"))</f>
        <v>——</v>
      </c>
      <c r="B118" s="2295"/>
      <c r="C118" s="2836" t="str">
        <f>B103</f>
        <v>总价（元）</v>
      </c>
      <c r="D118" s="2853" t="str">
        <f ca="1">IF(A118="——","——",D110-D114-D115)</f>
        <v>——</v>
      </c>
      <c r="E118" s="2575"/>
      <c r="F118" s="2861"/>
      <c r="G118" s="2861"/>
      <c r="H118" s="2862"/>
      <c r="I118" s="2862"/>
      <c r="J118" s="2902"/>
      <c r="O118" s="1709"/>
      <c r="P118" s="1709"/>
    </row>
    <row r="119" s="2571" customFormat="1" ht="12.75" spans="1:27">
      <c r="A119" s="2783"/>
      <c r="B119" s="2295"/>
      <c r="C119" s="2836" t="s">
        <v>799</v>
      </c>
      <c r="D119" s="2766" t="str">
        <f ca="1">IF(A118="——","——",IF(H19="元",ROUND(D118/B125,0),ROUND(D118*10000/B125,0)))</f>
        <v>——</v>
      </c>
      <c r="E119" s="2575"/>
      <c r="F119" s="699" t="str">
        <f>IF(B33="总价","（以上估价结果中楼面单价为总价除以建筑面积得出）","（以上估价结果中总价为楼面单价乘以建筑面积得出）")</f>
        <v>（以上估价结果中总价为楼面单价乘以建筑面积得出）</v>
      </c>
      <c r="G119" s="699"/>
      <c r="H119" s="699"/>
      <c r="I119" s="699"/>
      <c r="J119" s="2903"/>
      <c r="K119" s="1712"/>
      <c r="L119" s="1712"/>
      <c r="M119" s="1712"/>
      <c r="N119" s="1712"/>
      <c r="O119" s="1709"/>
      <c r="P119" s="1709"/>
      <c r="Q119" s="1712"/>
      <c r="R119" s="1712"/>
      <c r="S119" s="1712"/>
      <c r="T119" s="1712"/>
      <c r="U119" s="1712"/>
      <c r="V119" s="1712"/>
      <c r="W119" s="1712"/>
      <c r="X119" s="1712"/>
      <c r="Y119" s="1712"/>
      <c r="Z119" s="1712"/>
      <c r="AA119" s="1712"/>
    </row>
    <row r="120" s="2571" customFormat="1" ht="12.75" spans="1:27">
      <c r="A120" s="2783" t="str">
        <f>IF(项目基本情况!G5="抵押净值",IF(OR(项目基本情况!F5="已注销",项目基本情况!F5="房地产抵押价值"),"4.抵押净值","5.抵押净值"),"——")</f>
        <v>——</v>
      </c>
      <c r="B120" s="2295"/>
      <c r="C120" s="2836" t="str">
        <f>B103</f>
        <v>总价（元）</v>
      </c>
      <c r="D120" s="2853" t="str">
        <f ca="1">IF(A120="——","——",O61)</f>
        <v>——</v>
      </c>
      <c r="E120" s="2575"/>
      <c r="F120" s="699"/>
      <c r="G120" s="699"/>
      <c r="H120" s="699"/>
      <c r="I120" s="699"/>
      <c r="J120" s="2903"/>
      <c r="K120" s="1712"/>
      <c r="L120" s="1712"/>
      <c r="M120" s="1712"/>
      <c r="N120" s="1712"/>
      <c r="O120" s="1709"/>
      <c r="P120" s="1709"/>
      <c r="Q120" s="1712"/>
      <c r="R120" s="1712"/>
      <c r="S120" s="1712"/>
      <c r="T120" s="1712"/>
      <c r="U120" s="1712"/>
      <c r="V120" s="1712"/>
      <c r="W120" s="1712"/>
      <c r="X120" s="1712"/>
      <c r="Y120" s="1712"/>
      <c r="Z120" s="1712"/>
      <c r="AA120" s="1712"/>
    </row>
    <row r="121" s="2571" customFormat="1" ht="13.5" spans="1:27">
      <c r="A121" s="2863"/>
      <c r="B121" s="2797"/>
      <c r="C121" s="2860" t="s">
        <v>799</v>
      </c>
      <c r="D121" s="2864" t="str">
        <f ca="1">IF(D120=D110,D111,IF(A120="——","——",O63))</f>
        <v>——</v>
      </c>
      <c r="E121" s="2575"/>
      <c r="F121" s="699"/>
      <c r="G121" s="699"/>
      <c r="H121" s="699"/>
      <c r="I121" s="699"/>
      <c r="J121" s="2903"/>
      <c r="K121" s="1712"/>
      <c r="L121" s="1712"/>
      <c r="M121" s="1712"/>
      <c r="N121" s="1712"/>
      <c r="O121" s="1709"/>
      <c r="P121" s="1709"/>
      <c r="Q121" s="1712"/>
      <c r="R121" s="1712"/>
      <c r="S121" s="1712"/>
      <c r="T121" s="1712"/>
      <c r="U121" s="1712"/>
      <c r="V121" s="1712"/>
      <c r="W121" s="1712"/>
      <c r="X121" s="1712"/>
      <c r="Y121" s="1712"/>
      <c r="Z121" s="1712"/>
      <c r="AA121" s="1712"/>
    </row>
    <row r="122" s="2571" customFormat="1" ht="15" spans="1:27">
      <c r="A122" s="2865" t="s">
        <v>807</v>
      </c>
      <c r="B122" s="2866"/>
      <c r="C122" s="2866"/>
      <c r="D122" s="2866"/>
      <c r="E122" s="2866"/>
      <c r="F122" s="2866"/>
      <c r="G122" s="2866"/>
      <c r="H122" s="2866"/>
      <c r="I122" s="2866"/>
      <c r="J122" s="2904"/>
      <c r="K122" s="1712"/>
      <c r="L122" s="1712"/>
      <c r="M122" s="1712"/>
      <c r="N122" s="1712"/>
      <c r="O122" s="1712"/>
      <c r="P122" s="1712"/>
      <c r="Q122" s="1712"/>
      <c r="R122" s="1712"/>
      <c r="S122" s="1712"/>
      <c r="T122" s="1712"/>
      <c r="U122" s="1712"/>
      <c r="V122" s="1712"/>
      <c r="W122" s="1712"/>
      <c r="X122" s="1712"/>
      <c r="Y122" s="1712"/>
      <c r="Z122" s="1712"/>
      <c r="AA122" s="1712"/>
    </row>
    <row r="123" s="2571" customFormat="1" ht="12.75" spans="1:27">
      <c r="A123" s="2690" t="s">
        <v>808</v>
      </c>
      <c r="B123" s="2138" t="s">
        <v>357</v>
      </c>
      <c r="C123" s="2138" t="s">
        <v>809</v>
      </c>
      <c r="D123" s="2867" t="s">
        <v>810</v>
      </c>
      <c r="E123" s="2868"/>
      <c r="F123" s="2132" t="s">
        <v>652</v>
      </c>
      <c r="G123" s="2132"/>
      <c r="H123" s="2132" t="s">
        <v>811</v>
      </c>
      <c r="I123" s="2766"/>
      <c r="J123" s="2710"/>
      <c r="K123" s="1712"/>
      <c r="L123" s="1712"/>
      <c r="M123" s="1712"/>
      <c r="N123" s="1712"/>
      <c r="O123" s="1712"/>
      <c r="P123" s="1712"/>
      <c r="Q123" s="1712"/>
      <c r="R123" s="1712"/>
      <c r="S123" s="1712"/>
      <c r="T123" s="1712"/>
      <c r="U123" s="1712"/>
      <c r="V123" s="1712"/>
      <c r="W123" s="1712"/>
      <c r="X123" s="1712"/>
      <c r="Y123" s="1712"/>
      <c r="Z123" s="1712"/>
      <c r="AA123" s="1712"/>
    </row>
    <row r="124" s="2571" customFormat="1" ht="12.75" spans="1:27">
      <c r="A124" s="2690"/>
      <c r="B124" s="447"/>
      <c r="C124" s="447"/>
      <c r="D124" s="2132" t="s">
        <v>812</v>
      </c>
      <c r="E124" s="2132" t="s">
        <v>813</v>
      </c>
      <c r="F124" s="2132" t="s">
        <v>812</v>
      </c>
      <c r="G124" s="2132" t="s">
        <v>813</v>
      </c>
      <c r="H124" s="2132" t="s">
        <v>812</v>
      </c>
      <c r="I124" s="2766" t="s">
        <v>813</v>
      </c>
      <c r="J124" s="2710"/>
      <c r="K124" s="1712"/>
      <c r="L124" s="1712"/>
      <c r="M124" s="1712"/>
      <c r="N124" s="1712"/>
      <c r="O124" s="1712"/>
      <c r="P124" s="1712"/>
      <c r="Q124" s="1712"/>
      <c r="R124" s="1712"/>
      <c r="S124" s="1712"/>
      <c r="T124" s="1712"/>
      <c r="U124" s="1712"/>
      <c r="V124" s="1712"/>
      <c r="W124" s="1712"/>
      <c r="X124" s="1712"/>
      <c r="Y124" s="1712"/>
      <c r="Z124" s="1712"/>
      <c r="AA124" s="1712"/>
    </row>
    <row r="125" s="2571" customFormat="1" ht="12.75" spans="1:27">
      <c r="A125" s="2690" t="str">
        <f>项目基本情况!I1</f>
        <v>北京市房地产</v>
      </c>
      <c r="B125" s="2132">
        <f>典型户型修正!B25</f>
        <v>492.91</v>
      </c>
      <c r="C125" s="2869"/>
      <c r="D125" s="2132">
        <f>C36</f>
        <v>0</v>
      </c>
      <c r="E125" s="2132">
        <f>ROUND(IF(H19="元",D125/B125,D125*10000/B125),0)</f>
        <v>0</v>
      </c>
      <c r="F125" s="2132">
        <f>C37</f>
        <v>0</v>
      </c>
      <c r="G125" s="2132">
        <f>ROUND(IF(H19="元",F125/B125,F125*10000/B125),0)</f>
        <v>0</v>
      </c>
      <c r="H125" s="2132">
        <f ca="1">C34</f>
        <v>38130532</v>
      </c>
      <c r="I125" s="2766">
        <f ca="1">C35</f>
        <v>773580004</v>
      </c>
      <c r="J125" s="2710"/>
      <c r="K125" s="1712"/>
      <c r="L125" s="1712"/>
      <c r="M125" s="1712"/>
      <c r="N125" s="1712"/>
      <c r="O125" s="1712"/>
      <c r="P125" s="1712"/>
      <c r="Q125" s="1712"/>
      <c r="R125" s="1712"/>
      <c r="S125" s="1712"/>
      <c r="T125" s="1712"/>
      <c r="U125" s="1712"/>
      <c r="V125" s="1712"/>
      <c r="W125" s="1712"/>
      <c r="X125" s="1712"/>
      <c r="Y125" s="1712"/>
      <c r="Z125" s="1712"/>
      <c r="AA125" s="1712"/>
    </row>
    <row r="126" s="2571" customFormat="1" ht="12.75" spans="1:27">
      <c r="A126" s="2690" t="s">
        <v>814</v>
      </c>
      <c r="B126" s="2132"/>
      <c r="C126" s="2132"/>
      <c r="D126" s="2870" t="str">
        <f>IF(H19="元",NUMBERSTRING(INT(D125),2)&amp;"元整",NUMBERSTRING(INT(D125*10000),2)&amp;"元整")</f>
        <v>零元整</v>
      </c>
      <c r="E126" s="2871"/>
      <c r="F126" s="2870" t="str">
        <f>IF(H19="元",NUMBERSTRING(INT(F125),2)&amp;"元整",NUMBERSTRING(INT(F125*10000),2)&amp;"元整")</f>
        <v>零元整</v>
      </c>
      <c r="G126" s="2871"/>
      <c r="H126" s="2870" t="str">
        <f ca="1">IF(H19="元",NUMBERSTRING(INT(H125),2)&amp;"元整",NUMBERSTRING(INT(H125*10000),2)&amp;"元整")</f>
        <v>叁仟捌佰壹拾叁万零伍佰叁拾贰元整</v>
      </c>
      <c r="I126" s="2905"/>
      <c r="J126" s="2906"/>
      <c r="K126" s="1712"/>
      <c r="L126" s="1712"/>
      <c r="M126" s="1712"/>
      <c r="N126" s="1712"/>
      <c r="O126" s="1712"/>
      <c r="P126" s="1712"/>
      <c r="Q126" s="1712"/>
      <c r="R126" s="1712"/>
      <c r="S126" s="1712"/>
      <c r="T126" s="1712"/>
      <c r="U126" s="1712"/>
      <c r="V126" s="1712"/>
      <c r="W126" s="1712"/>
      <c r="X126" s="1712"/>
      <c r="Y126" s="1712"/>
      <c r="Z126" s="1712"/>
      <c r="AA126" s="1712"/>
    </row>
    <row r="127" s="2571" customFormat="1" ht="12.75" spans="1:27">
      <c r="A127" s="2825" t="str">
        <f>IF(项目基本情况!D5="房地产市场价值","——",MID(A112,3,LEN(A112)-2))</f>
        <v>估价师所知悉的法定优先受偿款</v>
      </c>
      <c r="B127" s="2827"/>
      <c r="C127" s="2826"/>
      <c r="D127" s="2833">
        <f>I107</f>
        <v>0</v>
      </c>
      <c r="E127" s="2827"/>
      <c r="F127" s="2827"/>
      <c r="G127" s="2827"/>
      <c r="H127" s="2827"/>
      <c r="I127" s="2892"/>
      <c r="J127" s="2893"/>
      <c r="K127" s="1712"/>
      <c r="L127" s="1712"/>
      <c r="M127" s="1712"/>
      <c r="N127" s="1712"/>
      <c r="O127" s="1712"/>
      <c r="P127" s="1712"/>
      <c r="Q127" s="1712"/>
      <c r="R127" s="1712"/>
      <c r="S127" s="1712"/>
      <c r="T127" s="1712"/>
      <c r="U127" s="1712"/>
      <c r="V127" s="1712"/>
      <c r="W127" s="1712"/>
      <c r="X127" s="1712"/>
      <c r="Y127" s="1712"/>
      <c r="Z127" s="1712"/>
      <c r="AA127" s="1712"/>
    </row>
    <row r="128" s="2571" customFormat="1" ht="12.75" spans="1:27">
      <c r="A128" s="2872" t="s">
        <v>814</v>
      </c>
      <c r="B128" s="2111"/>
      <c r="C128" s="2693"/>
      <c r="D128" s="2873">
        <f>H111</f>
        <v>0</v>
      </c>
      <c r="E128" s="2874"/>
      <c r="F128" s="2874"/>
      <c r="G128" s="2874"/>
      <c r="H128" s="2874"/>
      <c r="I128" s="2907"/>
      <c r="J128" s="2908"/>
      <c r="K128" s="1712"/>
      <c r="L128" s="1712"/>
      <c r="M128" s="1712"/>
      <c r="N128" s="1712"/>
      <c r="O128" s="1712"/>
      <c r="P128" s="1712"/>
      <c r="Q128" s="1712"/>
      <c r="R128" s="1712"/>
      <c r="S128" s="1712"/>
      <c r="T128" s="1712"/>
      <c r="U128" s="1712"/>
      <c r="V128" s="1712"/>
      <c r="W128" s="1712"/>
      <c r="X128" s="1712"/>
      <c r="Y128" s="1712"/>
      <c r="Z128" s="1712"/>
      <c r="AA128" s="1712"/>
    </row>
    <row r="129" s="2571" customFormat="1" ht="12.75" spans="1:27">
      <c r="A129" s="2783" t="str">
        <f>IF(项目基本情况!D5="房地产市场价值","——",MID(A116,3,LEN(A116)-2))</f>
        <v>房地产抵押价值</v>
      </c>
      <c r="B129" s="2295"/>
      <c r="C129" s="2295"/>
      <c r="D129" s="2833">
        <f ca="1">I112</f>
        <v>38130532</v>
      </c>
      <c r="E129" s="2827"/>
      <c r="F129" s="2827"/>
      <c r="G129" s="2827"/>
      <c r="H129" s="2827"/>
      <c r="I129" s="2892"/>
      <c r="J129" s="2893"/>
      <c r="K129" s="1712"/>
      <c r="L129" s="1712"/>
      <c r="M129" s="1712"/>
      <c r="N129" s="1712"/>
      <c r="O129" s="1712"/>
      <c r="P129" s="1712"/>
      <c r="Q129" s="1712"/>
      <c r="R129" s="1712"/>
      <c r="S129" s="1712"/>
      <c r="T129" s="1712"/>
      <c r="U129" s="1712"/>
      <c r="V129" s="1712"/>
      <c r="W129" s="1712"/>
      <c r="X129" s="1712"/>
      <c r="Y129" s="1712"/>
      <c r="Z129" s="1712"/>
      <c r="AA129" s="1712"/>
    </row>
    <row r="130" s="2571" customFormat="1" ht="12.75" spans="1:27">
      <c r="A130" s="2690" t="s">
        <v>814</v>
      </c>
      <c r="B130" s="2132"/>
      <c r="C130" s="2132"/>
      <c r="D130" s="2873">
        <f ca="1">I113</f>
        <v>773580004</v>
      </c>
      <c r="E130" s="2874"/>
      <c r="F130" s="2874"/>
      <c r="G130" s="2874"/>
      <c r="H130" s="2874"/>
      <c r="I130" s="2907"/>
      <c r="J130" s="2908"/>
      <c r="K130" s="1712"/>
      <c r="L130" s="1712"/>
      <c r="M130" s="1712"/>
      <c r="N130" s="1712"/>
      <c r="O130" s="1712"/>
      <c r="P130" s="1712"/>
      <c r="Q130" s="1712"/>
      <c r="R130" s="1712"/>
      <c r="S130" s="1712"/>
      <c r="T130" s="1712"/>
      <c r="U130" s="1712"/>
      <c r="V130" s="1712"/>
      <c r="W130" s="1712"/>
      <c r="X130" s="1712"/>
      <c r="Y130" s="1712"/>
      <c r="Z130" s="1712"/>
      <c r="AA130" s="1712"/>
    </row>
    <row r="131" s="2571" customFormat="1" ht="13.5" spans="1:27">
      <c r="A131" s="2783" t="str">
        <f>IF(项目基本情况!D5="房地产市场价值","——",MID(A118,3,LEN(A118)-2))</f>
        <v/>
      </c>
      <c r="B131" s="2295"/>
      <c r="C131" s="2295"/>
      <c r="D131" s="2663" t="str">
        <f ca="1">I114</f>
        <v>——</v>
      </c>
      <c r="E131" s="2664"/>
      <c r="F131" s="2664"/>
      <c r="G131" s="2664"/>
      <c r="H131" s="2664"/>
      <c r="I131" s="2931"/>
      <c r="J131" s="2893"/>
      <c r="K131" s="1712"/>
      <c r="L131" s="1712"/>
      <c r="M131" s="1712"/>
      <c r="N131" s="1712"/>
      <c r="O131" s="1712"/>
      <c r="P131" s="1712"/>
      <c r="Q131" s="1712"/>
      <c r="R131" s="1712"/>
      <c r="S131" s="1712"/>
      <c r="T131" s="1712"/>
      <c r="U131" s="1712"/>
      <c r="V131" s="1712"/>
      <c r="W131" s="1712"/>
      <c r="X131" s="1712"/>
      <c r="Y131" s="1712"/>
      <c r="Z131" s="1712"/>
      <c r="AA131" s="1712"/>
    </row>
    <row r="132" s="2571" customFormat="1" ht="14.25" spans="1:27">
      <c r="A132" s="2690" t="s">
        <v>814</v>
      </c>
      <c r="B132" s="2132"/>
      <c r="C132" s="2110"/>
      <c r="D132" s="2909" t="str">
        <f ca="1">I115</f>
        <v>——</v>
      </c>
      <c r="E132" s="2909"/>
      <c r="F132" s="2909"/>
      <c r="G132" s="2909"/>
      <c r="H132" s="2909"/>
      <c r="I132" s="2909"/>
      <c r="J132" s="2908"/>
      <c r="K132" s="1712"/>
      <c r="L132" s="1712"/>
      <c r="M132" s="1712"/>
      <c r="N132" s="1712"/>
      <c r="O132" s="1712"/>
      <c r="P132" s="1712"/>
      <c r="Q132" s="1712"/>
      <c r="R132" s="1712"/>
      <c r="S132" s="1712"/>
      <c r="T132" s="1712"/>
      <c r="U132" s="1712"/>
      <c r="V132" s="1712"/>
      <c r="W132" s="1712"/>
      <c r="X132" s="1712"/>
      <c r="Y132" s="1712"/>
      <c r="Z132" s="1712"/>
      <c r="AA132" s="1712"/>
    </row>
    <row r="133" s="2571" customFormat="1" ht="14.25" spans="1:27">
      <c r="A133" s="2783" t="str">
        <f>IF(项目基本情况!D5="房地产市场价值","——",MID(F116,3,LEN(F116)-2))</f>
        <v/>
      </c>
      <c r="B133" s="2295"/>
      <c r="C133" s="2833"/>
      <c r="D133" s="2910" t="str">
        <f ca="1">I116</f>
        <v>——</v>
      </c>
      <c r="E133" s="2910"/>
      <c r="F133" s="2910"/>
      <c r="G133" s="2910"/>
      <c r="H133" s="2910"/>
      <c r="I133" s="2910"/>
      <c r="J133" s="2893"/>
      <c r="K133" s="1712"/>
      <c r="L133" s="1712"/>
      <c r="M133" s="1712"/>
      <c r="N133" s="1712"/>
      <c r="O133" s="1712"/>
      <c r="P133" s="1712"/>
      <c r="Q133" s="1712"/>
      <c r="R133" s="1712"/>
      <c r="S133" s="1712"/>
      <c r="T133" s="1712"/>
      <c r="U133" s="1712"/>
      <c r="V133" s="1712"/>
      <c r="W133" s="1712"/>
      <c r="X133" s="1712"/>
      <c r="Y133" s="1712"/>
      <c r="Z133" s="1712"/>
      <c r="AA133" s="1712"/>
    </row>
    <row r="134" s="2571" customFormat="1" ht="14.25" spans="1:27">
      <c r="A134" s="2698" t="s">
        <v>814</v>
      </c>
      <c r="B134" s="2699"/>
      <c r="C134" s="2699"/>
      <c r="D134" s="2911">
        <f>H118</f>
        <v>0</v>
      </c>
      <c r="E134" s="2912"/>
      <c r="F134" s="2912"/>
      <c r="G134" s="2912"/>
      <c r="H134" s="2912"/>
      <c r="I134" s="2932"/>
      <c r="J134" s="2908"/>
      <c r="K134" s="1712"/>
      <c r="L134" s="1712"/>
      <c r="M134" s="1712"/>
      <c r="N134" s="1712"/>
      <c r="O134" s="1712"/>
      <c r="P134" s="1712"/>
      <c r="Q134" s="1712"/>
      <c r="R134" s="1712"/>
      <c r="S134" s="1712"/>
      <c r="T134" s="1712"/>
      <c r="U134" s="1712"/>
      <c r="V134" s="1712"/>
      <c r="W134" s="1712"/>
      <c r="X134" s="1712"/>
      <c r="Y134" s="1712"/>
      <c r="Z134" s="1712"/>
      <c r="AA134" s="1712"/>
    </row>
    <row r="135" s="2571" customFormat="1" ht="12.75" spans="1:27">
      <c r="A135" s="2658" t="str">
        <f>IF(H19="元","单位：平方米、元、元/平方米（币种：人民币）","单位：平方米、万元、元/平方米（币种：人民币）")</f>
        <v>单位：平方米、元、元/平方米（币种：人民币）</v>
      </c>
      <c r="B135" s="2658"/>
      <c r="C135" s="2658"/>
      <c r="D135" s="2658"/>
      <c r="E135" s="2658"/>
      <c r="F135" s="2658"/>
      <c r="G135" s="2658"/>
      <c r="H135" s="2658"/>
      <c r="I135" s="2658"/>
      <c r="J135" s="2933"/>
      <c r="K135" s="1712"/>
      <c r="L135" s="1712"/>
      <c r="M135" s="1712"/>
      <c r="N135" s="1712"/>
      <c r="O135" s="1712"/>
      <c r="P135" s="1712"/>
      <c r="Q135" s="1712"/>
      <c r="R135" s="1712"/>
      <c r="S135" s="1712"/>
      <c r="T135" s="1712"/>
      <c r="U135" s="1712"/>
      <c r="V135" s="1712"/>
      <c r="W135" s="1712"/>
      <c r="X135" s="1712"/>
      <c r="Y135" s="1712"/>
      <c r="Z135" s="1712"/>
      <c r="AA135" s="1712"/>
    </row>
    <row r="136" s="2571" customFormat="1" ht="13.5" spans="1:27">
      <c r="A136" s="2913" t="str">
        <f>IF(B33="总价","（以上估价结果中楼面单价为总价除以建筑面积得出）","（以上估价结果中总价为楼面单价乘以建筑面积得出）")</f>
        <v>（以上估价结果中总价为楼面单价乘以建筑面积得出）</v>
      </c>
      <c r="B136" s="2913"/>
      <c r="C136" s="2913"/>
      <c r="D136" s="2913"/>
      <c r="E136" s="2913"/>
      <c r="F136" s="2913"/>
      <c r="G136" s="2913"/>
      <c r="H136" s="2913"/>
      <c r="I136" s="2913"/>
      <c r="J136" s="2899"/>
      <c r="K136" s="1712"/>
      <c r="L136" s="1712"/>
      <c r="M136" s="1712"/>
      <c r="N136" s="1712"/>
      <c r="O136" s="1712"/>
      <c r="P136" s="1712"/>
      <c r="Q136" s="1712"/>
      <c r="R136" s="1712"/>
      <c r="S136" s="1712"/>
      <c r="T136" s="1712"/>
      <c r="U136" s="1712"/>
      <c r="V136" s="1712"/>
      <c r="W136" s="1712"/>
      <c r="X136" s="1712"/>
      <c r="Y136" s="1712"/>
      <c r="Z136" s="1712"/>
      <c r="AA136" s="1712"/>
    </row>
    <row r="137" s="2571" customFormat="1" customHeight="1" spans="1:27">
      <c r="A137" s="2914" t="s">
        <v>815</v>
      </c>
      <c r="B137" s="2915"/>
      <c r="C137" s="2916" t="s">
        <v>816</v>
      </c>
      <c r="D137" s="2917"/>
      <c r="E137" s="2917"/>
      <c r="F137" s="2917"/>
      <c r="G137" s="2917"/>
      <c r="H137" s="2918"/>
      <c r="I137" s="2934"/>
      <c r="J137" s="2935"/>
      <c r="K137" s="1712"/>
      <c r="L137" s="1712"/>
      <c r="M137" s="1712"/>
      <c r="N137" s="1712"/>
      <c r="O137" s="1712"/>
      <c r="P137" s="1712"/>
      <c r="Q137" s="1712"/>
      <c r="R137" s="1712"/>
      <c r="S137" s="1712"/>
      <c r="T137" s="1712"/>
      <c r="U137" s="1712"/>
      <c r="V137" s="1712"/>
      <c r="W137" s="1712"/>
      <c r="X137" s="1712"/>
      <c r="Y137" s="1712"/>
      <c r="Z137" s="1712"/>
      <c r="AA137" s="1712"/>
    </row>
    <row r="138" s="2571" customFormat="1" customHeight="1" spans="1:27">
      <c r="A138" s="2919">
        <v>1</v>
      </c>
      <c r="B138" s="2920"/>
      <c r="C138" s="2920"/>
      <c r="D138" s="2917"/>
      <c r="E138" s="2917"/>
      <c r="F138" s="2917"/>
      <c r="G138" s="2917"/>
      <c r="H138" s="2918"/>
      <c r="I138" s="2934"/>
      <c r="J138" s="2935"/>
      <c r="K138" s="1712"/>
      <c r="L138" s="1712"/>
      <c r="M138" s="1712"/>
      <c r="N138" s="1712"/>
      <c r="O138" s="1712"/>
      <c r="P138" s="1712"/>
      <c r="Q138" s="1712"/>
      <c r="R138" s="1712"/>
      <c r="S138" s="1712"/>
      <c r="T138" s="1712"/>
      <c r="U138" s="1712"/>
      <c r="V138" s="1712"/>
      <c r="W138" s="1712"/>
      <c r="X138" s="1712"/>
      <c r="Y138" s="1712"/>
      <c r="Z138" s="1712"/>
      <c r="AA138" s="1712"/>
    </row>
    <row r="139" s="2571" customFormat="1" customHeight="1" spans="1:27">
      <c r="A139" s="2919">
        <v>2</v>
      </c>
      <c r="B139" s="2920"/>
      <c r="C139" s="2920"/>
      <c r="D139" s="2917"/>
      <c r="E139" s="2917"/>
      <c r="F139" s="2917"/>
      <c r="G139" s="2917"/>
      <c r="H139" s="2918"/>
      <c r="I139" s="2934"/>
      <c r="J139" s="2935"/>
      <c r="K139" s="1712"/>
      <c r="L139" s="1712"/>
      <c r="M139" s="1712"/>
      <c r="N139" s="1712"/>
      <c r="O139" s="1712"/>
      <c r="P139" s="1712"/>
      <c r="Q139" s="1712"/>
      <c r="R139" s="1712"/>
      <c r="S139" s="1712"/>
      <c r="T139" s="1712"/>
      <c r="U139" s="1712"/>
      <c r="V139" s="1712"/>
      <c r="W139" s="1712"/>
      <c r="X139" s="1712"/>
      <c r="Y139" s="1712"/>
      <c r="Z139" s="1712"/>
      <c r="AA139" s="1712"/>
    </row>
    <row r="140" s="2571" customFormat="1" customHeight="1" spans="1:27">
      <c r="A140" s="2919">
        <v>3</v>
      </c>
      <c r="B140" s="2920"/>
      <c r="C140" s="2920"/>
      <c r="D140" s="2917"/>
      <c r="E140" s="2917"/>
      <c r="F140" s="1709"/>
      <c r="G140" s="1709"/>
      <c r="H140" s="1709"/>
      <c r="I140" s="1709"/>
      <c r="J140" s="2936"/>
      <c r="K140" s="1712"/>
      <c r="L140" s="1712"/>
      <c r="M140" s="1712"/>
      <c r="N140" s="1712"/>
      <c r="O140" s="1712"/>
      <c r="P140" s="1712"/>
      <c r="Q140" s="1712"/>
      <c r="R140" s="1712"/>
      <c r="S140" s="1712"/>
      <c r="T140" s="1712"/>
      <c r="U140" s="1712"/>
      <c r="V140" s="1712"/>
      <c r="W140" s="1712"/>
      <c r="X140" s="1712"/>
      <c r="Y140" s="1712"/>
      <c r="Z140" s="1712"/>
      <c r="AA140" s="1712"/>
    </row>
    <row r="141" s="2571" customFormat="1" customHeight="1" spans="1:27">
      <c r="A141" s="2921"/>
      <c r="B141" s="2922"/>
      <c r="C141" s="2922"/>
      <c r="D141" s="2923"/>
      <c r="E141" s="2923"/>
      <c r="F141" s="2923"/>
      <c r="G141" s="2923"/>
      <c r="H141" s="2924"/>
      <c r="I141" s="2937"/>
      <c r="J141" s="2935"/>
      <c r="K141" s="1712"/>
      <c r="L141" s="1712"/>
      <c r="M141" s="1712"/>
      <c r="N141" s="1712"/>
      <c r="O141" s="1712"/>
      <c r="P141" s="1712"/>
      <c r="Q141" s="1712"/>
      <c r="R141" s="1712"/>
      <c r="S141" s="1712"/>
      <c r="T141" s="1712"/>
      <c r="U141" s="1712"/>
      <c r="V141" s="1712"/>
      <c r="W141" s="1712"/>
      <c r="X141" s="1712"/>
      <c r="Y141" s="1712"/>
      <c r="Z141" s="1712"/>
      <c r="AA141" s="1712"/>
    </row>
    <row r="142" s="2571" customFormat="1" customHeight="1" spans="1:27">
      <c r="A142" s="2920"/>
      <c r="B142" s="2920"/>
      <c r="C142" s="2920"/>
      <c r="D142" s="2917"/>
      <c r="E142" s="2917"/>
      <c r="F142" s="2917"/>
      <c r="G142" s="2917"/>
      <c r="H142" s="2918"/>
      <c r="I142" s="1712"/>
      <c r="J142" s="2936"/>
      <c r="K142" s="1712"/>
      <c r="L142" s="1712"/>
      <c r="M142" s="1712"/>
      <c r="N142" s="1712"/>
      <c r="O142" s="1712"/>
      <c r="P142" s="1712"/>
      <c r="Q142" s="1712"/>
      <c r="R142" s="1712"/>
      <c r="S142" s="1712"/>
      <c r="T142" s="1712"/>
      <c r="U142" s="1712"/>
      <c r="V142" s="1712"/>
      <c r="W142" s="1712"/>
      <c r="X142" s="1712"/>
      <c r="Y142" s="1712"/>
      <c r="Z142" s="1712"/>
      <c r="AA142" s="1712"/>
    </row>
    <row r="143" s="2571" customFormat="1" customHeight="1" spans="1:27">
      <c r="A143" s="1712"/>
      <c r="B143" s="1712"/>
      <c r="C143" s="1712"/>
      <c r="D143" s="1712"/>
      <c r="E143" s="1712"/>
      <c r="F143" s="2925" t="s">
        <v>817</v>
      </c>
      <c r="G143" s="2926"/>
      <c r="H143" s="2926"/>
      <c r="I143" s="2938" t="s">
        <v>818</v>
      </c>
      <c r="J143" s="2939"/>
      <c r="K143" s="1712"/>
      <c r="L143" s="1712"/>
      <c r="M143" s="1712"/>
      <c r="N143" s="1712"/>
      <c r="O143" s="1712"/>
      <c r="P143" s="1712"/>
      <c r="Q143" s="1712"/>
      <c r="R143" s="1712"/>
      <c r="S143" s="1712"/>
      <c r="T143" s="1712"/>
      <c r="U143" s="1712"/>
      <c r="V143" s="1712"/>
      <c r="W143" s="1712"/>
      <c r="X143" s="1712"/>
      <c r="Y143" s="1712"/>
      <c r="Z143" s="1712"/>
      <c r="AA143" s="1712"/>
    </row>
    <row r="144" s="2571" customFormat="1" customHeight="1" spans="1:27">
      <c r="A144" s="1712"/>
      <c r="B144" s="2927" t="s">
        <v>819</v>
      </c>
      <c r="C144" s="1712"/>
      <c r="D144" s="1712"/>
      <c r="E144" s="1712"/>
      <c r="F144" s="1712"/>
      <c r="G144" s="1712"/>
      <c r="H144" s="1712"/>
      <c r="I144" s="1712"/>
      <c r="J144" s="2936"/>
      <c r="K144" s="1712"/>
      <c r="L144" s="1712"/>
      <c r="M144" s="1712"/>
      <c r="N144" s="1712"/>
      <c r="O144" s="1712"/>
      <c r="P144" s="1712"/>
      <c r="Q144" s="1712"/>
      <c r="R144" s="1712"/>
      <c r="S144" s="1712"/>
      <c r="T144" s="1712"/>
      <c r="U144" s="1712"/>
      <c r="V144" s="1712"/>
      <c r="W144" s="1712"/>
      <c r="X144" s="1712"/>
      <c r="Y144" s="1712"/>
      <c r="Z144" s="1712"/>
      <c r="AA144" s="1712"/>
    </row>
    <row r="145" s="2571" customFormat="1" customHeight="1" spans="1:27">
      <c r="A145" s="1712"/>
      <c r="B145" s="1712"/>
      <c r="C145" s="1712"/>
      <c r="D145" s="1712"/>
      <c r="E145" s="1712"/>
      <c r="F145" s="1712"/>
      <c r="G145" s="1712"/>
      <c r="H145" s="1712"/>
      <c r="I145" s="1712"/>
      <c r="J145" s="2936"/>
      <c r="K145" s="1712"/>
      <c r="L145" s="1712"/>
      <c r="M145" s="1712"/>
      <c r="N145" s="1712"/>
      <c r="O145" s="1712"/>
      <c r="P145" s="1712"/>
      <c r="Q145" s="1712"/>
      <c r="R145" s="1712"/>
      <c r="S145" s="1712"/>
      <c r="T145" s="1712"/>
      <c r="U145" s="1712"/>
      <c r="V145" s="1712"/>
      <c r="W145" s="1712"/>
      <c r="X145" s="1712"/>
      <c r="Y145" s="1712"/>
      <c r="Z145" s="1712"/>
      <c r="AA145" s="1712"/>
    </row>
    <row r="146" s="2571" customFormat="1" customHeight="1" spans="1:27">
      <c r="A146" s="1712"/>
      <c r="B146" s="2926"/>
      <c r="C146" s="2926"/>
      <c r="D146" s="2926"/>
      <c r="E146" s="2926"/>
      <c r="F146" s="2926"/>
      <c r="G146" s="2926"/>
      <c r="H146" s="2926"/>
      <c r="I146" s="2938" t="s">
        <v>820</v>
      </c>
      <c r="J146" s="2939"/>
      <c r="K146" s="1712"/>
      <c r="L146" s="1712"/>
      <c r="M146" s="1712"/>
      <c r="N146" s="1712"/>
      <c r="O146" s="1712"/>
      <c r="P146" s="1712"/>
      <c r="Q146" s="1712"/>
      <c r="R146" s="1712"/>
      <c r="S146" s="1712"/>
      <c r="T146" s="1712"/>
      <c r="U146" s="1712"/>
      <c r="V146" s="1712"/>
      <c r="W146" s="1712"/>
      <c r="X146" s="1712"/>
      <c r="Y146" s="1712"/>
      <c r="Z146" s="1712"/>
      <c r="AA146" s="1712"/>
    </row>
    <row r="147" s="2571" customFormat="1" customHeight="1" spans="1:27">
      <c r="A147" s="1712"/>
      <c r="B147" s="2927" t="s">
        <v>821</v>
      </c>
      <c r="C147" s="1712"/>
      <c r="D147" s="1712"/>
      <c r="E147" s="1712"/>
      <c r="F147" s="1712"/>
      <c r="G147" s="1712"/>
      <c r="H147" s="1712"/>
      <c r="I147" s="1712"/>
      <c r="J147" s="2936"/>
      <c r="K147" s="1712"/>
      <c r="L147" s="1712"/>
      <c r="M147" s="1712"/>
      <c r="N147" s="1712"/>
      <c r="O147" s="1712"/>
      <c r="P147" s="1712"/>
      <c r="Q147" s="1712"/>
      <c r="R147" s="1712"/>
      <c r="S147" s="1712"/>
      <c r="T147" s="1712"/>
      <c r="U147" s="1712"/>
      <c r="V147" s="1712"/>
      <c r="W147" s="1712"/>
      <c r="X147" s="1712"/>
      <c r="Y147" s="1712"/>
      <c r="Z147" s="1712"/>
      <c r="AA147" s="1712"/>
    </row>
    <row r="148" s="2571" customFormat="1" customHeight="1" spans="1:27">
      <c r="A148" s="1712"/>
      <c r="B148" s="2927"/>
      <c r="C148" s="1712"/>
      <c r="D148" s="1712"/>
      <c r="E148" s="1712"/>
      <c r="F148" s="1712"/>
      <c r="G148" s="1712"/>
      <c r="H148" s="1712"/>
      <c r="I148" s="1712"/>
      <c r="J148" s="2936"/>
      <c r="K148" s="1712"/>
      <c r="L148" s="1712"/>
      <c r="M148" s="1712"/>
      <c r="N148" s="1712"/>
      <c r="O148" s="1712"/>
      <c r="P148" s="1712"/>
      <c r="Q148" s="1712"/>
      <c r="R148" s="1712"/>
      <c r="S148" s="1712"/>
      <c r="T148" s="1712"/>
      <c r="U148" s="1712"/>
      <c r="V148" s="1712"/>
      <c r="W148" s="1712"/>
      <c r="X148" s="1712"/>
      <c r="Y148" s="1712"/>
      <c r="Z148" s="1712"/>
      <c r="AA148" s="1712"/>
    </row>
    <row r="149" s="2571" customFormat="1" customHeight="1" spans="1:27">
      <c r="A149" s="1712"/>
      <c r="B149" s="2926"/>
      <c r="C149" s="2926"/>
      <c r="D149" s="2926"/>
      <c r="E149" s="2926"/>
      <c r="F149" s="2926"/>
      <c r="G149" s="2926"/>
      <c r="H149" s="2926"/>
      <c r="I149" s="2938" t="s">
        <v>820</v>
      </c>
      <c r="J149" s="2939"/>
      <c r="K149" s="1712"/>
      <c r="L149" s="1712"/>
      <c r="M149" s="1712"/>
      <c r="N149" s="1712"/>
      <c r="O149" s="1712"/>
      <c r="P149" s="1712"/>
      <c r="Q149" s="1712"/>
      <c r="R149" s="1712"/>
      <c r="S149" s="1712"/>
      <c r="T149" s="1712"/>
      <c r="U149" s="1712"/>
      <c r="V149" s="1712"/>
      <c r="W149" s="1712"/>
      <c r="X149" s="1712"/>
      <c r="Y149" s="1712"/>
      <c r="Z149" s="1712"/>
      <c r="AA149" s="1712"/>
    </row>
    <row r="150" s="2571" customFormat="1" customHeight="1" spans="1:27">
      <c r="A150" s="1712"/>
      <c r="B150" s="2927"/>
      <c r="C150" s="2928"/>
      <c r="D150" s="2929"/>
      <c r="E150" s="2929"/>
      <c r="F150" s="2930"/>
      <c r="G150" s="1712"/>
      <c r="H150" s="1712"/>
      <c r="I150" s="1712"/>
      <c r="J150" s="2936"/>
      <c r="K150" s="1712"/>
      <c r="L150" s="1712"/>
      <c r="M150" s="1712"/>
      <c r="N150" s="1712"/>
      <c r="O150" s="1712"/>
      <c r="P150" s="1712"/>
      <c r="Q150" s="1712"/>
      <c r="R150" s="1712"/>
      <c r="S150" s="1712"/>
      <c r="T150" s="1712"/>
      <c r="U150" s="1712"/>
      <c r="V150" s="1712"/>
      <c r="W150" s="1712"/>
      <c r="X150" s="1712"/>
      <c r="Y150" s="1712"/>
      <c r="Z150" s="1712"/>
      <c r="AA150" s="1712"/>
    </row>
    <row r="151" s="1712" customFormat="1" customHeight="1" spans="2:10">
      <c r="B151" s="2927"/>
      <c r="C151" s="2928"/>
      <c r="D151" s="2929"/>
      <c r="E151" s="2929"/>
      <c r="J151" s="2936"/>
    </row>
    <row r="152" s="1712" customFormat="1" customHeight="1" spans="10:10">
      <c r="J152" s="2936"/>
    </row>
    <row r="153" s="1712" customFormat="1" customHeight="1" spans="10:10">
      <c r="J153" s="2936"/>
    </row>
    <row r="154" s="1712" customFormat="1" customHeight="1" spans="10:10">
      <c r="J154" s="2936"/>
    </row>
    <row r="155" s="1712" customFormat="1" customHeight="1" spans="10:10">
      <c r="J155" s="2936"/>
    </row>
    <row r="156" s="1712" customFormat="1" customHeight="1" spans="10:10">
      <c r="J156" s="2936"/>
    </row>
    <row r="157" s="1712" customFormat="1" customHeight="1" spans="10:10">
      <c r="J157" s="2936"/>
    </row>
    <row r="158" s="1712" customFormat="1" customHeight="1" spans="10:10">
      <c r="J158" s="2936"/>
    </row>
    <row r="159" s="1712" customFormat="1" customHeight="1" spans="10:10">
      <c r="J159" s="2936"/>
    </row>
    <row r="160" s="1712" customFormat="1" customHeight="1" spans="10:10">
      <c r="J160" s="2936"/>
    </row>
    <row r="161" s="1712" customFormat="1" customHeight="1" spans="10:10">
      <c r="J161" s="2936"/>
    </row>
    <row r="162" s="1712" customFormat="1" customHeight="1" spans="10:10">
      <c r="J162" s="2936"/>
    </row>
    <row r="163" s="1712" customFormat="1" customHeight="1" spans="10:10">
      <c r="J163" s="2936"/>
    </row>
    <row r="164" s="1712" customFormat="1" customHeight="1" spans="10:10">
      <c r="J164" s="2936"/>
    </row>
    <row r="165" s="1712" customFormat="1" customHeight="1" spans="10:10">
      <c r="J165" s="2936"/>
    </row>
    <row r="166" s="1712" customFormat="1" customHeight="1" spans="10:10">
      <c r="J166" s="2936"/>
    </row>
    <row r="167" s="1712" customFormat="1" customHeight="1" spans="10:10">
      <c r="J167" s="2936"/>
    </row>
    <row r="168" s="1712" customFormat="1" customHeight="1" spans="10:10">
      <c r="J168" s="2936"/>
    </row>
    <row r="169" s="1712" customFormat="1" customHeight="1" spans="10:10">
      <c r="J169" s="2936"/>
    </row>
    <row r="170" s="1712" customFormat="1" customHeight="1" spans="10:10">
      <c r="J170" s="2936"/>
    </row>
    <row r="171" s="1712" customFormat="1" customHeight="1" spans="10:10">
      <c r="J171" s="2936"/>
    </row>
    <row r="172" s="1712" customFormat="1" customHeight="1" spans="10:10">
      <c r="J172" s="2936"/>
    </row>
    <row r="173" s="1712" customFormat="1" customHeight="1" spans="10:10">
      <c r="J173" s="2936"/>
    </row>
    <row r="174" s="1712" customFormat="1" customHeight="1" spans="10:10">
      <c r="J174" s="2936"/>
    </row>
    <row r="175" s="1712" customFormat="1" customHeight="1" spans="10:10">
      <c r="J175" s="2936"/>
    </row>
    <row r="176" s="1712" customFormat="1" customHeight="1" spans="10:10">
      <c r="J176" s="2936"/>
    </row>
    <row r="177" s="1712" customFormat="1" customHeight="1" spans="10:10">
      <c r="J177" s="2936"/>
    </row>
    <row r="178" s="1712" customFormat="1" customHeight="1" spans="10:10">
      <c r="J178" s="2936"/>
    </row>
    <row r="179" s="1712" customFormat="1" customHeight="1" spans="10:10">
      <c r="J179" s="2936"/>
    </row>
    <row r="180" s="1712" customFormat="1" customHeight="1" spans="10:10">
      <c r="J180" s="2936"/>
    </row>
    <row r="181" s="1712" customFormat="1" customHeight="1" spans="10:10">
      <c r="J181" s="2936"/>
    </row>
    <row r="182" s="1712" customFormat="1" customHeight="1" spans="10:10">
      <c r="J182" s="2936"/>
    </row>
    <row r="183" s="1712" customFormat="1" customHeight="1" spans="10:10">
      <c r="J183" s="2936"/>
    </row>
    <row r="184" s="1712" customFormat="1" customHeight="1" spans="10:10">
      <c r="J184" s="2936"/>
    </row>
    <row r="185" s="1712" customFormat="1" customHeight="1" spans="10:10">
      <c r="J185" s="2936"/>
    </row>
    <row r="186" s="1712" customFormat="1" customHeight="1" spans="10:10">
      <c r="J186" s="2936"/>
    </row>
    <row r="187" s="1712" customFormat="1" customHeight="1" spans="10:10">
      <c r="J187" s="2936"/>
    </row>
    <row r="188" s="1712" customFormat="1" customHeight="1" spans="10:10">
      <c r="J188" s="2936"/>
    </row>
    <row r="189" s="1712" customFormat="1" customHeight="1" spans="10:10">
      <c r="J189" s="2936"/>
    </row>
    <row r="190" s="1712" customFormat="1" customHeight="1" spans="10:10">
      <c r="J190" s="2936"/>
    </row>
    <row r="191" s="1712" customFormat="1" customHeight="1" spans="10:10">
      <c r="J191" s="2936"/>
    </row>
    <row r="192" s="1712" customFormat="1" customHeight="1" spans="10:10">
      <c r="J192" s="2936"/>
    </row>
    <row r="193" s="1712" customFormat="1" customHeight="1" spans="10:10">
      <c r="J193" s="2936"/>
    </row>
    <row r="194" s="1712" customFormat="1" customHeight="1" spans="10:10">
      <c r="J194" s="2936"/>
    </row>
    <row r="195" s="1712" customFormat="1" customHeight="1" spans="10:10">
      <c r="J195" s="2936"/>
    </row>
    <row r="196" s="1712" customFormat="1" customHeight="1" spans="10:10">
      <c r="J196" s="2936"/>
    </row>
    <row r="197" s="1712" customFormat="1" customHeight="1" spans="10:10">
      <c r="J197" s="2936"/>
    </row>
    <row r="198" s="1712" customFormat="1" customHeight="1" spans="10:10">
      <c r="J198" s="2936"/>
    </row>
    <row r="199" s="1712" customFormat="1" customHeight="1" spans="10:10">
      <c r="J199" s="2936"/>
    </row>
    <row r="200" s="1712" customFormat="1" customHeight="1" spans="10:10">
      <c r="J200" s="2936"/>
    </row>
    <row r="201" s="1712" customFormat="1" customHeight="1" spans="10:10">
      <c r="J201" s="2936"/>
    </row>
    <row r="202" s="1712" customFormat="1" customHeight="1" spans="10:10">
      <c r="J202" s="2936"/>
    </row>
    <row r="203" s="1712" customFormat="1" customHeight="1" spans="10:10">
      <c r="J203" s="2936"/>
    </row>
    <row r="204" s="1712" customFormat="1" customHeight="1" spans="10:10">
      <c r="J204" s="2936"/>
    </row>
    <row r="205" s="1712" customFormat="1" customHeight="1" spans="10:10">
      <c r="J205" s="2936"/>
    </row>
    <row r="206" s="1712" customFormat="1" customHeight="1" spans="10:10">
      <c r="J206" s="2936"/>
    </row>
    <row r="207" s="1712" customFormat="1" customHeight="1" spans="10:10">
      <c r="J207" s="2936"/>
    </row>
    <row r="208" s="1712" customFormat="1" customHeight="1" spans="10:10">
      <c r="J208" s="2936"/>
    </row>
    <row r="209" s="1712" customFormat="1" customHeight="1" spans="10:10">
      <c r="J209" s="2936"/>
    </row>
    <row r="210" s="1712" customFormat="1" customHeight="1" spans="10:10">
      <c r="J210" s="2936"/>
    </row>
    <row r="211" s="1712" customFormat="1" customHeight="1" spans="10:10">
      <c r="J211" s="2936"/>
    </row>
    <row r="212" s="1712" customFormat="1" customHeight="1" spans="10:10">
      <c r="J212" s="2936"/>
    </row>
    <row r="213" s="1712" customFormat="1" customHeight="1" spans="10:10">
      <c r="J213" s="2936"/>
    </row>
    <row r="214" s="1712" customFormat="1" customHeight="1" spans="10:10">
      <c r="J214" s="2936"/>
    </row>
    <row r="215" s="1712" customFormat="1" customHeight="1" spans="10:10">
      <c r="J215" s="2936"/>
    </row>
    <row r="216" s="1712" customFormat="1" customHeight="1" spans="10:10">
      <c r="J216" s="2936"/>
    </row>
    <row r="217" s="1712" customFormat="1" customHeight="1" spans="10:10">
      <c r="J217" s="2936"/>
    </row>
    <row r="218" s="1712" customFormat="1" customHeight="1" spans="10:10">
      <c r="J218" s="2936"/>
    </row>
    <row r="219" s="1712" customFormat="1" customHeight="1" spans="10:10">
      <c r="J219" s="2936"/>
    </row>
    <row r="220" s="1712" customFormat="1" customHeight="1" spans="10:10">
      <c r="J220" s="2936"/>
    </row>
    <row r="221" s="1712" customFormat="1" customHeight="1" spans="10:10">
      <c r="J221" s="2936"/>
    </row>
    <row r="222" s="1712" customFormat="1" customHeight="1" spans="10:10">
      <c r="J222" s="2936"/>
    </row>
    <row r="223" s="1712" customFormat="1" customHeight="1" spans="10:10">
      <c r="J223" s="2936"/>
    </row>
    <row r="224" s="1712" customFormat="1" customHeight="1" spans="10:10">
      <c r="J224" s="2936"/>
    </row>
    <row r="225" s="1712" customFormat="1" customHeight="1" spans="10:10">
      <c r="J225" s="2936"/>
    </row>
    <row r="226" s="1712" customFormat="1" customHeight="1" spans="10:10">
      <c r="J226" s="2936"/>
    </row>
    <row r="227" s="1712" customFormat="1" customHeight="1" spans="10:10">
      <c r="J227" s="2936"/>
    </row>
    <row r="228" s="1712" customFormat="1" customHeight="1" spans="10:10">
      <c r="J228" s="2936"/>
    </row>
    <row r="229" s="1712" customFormat="1" customHeight="1" spans="10:10">
      <c r="J229" s="2936"/>
    </row>
    <row r="230" s="1712" customFormat="1" customHeight="1" spans="10:10">
      <c r="J230" s="2936"/>
    </row>
    <row r="231" s="1712" customFormat="1" customHeight="1" spans="10:10">
      <c r="J231" s="2936"/>
    </row>
    <row r="232" s="1712" customFormat="1" customHeight="1" spans="10:10">
      <c r="J232" s="2936"/>
    </row>
    <row r="233" s="1712" customFormat="1" customHeight="1" spans="10:10">
      <c r="J233" s="2936"/>
    </row>
    <row r="234" s="1712" customFormat="1" customHeight="1" spans="10:10">
      <c r="J234" s="2936"/>
    </row>
    <row r="235" s="1712" customFormat="1" customHeight="1" spans="10:10">
      <c r="J235" s="2936"/>
    </row>
    <row r="236" s="1712" customFormat="1" customHeight="1" spans="10:10">
      <c r="J236" s="2936"/>
    </row>
    <row r="237" s="1712" customFormat="1" customHeight="1" spans="10:10">
      <c r="J237" s="2936"/>
    </row>
    <row r="238" s="1712" customFormat="1" customHeight="1" spans="10:10">
      <c r="J238" s="2936"/>
    </row>
    <row r="239" s="1712" customFormat="1" customHeight="1" spans="10:10">
      <c r="J239" s="2936"/>
    </row>
    <row r="240" s="1712" customFormat="1" customHeight="1" spans="10:10">
      <c r="J240" s="2936"/>
    </row>
    <row r="241" s="1712" customFormat="1" customHeight="1" spans="10:10">
      <c r="J241" s="2936"/>
    </row>
    <row r="242" s="1712" customFormat="1" customHeight="1" spans="10:10">
      <c r="J242" s="2936"/>
    </row>
    <row r="243" s="1712" customFormat="1" customHeight="1" spans="10:10">
      <c r="J243" s="2936"/>
    </row>
    <row r="244" s="1712" customFormat="1" customHeight="1" spans="10:10">
      <c r="J244" s="2936"/>
    </row>
    <row r="245" s="1712" customFormat="1" customHeight="1" spans="10:10">
      <c r="J245" s="2936"/>
    </row>
    <row r="246" s="1712" customFormat="1" customHeight="1" spans="10:10">
      <c r="J246" s="2936"/>
    </row>
    <row r="247" s="1712" customFormat="1" customHeight="1" spans="10:10">
      <c r="J247" s="2936"/>
    </row>
    <row r="248" s="1712" customFormat="1" customHeight="1" spans="10:10">
      <c r="J248" s="2936"/>
    </row>
    <row r="249" s="1712" customFormat="1" customHeight="1" spans="10:10">
      <c r="J249" s="2936"/>
    </row>
    <row r="250" s="1712" customFormat="1" customHeight="1" spans="10:10">
      <c r="J250" s="2936"/>
    </row>
    <row r="251" s="1712" customFormat="1" customHeight="1" spans="10:10">
      <c r="J251" s="2936"/>
    </row>
    <row r="252" s="1712" customFormat="1" customHeight="1" spans="10:10">
      <c r="J252" s="2936"/>
    </row>
    <row r="253" s="1712" customFormat="1" customHeight="1" spans="10:10">
      <c r="J253" s="2936"/>
    </row>
    <row r="254" s="1712" customFormat="1" customHeight="1" spans="10:10">
      <c r="J254" s="2936"/>
    </row>
    <row r="255" s="1712" customFormat="1" customHeight="1" spans="10:10">
      <c r="J255" s="2936"/>
    </row>
    <row r="256" s="1712" customFormat="1" customHeight="1" spans="10:10">
      <c r="J256" s="2936"/>
    </row>
    <row r="257" s="1712" customFormat="1" customHeight="1" spans="10:10">
      <c r="J257" s="2936"/>
    </row>
    <row r="258" s="1712" customFormat="1" customHeight="1" spans="10:10">
      <c r="J258" s="2936"/>
    </row>
    <row r="259" s="1712" customFormat="1" customHeight="1" spans="10:10">
      <c r="J259" s="2936"/>
    </row>
    <row r="260" s="1712" customFormat="1" customHeight="1" spans="10:10">
      <c r="J260" s="2936"/>
    </row>
    <row r="261" s="1712" customFormat="1" customHeight="1" spans="10:10">
      <c r="J261" s="2936"/>
    </row>
    <row r="262" s="1712" customFormat="1" customHeight="1" spans="10:10">
      <c r="J262" s="2936"/>
    </row>
    <row r="263" s="1712" customFormat="1" customHeight="1" spans="10:10">
      <c r="J263" s="2936"/>
    </row>
    <row r="264" s="1712" customFormat="1" customHeight="1" spans="10:10">
      <c r="J264" s="2936"/>
    </row>
    <row r="265" s="1712" customFormat="1" customHeight="1" spans="10:10">
      <c r="J265" s="2936"/>
    </row>
    <row r="266" s="1712" customFormat="1" customHeight="1" spans="10:10">
      <c r="J266" s="2936"/>
    </row>
    <row r="267" s="1712" customFormat="1" customHeight="1" spans="10:10">
      <c r="J267" s="2936"/>
    </row>
    <row r="268" s="1712" customFormat="1" customHeight="1" spans="10:10">
      <c r="J268" s="2936"/>
    </row>
    <row r="269" s="1712" customFormat="1" customHeight="1" spans="10:10">
      <c r="J269" s="2936"/>
    </row>
    <row r="270" s="1712" customFormat="1" customHeight="1" spans="10:10">
      <c r="J270" s="2936"/>
    </row>
    <row r="271" s="1712" customFormat="1" customHeight="1" spans="10:10">
      <c r="J271" s="2936"/>
    </row>
    <row r="272" s="1712" customFormat="1" customHeight="1" spans="10:10">
      <c r="J272" s="2936"/>
    </row>
    <row r="273" s="1712" customFormat="1" customHeight="1" spans="10:10">
      <c r="J273" s="2936"/>
    </row>
    <row r="274" s="1712" customFormat="1" customHeight="1" spans="10:10">
      <c r="J274" s="2936"/>
    </row>
    <row r="275" s="1712" customFormat="1" customHeight="1" spans="10:10">
      <c r="J275" s="2936"/>
    </row>
    <row r="276" s="1712" customFormat="1" customHeight="1" spans="10:10">
      <c r="J276" s="2936"/>
    </row>
    <row r="277" s="1712" customFormat="1" customHeight="1" spans="10:10">
      <c r="J277" s="2936"/>
    </row>
    <row r="278" s="1712" customFormat="1" customHeight="1" spans="10:10">
      <c r="J278" s="2936"/>
    </row>
    <row r="279" s="1712" customFormat="1" customHeight="1" spans="10:10">
      <c r="J279" s="2936"/>
    </row>
    <row r="280" s="1712" customFormat="1" customHeight="1" spans="10:10">
      <c r="J280" s="2936"/>
    </row>
    <row r="281" s="1712" customFormat="1" customHeight="1" spans="10:10">
      <c r="J281" s="2936"/>
    </row>
    <row r="282" s="1712" customFormat="1" customHeight="1" spans="10:10">
      <c r="J282" s="2936"/>
    </row>
    <row r="283" s="1712" customFormat="1" customHeight="1" spans="10:10">
      <c r="J283" s="2936"/>
    </row>
    <row r="284" s="1712" customFormat="1" customHeight="1" spans="10:10">
      <c r="J284" s="2936"/>
    </row>
    <row r="285" s="1712" customFormat="1" customHeight="1" spans="10:10">
      <c r="J285" s="2936"/>
    </row>
    <row r="286" s="1712" customFormat="1" customHeight="1" spans="10:10">
      <c r="J286" s="2936"/>
    </row>
    <row r="287" s="1712" customFormat="1" customHeight="1" spans="10:10">
      <c r="J287" s="2936"/>
    </row>
    <row r="288" s="1712" customFormat="1" customHeight="1" spans="10:10">
      <c r="J288" s="2936"/>
    </row>
    <row r="289" s="1712" customFormat="1" customHeight="1" spans="10:10">
      <c r="J289" s="2936"/>
    </row>
    <row r="290" s="1712" customFormat="1" customHeight="1" spans="10:10">
      <c r="J290" s="2936"/>
    </row>
    <row r="291" s="1712" customFormat="1" customHeight="1" spans="10:10">
      <c r="J291" s="2936"/>
    </row>
    <row r="292" s="1712" customFormat="1" customHeight="1" spans="10:10">
      <c r="J292" s="2936"/>
    </row>
    <row r="293" s="1712" customFormat="1" customHeight="1" spans="10:10">
      <c r="J293" s="2936"/>
    </row>
    <row r="294" s="1712" customFormat="1" customHeight="1" spans="10:10">
      <c r="J294" s="2936"/>
    </row>
    <row r="295" s="1712" customFormat="1" customHeight="1" spans="10:10">
      <c r="J295" s="2936"/>
    </row>
    <row r="296" s="1712" customFormat="1" customHeight="1" spans="10:10">
      <c r="J296" s="2936"/>
    </row>
    <row r="297" s="1712" customFormat="1" customHeight="1" spans="10:10">
      <c r="J297" s="2936"/>
    </row>
    <row r="298" s="1712" customFormat="1" customHeight="1" spans="10:10">
      <c r="J298" s="2936"/>
    </row>
    <row r="299" s="1712" customFormat="1" customHeight="1" spans="10:10">
      <c r="J299" s="2936"/>
    </row>
    <row r="300" s="1712" customFormat="1" customHeight="1" spans="10:10">
      <c r="J300" s="2936"/>
    </row>
    <row r="301" s="1712" customFormat="1" customHeight="1" spans="10:10">
      <c r="J301" s="2936"/>
    </row>
    <row r="302" s="1712" customFormat="1" customHeight="1" spans="10:10">
      <c r="J302" s="2936"/>
    </row>
    <row r="303" s="1712" customFormat="1" customHeight="1" spans="10:10">
      <c r="J303" s="2936"/>
    </row>
    <row r="304" s="1712" customFormat="1" customHeight="1" spans="10:10">
      <c r="J304" s="2936"/>
    </row>
    <row r="305" s="1712" customFormat="1" customHeight="1" spans="10:10">
      <c r="J305" s="2936"/>
    </row>
    <row r="306" s="1712" customFormat="1" customHeight="1" spans="10:10">
      <c r="J306" s="2936"/>
    </row>
    <row r="307" s="1712" customFormat="1" customHeight="1" spans="10:10">
      <c r="J307" s="2936"/>
    </row>
    <row r="308" s="1712" customFormat="1" customHeight="1" spans="10:10">
      <c r="J308" s="2936"/>
    </row>
    <row r="309" s="1712" customFormat="1" customHeight="1" spans="10:10">
      <c r="J309" s="2936"/>
    </row>
    <row r="310" s="1712" customFormat="1" customHeight="1" spans="10:10">
      <c r="J310" s="2936"/>
    </row>
    <row r="311" s="1712" customFormat="1" customHeight="1" spans="10:10">
      <c r="J311" s="2936"/>
    </row>
    <row r="312" s="1712" customFormat="1" customHeight="1" spans="10:10">
      <c r="J312" s="2936"/>
    </row>
    <row r="313" s="1712" customFormat="1" customHeight="1" spans="10:10">
      <c r="J313" s="2936"/>
    </row>
    <row r="314" s="1712" customFormat="1" customHeight="1" spans="10:10">
      <c r="J314" s="2936"/>
    </row>
    <row r="315" s="1712" customFormat="1" customHeight="1" spans="10:10">
      <c r="J315" s="2936"/>
    </row>
    <row r="316" s="1712" customFormat="1" customHeight="1" spans="10:10">
      <c r="J316" s="2936"/>
    </row>
    <row r="317" s="1712" customFormat="1" customHeight="1" spans="10:10">
      <c r="J317" s="2936"/>
    </row>
    <row r="318" s="1712" customFormat="1" customHeight="1" spans="10:10">
      <c r="J318" s="2936"/>
    </row>
    <row r="319" s="1712" customFormat="1" customHeight="1" spans="10:10">
      <c r="J319" s="2936"/>
    </row>
    <row r="320" s="1712" customFormat="1" customHeight="1" spans="10:10">
      <c r="J320" s="2936"/>
    </row>
    <row r="321" s="1712" customFormat="1" customHeight="1" spans="10:10">
      <c r="J321" s="2936"/>
    </row>
    <row r="322" s="1712" customFormat="1" customHeight="1" spans="10:10">
      <c r="J322" s="2936"/>
    </row>
    <row r="323" s="1712" customFormat="1" customHeight="1" spans="10:10">
      <c r="J323" s="2936"/>
    </row>
    <row r="324" s="1712" customFormat="1" customHeight="1" spans="10:10">
      <c r="J324" s="2936"/>
    </row>
    <row r="325" s="1712" customFormat="1" customHeight="1" spans="10:10">
      <c r="J325" s="2936"/>
    </row>
    <row r="326" s="1712" customFormat="1" customHeight="1" spans="10:10">
      <c r="J326" s="2936"/>
    </row>
    <row r="327" s="1712" customFormat="1" customHeight="1" spans="10:10">
      <c r="J327" s="2936"/>
    </row>
    <row r="328" s="1712" customFormat="1" customHeight="1" spans="10:10">
      <c r="J328" s="2936"/>
    </row>
    <row r="329" s="1712" customFormat="1" customHeight="1" spans="10:10">
      <c r="J329" s="2936"/>
    </row>
    <row r="330" s="1712" customFormat="1" customHeight="1" spans="10:10">
      <c r="J330" s="2936"/>
    </row>
    <row r="331" s="1712" customFormat="1" customHeight="1" spans="10:10">
      <c r="J331" s="2936"/>
    </row>
    <row r="332" s="1712" customFormat="1" customHeight="1" spans="10:10">
      <c r="J332" s="2936"/>
    </row>
    <row r="333" s="1712" customFormat="1" customHeight="1" spans="10:10">
      <c r="J333" s="2936"/>
    </row>
    <row r="334" s="1712" customFormat="1" customHeight="1" spans="10:10">
      <c r="J334" s="2936"/>
    </row>
    <row r="335" s="1712" customFormat="1" customHeight="1" spans="10:10">
      <c r="J335" s="2936"/>
    </row>
    <row r="336" s="1712" customFormat="1" customHeight="1" spans="10:10">
      <c r="J336" s="2936"/>
    </row>
    <row r="337" s="1712" customFormat="1" customHeight="1" spans="10:10">
      <c r="J337" s="2936"/>
    </row>
    <row r="338" s="1712" customFormat="1" customHeight="1" spans="10:10">
      <c r="J338" s="2936"/>
    </row>
    <row r="339" s="1712" customFormat="1" customHeight="1" spans="10:10">
      <c r="J339" s="2936"/>
    </row>
    <row r="340" s="1712" customFormat="1" customHeight="1" spans="10:10">
      <c r="J340" s="2936"/>
    </row>
    <row r="341" s="1712" customFormat="1" customHeight="1" spans="10:10">
      <c r="J341" s="2936"/>
    </row>
    <row r="342" s="1712" customFormat="1" customHeight="1" spans="10:10">
      <c r="J342" s="2936"/>
    </row>
    <row r="343" s="1712" customFormat="1" customHeight="1" spans="10:10">
      <c r="J343" s="2936"/>
    </row>
    <row r="344" s="1712" customFormat="1" customHeight="1" spans="10:10">
      <c r="J344" s="2936"/>
    </row>
    <row r="345" s="1712" customFormat="1" customHeight="1" spans="10:10">
      <c r="J345" s="2936"/>
    </row>
    <row r="346" s="1712" customFormat="1" customHeight="1" spans="10:10">
      <c r="J346" s="2936"/>
    </row>
    <row r="347" s="1712" customFormat="1" customHeight="1" spans="10:10">
      <c r="J347" s="2936"/>
    </row>
    <row r="348" s="1712" customFormat="1" customHeight="1" spans="10:10">
      <c r="J348" s="2936"/>
    </row>
    <row r="349" s="1712" customFormat="1" customHeight="1" spans="10:10">
      <c r="J349" s="2936"/>
    </row>
    <row r="350" s="1712" customFormat="1" customHeight="1" spans="10:10">
      <c r="J350" s="2936"/>
    </row>
    <row r="351" s="1712" customFormat="1" customHeight="1" spans="10:10">
      <c r="J351" s="2936"/>
    </row>
    <row r="352" s="1712" customFormat="1" customHeight="1" spans="10:10">
      <c r="J352" s="2936"/>
    </row>
    <row r="353" s="1712" customFormat="1" customHeight="1" spans="10:10">
      <c r="J353" s="2936"/>
    </row>
    <row r="354" s="1712" customFormat="1" customHeight="1" spans="10:10">
      <c r="J354" s="2936"/>
    </row>
    <row r="355" s="1712" customFormat="1" customHeight="1" spans="10:10">
      <c r="J355" s="2936"/>
    </row>
    <row r="356" s="1712" customFormat="1" customHeight="1" spans="10:10">
      <c r="J356" s="2936"/>
    </row>
    <row r="357" s="1712" customFormat="1" customHeight="1" spans="10:10">
      <c r="J357" s="2936"/>
    </row>
    <row r="358" s="1712" customFormat="1" customHeight="1" spans="10:10">
      <c r="J358" s="2936"/>
    </row>
    <row r="359" s="1712" customFormat="1" customHeight="1" spans="10:10">
      <c r="J359" s="2936"/>
    </row>
    <row r="360" s="1712" customFormat="1" customHeight="1" spans="10:10">
      <c r="J360" s="2936"/>
    </row>
    <row r="361" s="1712" customFormat="1" customHeight="1" spans="10:10">
      <c r="J361" s="2936"/>
    </row>
    <row r="362" s="1712" customFormat="1" customHeight="1" spans="10:10">
      <c r="J362" s="2936"/>
    </row>
    <row r="363" s="1712" customFormat="1" customHeight="1" spans="10:10">
      <c r="J363" s="2936"/>
    </row>
    <row r="364" s="1712" customFormat="1" customHeight="1" spans="10:10">
      <c r="J364" s="2936"/>
    </row>
    <row r="365" s="1712" customFormat="1" customHeight="1" spans="10:10">
      <c r="J365" s="2936"/>
    </row>
    <row r="366" s="1712" customFormat="1" customHeight="1" spans="10:10">
      <c r="J366" s="2936"/>
    </row>
    <row r="367" s="1712" customFormat="1" customHeight="1" spans="10:10">
      <c r="J367" s="2936"/>
    </row>
    <row r="368" s="1712" customFormat="1" customHeight="1" spans="10:10">
      <c r="J368" s="2936"/>
    </row>
    <row r="369" s="1712" customFormat="1" customHeight="1" spans="10:10">
      <c r="J369" s="2936"/>
    </row>
    <row r="370" s="1712" customFormat="1" customHeight="1" spans="10:10">
      <c r="J370" s="2936"/>
    </row>
    <row r="371" s="1712" customFormat="1" customHeight="1" spans="10:10">
      <c r="J371" s="2936"/>
    </row>
    <row r="372" s="1712" customFormat="1" customHeight="1" spans="10:10">
      <c r="J372" s="2936"/>
    </row>
    <row r="373" s="1712" customFormat="1" customHeight="1" spans="10:10">
      <c r="J373" s="2936"/>
    </row>
    <row r="374" s="1712" customFormat="1" customHeight="1" spans="10:10">
      <c r="J374" s="2936"/>
    </row>
    <row r="375" s="1712" customFormat="1" customHeight="1" spans="10:10">
      <c r="J375" s="2936"/>
    </row>
    <row r="376" s="1712" customFormat="1" customHeight="1" spans="10:10">
      <c r="J376" s="2936"/>
    </row>
    <row r="377" s="1712" customFormat="1" customHeight="1" spans="10:10">
      <c r="J377" s="2936"/>
    </row>
    <row r="378" s="1712" customFormat="1" customHeight="1" spans="10:10">
      <c r="J378" s="2936"/>
    </row>
    <row r="379" s="1712" customFormat="1" customHeight="1" spans="10:10">
      <c r="J379" s="2936"/>
    </row>
    <row r="380" s="1712" customFormat="1" customHeight="1" spans="10:10">
      <c r="J380" s="2936"/>
    </row>
    <row r="381" s="1712" customFormat="1" customHeight="1" spans="10:10">
      <c r="J381" s="2936"/>
    </row>
    <row r="382" s="1712" customFormat="1" customHeight="1" spans="10:10">
      <c r="J382" s="2936"/>
    </row>
    <row r="383" s="2571" customFormat="1" customHeight="1" spans="10:27">
      <c r="J383" s="2573"/>
      <c r="K383" s="1712"/>
      <c r="L383" s="1712"/>
      <c r="M383" s="1712"/>
      <c r="N383" s="1712"/>
      <c r="O383" s="1712"/>
      <c r="P383" s="1712"/>
      <c r="Q383" s="1712"/>
      <c r="R383" s="1712"/>
      <c r="S383" s="1712"/>
      <c r="T383" s="1712"/>
      <c r="U383" s="1712"/>
      <c r="V383" s="1712"/>
      <c r="W383" s="1712"/>
      <c r="X383" s="1712"/>
      <c r="Y383" s="1712"/>
      <c r="Z383" s="1712"/>
      <c r="AA383" s="1712"/>
    </row>
    <row r="384" s="2571" customFormat="1" customHeight="1" spans="10:27">
      <c r="J384" s="2573"/>
      <c r="K384" s="1712"/>
      <c r="L384" s="1712"/>
      <c r="M384" s="1712"/>
      <c r="N384" s="1712"/>
      <c r="O384" s="1712"/>
      <c r="P384" s="1712"/>
      <c r="Q384" s="1712"/>
      <c r="R384" s="1712"/>
      <c r="S384" s="1712"/>
      <c r="T384" s="1712"/>
      <c r="U384" s="1712"/>
      <c r="V384" s="1712"/>
      <c r="W384" s="1712"/>
      <c r="X384" s="1712"/>
      <c r="Y384" s="1712"/>
      <c r="Z384" s="1712"/>
      <c r="AA384" s="1712"/>
    </row>
    <row r="385" s="2571" customFormat="1" customHeight="1" spans="10:27">
      <c r="J385" s="2573"/>
      <c r="K385" s="1712"/>
      <c r="L385" s="1712"/>
      <c r="M385" s="1712"/>
      <c r="N385" s="1712"/>
      <c r="O385" s="1712"/>
      <c r="P385" s="1712"/>
      <c r="Q385" s="1712"/>
      <c r="R385" s="1712"/>
      <c r="S385" s="1712"/>
      <c r="T385" s="1712"/>
      <c r="U385" s="1712"/>
      <c r="V385" s="1712"/>
      <c r="W385" s="1712"/>
      <c r="X385" s="1712"/>
      <c r="Y385" s="1712"/>
      <c r="Z385" s="1712"/>
      <c r="AA385" s="1712"/>
    </row>
    <row r="386" s="2571" customFormat="1" customHeight="1" spans="10:27">
      <c r="J386" s="2573"/>
      <c r="K386" s="1712"/>
      <c r="L386" s="1712"/>
      <c r="M386" s="1712"/>
      <c r="N386" s="1712"/>
      <c r="O386" s="1712"/>
      <c r="P386" s="1712"/>
      <c r="Q386" s="1712"/>
      <c r="R386" s="1712"/>
      <c r="S386" s="1712"/>
      <c r="T386" s="1712"/>
      <c r="U386" s="1712"/>
      <c r="V386" s="1712"/>
      <c r="W386" s="1712"/>
      <c r="X386" s="1712"/>
      <c r="Y386" s="1712"/>
      <c r="Z386" s="1712"/>
      <c r="AA386" s="1712"/>
    </row>
    <row r="387" s="2571" customFormat="1" customHeight="1" spans="10:27">
      <c r="J387" s="2573"/>
      <c r="K387" s="1712"/>
      <c r="L387" s="1712"/>
      <c r="M387" s="1712"/>
      <c r="N387" s="1712"/>
      <c r="O387" s="1712"/>
      <c r="P387" s="1712"/>
      <c r="Q387" s="1712"/>
      <c r="R387" s="1712"/>
      <c r="S387" s="1712"/>
      <c r="T387" s="1712"/>
      <c r="U387" s="1712"/>
      <c r="V387" s="1712"/>
      <c r="W387" s="1712"/>
      <c r="X387" s="1712"/>
      <c r="Y387" s="1712"/>
      <c r="Z387" s="1712"/>
      <c r="AA387" s="1712"/>
    </row>
    <row r="388" s="2571" customFormat="1" customHeight="1" spans="10:27">
      <c r="J388" s="2573"/>
      <c r="K388" s="1712"/>
      <c r="L388" s="1712"/>
      <c r="M388" s="1712"/>
      <c r="N388" s="1712"/>
      <c r="O388" s="1712"/>
      <c r="P388" s="1712"/>
      <c r="Q388" s="1712"/>
      <c r="R388" s="1712"/>
      <c r="S388" s="1712"/>
      <c r="T388" s="1712"/>
      <c r="U388" s="1712"/>
      <c r="V388" s="1712"/>
      <c r="W388" s="1712"/>
      <c r="X388" s="1712"/>
      <c r="Y388" s="1712"/>
      <c r="Z388" s="1712"/>
      <c r="AA388" s="1712"/>
    </row>
    <row r="389" s="2571" customFormat="1" customHeight="1" spans="10:27">
      <c r="J389" s="2573"/>
      <c r="K389" s="1712"/>
      <c r="L389" s="1712"/>
      <c r="M389" s="1712"/>
      <c r="N389" s="1712"/>
      <c r="O389" s="1712"/>
      <c r="P389" s="1712"/>
      <c r="Q389" s="1712"/>
      <c r="R389" s="1712"/>
      <c r="S389" s="1712"/>
      <c r="T389" s="1712"/>
      <c r="U389" s="1712"/>
      <c r="V389" s="1712"/>
      <c r="W389" s="1712"/>
      <c r="X389" s="1712"/>
      <c r="Y389" s="1712"/>
      <c r="Z389" s="1712"/>
      <c r="AA389" s="1712"/>
    </row>
    <row r="390" s="2571" customFormat="1" customHeight="1" spans="10:27">
      <c r="J390" s="2573"/>
      <c r="K390" s="1712"/>
      <c r="L390" s="1712"/>
      <c r="M390" s="1712"/>
      <c r="N390" s="1712"/>
      <c r="O390" s="1712"/>
      <c r="P390" s="1712"/>
      <c r="Q390" s="1712"/>
      <c r="R390" s="1712"/>
      <c r="S390" s="1712"/>
      <c r="T390" s="1712"/>
      <c r="U390" s="1712"/>
      <c r="V390" s="1712"/>
      <c r="W390" s="1712"/>
      <c r="X390" s="1712"/>
      <c r="Y390" s="1712"/>
      <c r="Z390" s="1712"/>
      <c r="AA390" s="1712"/>
    </row>
    <row r="391" s="2571" customFormat="1" customHeight="1" spans="10:27">
      <c r="J391" s="2573"/>
      <c r="K391" s="1712"/>
      <c r="L391" s="1712"/>
      <c r="M391" s="1712"/>
      <c r="N391" s="1712"/>
      <c r="O391" s="1712"/>
      <c r="P391" s="1712"/>
      <c r="Q391" s="1712"/>
      <c r="R391" s="1712"/>
      <c r="S391" s="1712"/>
      <c r="T391" s="1712"/>
      <c r="U391" s="1712"/>
      <c r="V391" s="1712"/>
      <c r="W391" s="1712"/>
      <c r="X391" s="1712"/>
      <c r="Y391" s="1712"/>
      <c r="Z391" s="1712"/>
      <c r="AA391" s="1712"/>
    </row>
    <row r="392" s="2571" customFormat="1" customHeight="1" spans="10:27">
      <c r="J392" s="2573"/>
      <c r="K392" s="1712"/>
      <c r="L392" s="1712"/>
      <c r="M392" s="1712"/>
      <c r="N392" s="1712"/>
      <c r="O392" s="1712"/>
      <c r="P392" s="1712"/>
      <c r="Q392" s="1712"/>
      <c r="R392" s="1712"/>
      <c r="S392" s="1712"/>
      <c r="T392" s="1712"/>
      <c r="U392" s="1712"/>
      <c r="V392" s="1712"/>
      <c r="W392" s="1712"/>
      <c r="X392" s="1712"/>
      <c r="Y392" s="1712"/>
      <c r="Z392" s="1712"/>
      <c r="AA392" s="1712"/>
    </row>
    <row r="393" s="2571" customFormat="1" customHeight="1" spans="10:27">
      <c r="J393" s="2573"/>
      <c r="K393" s="1712"/>
      <c r="L393" s="1712"/>
      <c r="M393" s="1712"/>
      <c r="N393" s="1712"/>
      <c r="O393" s="1712"/>
      <c r="P393" s="1712"/>
      <c r="Q393" s="1712"/>
      <c r="R393" s="1712"/>
      <c r="S393" s="1712"/>
      <c r="T393" s="1712"/>
      <c r="U393" s="1712"/>
      <c r="V393" s="1712"/>
      <c r="W393" s="1712"/>
      <c r="X393" s="1712"/>
      <c r="Y393" s="1712"/>
      <c r="Z393" s="1712"/>
      <c r="AA393" s="1712"/>
    </row>
    <row r="394" s="2571" customFormat="1" customHeight="1" spans="10:27">
      <c r="J394" s="2573"/>
      <c r="K394" s="1712"/>
      <c r="L394" s="1712"/>
      <c r="M394" s="1712"/>
      <c r="N394" s="1712"/>
      <c r="O394" s="1712"/>
      <c r="P394" s="1712"/>
      <c r="Q394" s="1712"/>
      <c r="R394" s="1712"/>
      <c r="S394" s="1712"/>
      <c r="T394" s="1712"/>
      <c r="U394" s="1712"/>
      <c r="V394" s="1712"/>
      <c r="W394" s="1712"/>
      <c r="X394" s="1712"/>
      <c r="Y394" s="1712"/>
      <c r="Z394" s="1712"/>
      <c r="AA394" s="1712"/>
    </row>
    <row r="395" s="2571" customFormat="1" customHeight="1" spans="10:27">
      <c r="J395" s="2573"/>
      <c r="K395" s="1712"/>
      <c r="L395" s="1712"/>
      <c r="M395" s="1712"/>
      <c r="N395" s="1712"/>
      <c r="O395" s="1712"/>
      <c r="P395" s="1712"/>
      <c r="Q395" s="1712"/>
      <c r="R395" s="1712"/>
      <c r="S395" s="1712"/>
      <c r="T395" s="1712"/>
      <c r="U395" s="1712"/>
      <c r="V395" s="1712"/>
      <c r="W395" s="1712"/>
      <c r="X395" s="1712"/>
      <c r="Y395" s="1712"/>
      <c r="Z395" s="1712"/>
      <c r="AA395" s="1712"/>
    </row>
    <row r="396" s="2571" customFormat="1" customHeight="1" spans="10:27">
      <c r="J396" s="2573"/>
      <c r="K396" s="1712"/>
      <c r="L396" s="1712"/>
      <c r="M396" s="1712"/>
      <c r="N396" s="1712"/>
      <c r="O396" s="1712"/>
      <c r="P396" s="1712"/>
      <c r="Q396" s="1712"/>
      <c r="R396" s="1712"/>
      <c r="S396" s="1712"/>
      <c r="T396" s="1712"/>
      <c r="U396" s="1712"/>
      <c r="V396" s="1712"/>
      <c r="W396" s="1712"/>
      <c r="X396" s="1712"/>
      <c r="Y396" s="1712"/>
      <c r="Z396" s="1712"/>
      <c r="AA396" s="1712"/>
    </row>
    <row r="397" s="2571" customFormat="1" customHeight="1" spans="10:27">
      <c r="J397" s="2573"/>
      <c r="K397" s="1712"/>
      <c r="L397" s="1712"/>
      <c r="M397" s="1712"/>
      <c r="N397" s="1712"/>
      <c r="O397" s="1712"/>
      <c r="P397" s="1712"/>
      <c r="Q397" s="1712"/>
      <c r="R397" s="1712"/>
      <c r="S397" s="1712"/>
      <c r="T397" s="1712"/>
      <c r="U397" s="1712"/>
      <c r="V397" s="1712"/>
      <c r="W397" s="1712"/>
      <c r="X397" s="1712"/>
      <c r="Y397" s="1712"/>
      <c r="Z397" s="1712"/>
      <c r="AA397" s="1712"/>
    </row>
    <row r="398" s="2571" customFormat="1" customHeight="1" spans="10:27">
      <c r="J398" s="2573"/>
      <c r="K398" s="1712"/>
      <c r="L398" s="1712"/>
      <c r="M398" s="1712"/>
      <c r="N398" s="1712"/>
      <c r="O398" s="1712"/>
      <c r="P398" s="1712"/>
      <c r="Q398" s="1712"/>
      <c r="R398" s="1712"/>
      <c r="S398" s="1712"/>
      <c r="T398" s="1712"/>
      <c r="U398" s="1712"/>
      <c r="V398" s="1712"/>
      <c r="W398" s="1712"/>
      <c r="X398" s="1712"/>
      <c r="Y398" s="1712"/>
      <c r="Z398" s="1712"/>
      <c r="AA398" s="1712"/>
    </row>
    <row r="399" s="2571" customFormat="1" customHeight="1" spans="10:27">
      <c r="J399" s="2573"/>
      <c r="K399" s="1712"/>
      <c r="L399" s="1712"/>
      <c r="M399" s="1712"/>
      <c r="N399" s="1712"/>
      <c r="O399" s="1712"/>
      <c r="P399" s="1712"/>
      <c r="Q399" s="1712"/>
      <c r="R399" s="1712"/>
      <c r="S399" s="1712"/>
      <c r="T399" s="1712"/>
      <c r="U399" s="1712"/>
      <c r="V399" s="1712"/>
      <c r="W399" s="1712"/>
      <c r="X399" s="1712"/>
      <c r="Y399" s="1712"/>
      <c r="Z399" s="1712"/>
      <c r="AA399" s="1712"/>
    </row>
    <row r="400" s="2571" customFormat="1" customHeight="1" spans="10:27">
      <c r="J400" s="2573"/>
      <c r="K400" s="1712"/>
      <c r="L400" s="1712"/>
      <c r="M400" s="1712"/>
      <c r="N400" s="1712"/>
      <c r="O400" s="1712"/>
      <c r="P400" s="1712"/>
      <c r="Q400" s="1712"/>
      <c r="R400" s="1712"/>
      <c r="S400" s="1712"/>
      <c r="T400" s="1712"/>
      <c r="U400" s="1712"/>
      <c r="V400" s="1712"/>
      <c r="W400" s="1712"/>
      <c r="X400" s="1712"/>
      <c r="Y400" s="1712"/>
      <c r="Z400" s="1712"/>
      <c r="AA400" s="1712"/>
    </row>
    <row r="401" s="2571" customFormat="1" customHeight="1" spans="10:27">
      <c r="J401" s="2573"/>
      <c r="K401" s="1712"/>
      <c r="L401" s="1712"/>
      <c r="M401" s="1712"/>
      <c r="N401" s="1712"/>
      <c r="O401" s="1712"/>
      <c r="P401" s="1712"/>
      <c r="Q401" s="1712"/>
      <c r="R401" s="1712"/>
      <c r="S401" s="1712"/>
      <c r="T401" s="1712"/>
      <c r="U401" s="1712"/>
      <c r="V401" s="1712"/>
      <c r="W401" s="1712"/>
      <c r="X401" s="1712"/>
      <c r="Y401" s="1712"/>
      <c r="Z401" s="1712"/>
      <c r="AA401" s="1712"/>
    </row>
    <row r="402" s="2571" customFormat="1" customHeight="1" spans="10:27">
      <c r="J402" s="2573"/>
      <c r="K402" s="1712"/>
      <c r="L402" s="1712"/>
      <c r="M402" s="1712"/>
      <c r="N402" s="1712"/>
      <c r="O402" s="1712"/>
      <c r="P402" s="1712"/>
      <c r="Q402" s="1712"/>
      <c r="R402" s="1712"/>
      <c r="S402" s="1712"/>
      <c r="T402" s="1712"/>
      <c r="U402" s="1712"/>
      <c r="V402" s="1712"/>
      <c r="W402" s="1712"/>
      <c r="X402" s="1712"/>
      <c r="Y402" s="1712"/>
      <c r="Z402" s="1712"/>
      <c r="AA402" s="1712"/>
    </row>
    <row r="403" s="2571" customFormat="1" customHeight="1" spans="10:27">
      <c r="J403" s="2573"/>
      <c r="K403" s="1712"/>
      <c r="L403" s="1712"/>
      <c r="M403" s="1712"/>
      <c r="N403" s="1712"/>
      <c r="O403" s="1712"/>
      <c r="P403" s="1712"/>
      <c r="Q403" s="1712"/>
      <c r="R403" s="1712"/>
      <c r="S403" s="1712"/>
      <c r="T403" s="1712"/>
      <c r="U403" s="1712"/>
      <c r="V403" s="1712"/>
      <c r="W403" s="1712"/>
      <c r="X403" s="1712"/>
      <c r="Y403" s="1712"/>
      <c r="Z403" s="1712"/>
      <c r="AA403" s="1712"/>
    </row>
    <row r="404" s="2571" customFormat="1" customHeight="1" spans="10:27">
      <c r="J404" s="2573"/>
      <c r="K404" s="1712"/>
      <c r="L404" s="1712"/>
      <c r="M404" s="1712"/>
      <c r="N404" s="1712"/>
      <c r="O404" s="1712"/>
      <c r="P404" s="1712"/>
      <c r="Q404" s="1712"/>
      <c r="R404" s="1712"/>
      <c r="S404" s="1712"/>
      <c r="T404" s="1712"/>
      <c r="U404" s="1712"/>
      <c r="V404" s="1712"/>
      <c r="W404" s="1712"/>
      <c r="X404" s="1712"/>
      <c r="Y404" s="1712"/>
      <c r="Z404" s="1712"/>
      <c r="AA404" s="1712"/>
    </row>
    <row r="405" s="2571" customFormat="1" customHeight="1" spans="10:27">
      <c r="J405" s="2573"/>
      <c r="K405" s="1712"/>
      <c r="L405" s="1712"/>
      <c r="M405" s="1712"/>
      <c r="N405" s="1712"/>
      <c r="O405" s="1712"/>
      <c r="P405" s="1712"/>
      <c r="Q405" s="1712"/>
      <c r="R405" s="1712"/>
      <c r="S405" s="1712"/>
      <c r="T405" s="1712"/>
      <c r="U405" s="1712"/>
      <c r="V405" s="1712"/>
      <c r="W405" s="1712"/>
      <c r="X405" s="1712"/>
      <c r="Y405" s="1712"/>
      <c r="Z405" s="1712"/>
      <c r="AA405" s="1712"/>
    </row>
    <row r="406" s="2571" customFormat="1" customHeight="1" spans="10:27">
      <c r="J406" s="2573"/>
      <c r="K406" s="1712"/>
      <c r="L406" s="1712"/>
      <c r="M406" s="1712"/>
      <c r="N406" s="1712"/>
      <c r="O406" s="1712"/>
      <c r="P406" s="1712"/>
      <c r="Q406" s="1712"/>
      <c r="R406" s="1712"/>
      <c r="S406" s="1712"/>
      <c r="T406" s="1712"/>
      <c r="U406" s="1712"/>
      <c r="V406" s="1712"/>
      <c r="W406" s="1712"/>
      <c r="X406" s="1712"/>
      <c r="Y406" s="1712"/>
      <c r="Z406" s="1712"/>
      <c r="AA406" s="1712"/>
    </row>
    <row r="407" s="2571" customFormat="1" customHeight="1" spans="10:27">
      <c r="J407" s="2573"/>
      <c r="K407" s="1712"/>
      <c r="L407" s="1712"/>
      <c r="M407" s="1712"/>
      <c r="N407" s="1712"/>
      <c r="O407" s="1712"/>
      <c r="P407" s="1712"/>
      <c r="Q407" s="1712"/>
      <c r="R407" s="1712"/>
      <c r="S407" s="1712"/>
      <c r="T407" s="1712"/>
      <c r="U407" s="1712"/>
      <c r="V407" s="1712"/>
      <c r="W407" s="1712"/>
      <c r="X407" s="1712"/>
      <c r="Y407" s="1712"/>
      <c r="Z407" s="1712"/>
      <c r="AA407" s="1712"/>
    </row>
    <row r="408" s="2571" customFormat="1" customHeight="1" spans="10:27">
      <c r="J408" s="2573"/>
      <c r="K408" s="1712"/>
      <c r="L408" s="1712"/>
      <c r="M408" s="1712"/>
      <c r="N408" s="1712"/>
      <c r="O408" s="1712"/>
      <c r="P408" s="1712"/>
      <c r="Q408" s="1712"/>
      <c r="R408" s="1712"/>
      <c r="S408" s="1712"/>
      <c r="T408" s="1712"/>
      <c r="U408" s="1712"/>
      <c r="V408" s="1712"/>
      <c r="W408" s="1712"/>
      <c r="X408" s="1712"/>
      <c r="Y408" s="1712"/>
      <c r="Z408" s="1712"/>
      <c r="AA408" s="1712"/>
    </row>
    <row r="409" s="2571" customFormat="1" customHeight="1" spans="10:27">
      <c r="J409" s="2573"/>
      <c r="K409" s="1712"/>
      <c r="L409" s="1712"/>
      <c r="M409" s="1712"/>
      <c r="N409" s="1712"/>
      <c r="O409" s="1712"/>
      <c r="P409" s="1712"/>
      <c r="Q409" s="1712"/>
      <c r="R409" s="1712"/>
      <c r="S409" s="1712"/>
      <c r="T409" s="1712"/>
      <c r="U409" s="1712"/>
      <c r="V409" s="1712"/>
      <c r="W409" s="1712"/>
      <c r="X409" s="1712"/>
      <c r="Y409" s="1712"/>
      <c r="Z409" s="1712"/>
      <c r="AA409" s="1712"/>
    </row>
    <row r="410" s="2571" customFormat="1" customHeight="1" spans="10:27">
      <c r="J410" s="2573"/>
      <c r="K410" s="1712"/>
      <c r="L410" s="1712"/>
      <c r="M410" s="1712"/>
      <c r="N410" s="1712"/>
      <c r="O410" s="1712"/>
      <c r="P410" s="1712"/>
      <c r="Q410" s="1712"/>
      <c r="R410" s="1712"/>
      <c r="S410" s="1712"/>
      <c r="T410" s="1712"/>
      <c r="U410" s="1712"/>
      <c r="V410" s="1712"/>
      <c r="W410" s="1712"/>
      <c r="X410" s="1712"/>
      <c r="Y410" s="1712"/>
      <c r="Z410" s="1712"/>
      <c r="AA410" s="1712"/>
    </row>
    <row r="411" s="2571" customFormat="1" customHeight="1" spans="10:27">
      <c r="J411" s="2573"/>
      <c r="K411" s="1712"/>
      <c r="L411" s="1712"/>
      <c r="M411" s="1712"/>
      <c r="N411" s="1712"/>
      <c r="O411" s="1712"/>
      <c r="P411" s="1712"/>
      <c r="Q411" s="1712"/>
      <c r="R411" s="1712"/>
      <c r="S411" s="1712"/>
      <c r="T411" s="1712"/>
      <c r="U411" s="1712"/>
      <c r="V411" s="1712"/>
      <c r="W411" s="1712"/>
      <c r="X411" s="1712"/>
      <c r="Y411" s="1712"/>
      <c r="Z411" s="1712"/>
      <c r="AA411" s="1712"/>
    </row>
    <row r="412" s="2571" customFormat="1" customHeight="1" spans="10:27">
      <c r="J412" s="2573"/>
      <c r="K412" s="1712"/>
      <c r="L412" s="1712"/>
      <c r="M412" s="1712"/>
      <c r="N412" s="1712"/>
      <c r="O412" s="1712"/>
      <c r="P412" s="1712"/>
      <c r="Q412" s="1712"/>
      <c r="R412" s="1712"/>
      <c r="S412" s="1712"/>
      <c r="T412" s="1712"/>
      <c r="U412" s="1712"/>
      <c r="V412" s="1712"/>
      <c r="W412" s="1712"/>
      <c r="X412" s="1712"/>
      <c r="Y412" s="1712"/>
      <c r="Z412" s="1712"/>
      <c r="AA412" s="1712"/>
    </row>
    <row r="413" s="2571" customFormat="1" customHeight="1" spans="10:27">
      <c r="J413" s="2573"/>
      <c r="K413" s="1712"/>
      <c r="L413" s="1712"/>
      <c r="M413" s="1712"/>
      <c r="N413" s="1712"/>
      <c r="O413" s="1712"/>
      <c r="P413" s="1712"/>
      <c r="Q413" s="1712"/>
      <c r="R413" s="1712"/>
      <c r="S413" s="1712"/>
      <c r="T413" s="1712"/>
      <c r="U413" s="1712"/>
      <c r="V413" s="1712"/>
      <c r="W413" s="1712"/>
      <c r="X413" s="1712"/>
      <c r="Y413" s="1712"/>
      <c r="Z413" s="1712"/>
      <c r="AA413" s="1712"/>
    </row>
    <row r="414" s="2571" customFormat="1" customHeight="1" spans="10:27">
      <c r="J414" s="2573"/>
      <c r="K414" s="1712"/>
      <c r="L414" s="1712"/>
      <c r="M414" s="1712"/>
      <c r="N414" s="1712"/>
      <c r="O414" s="1712"/>
      <c r="P414" s="1712"/>
      <c r="Q414" s="1712"/>
      <c r="R414" s="1712"/>
      <c r="S414" s="1712"/>
      <c r="T414" s="1712"/>
      <c r="U414" s="1712"/>
      <c r="V414" s="1712"/>
      <c r="W414" s="1712"/>
      <c r="X414" s="1712"/>
      <c r="Y414" s="1712"/>
      <c r="Z414" s="1712"/>
      <c r="AA414" s="1712"/>
    </row>
    <row r="415" s="2571" customFormat="1" customHeight="1" spans="10:27">
      <c r="J415" s="2573"/>
      <c r="K415" s="1712"/>
      <c r="L415" s="1712"/>
      <c r="M415" s="1712"/>
      <c r="N415" s="1712"/>
      <c r="O415" s="1712"/>
      <c r="P415" s="1712"/>
      <c r="Q415" s="1712"/>
      <c r="R415" s="1712"/>
      <c r="S415" s="1712"/>
      <c r="T415" s="1712"/>
      <c r="U415" s="1712"/>
      <c r="V415" s="1712"/>
      <c r="W415" s="1712"/>
      <c r="X415" s="1712"/>
      <c r="Y415" s="1712"/>
      <c r="Z415" s="1712"/>
      <c r="AA415" s="1712"/>
    </row>
    <row r="416" s="2571" customFormat="1" customHeight="1" spans="10:27">
      <c r="J416" s="2573"/>
      <c r="K416" s="1712"/>
      <c r="L416" s="1712"/>
      <c r="M416" s="1712"/>
      <c r="N416" s="1712"/>
      <c r="O416" s="1712"/>
      <c r="P416" s="1712"/>
      <c r="Q416" s="1712"/>
      <c r="R416" s="1712"/>
      <c r="S416" s="1712"/>
      <c r="T416" s="1712"/>
      <c r="U416" s="1712"/>
      <c r="V416" s="1712"/>
      <c r="W416" s="1712"/>
      <c r="X416" s="1712"/>
      <c r="Y416" s="1712"/>
      <c r="Z416" s="1712"/>
      <c r="AA416" s="1712"/>
    </row>
    <row r="417" s="2571" customFormat="1" customHeight="1" spans="10:27">
      <c r="J417" s="2573"/>
      <c r="K417" s="1712"/>
      <c r="L417" s="1712"/>
      <c r="M417" s="1712"/>
      <c r="N417" s="1712"/>
      <c r="O417" s="1712"/>
      <c r="P417" s="1712"/>
      <c r="Q417" s="1712"/>
      <c r="R417" s="1712"/>
      <c r="S417" s="1712"/>
      <c r="T417" s="1712"/>
      <c r="U417" s="1712"/>
      <c r="V417" s="1712"/>
      <c r="W417" s="1712"/>
      <c r="X417" s="1712"/>
      <c r="Y417" s="1712"/>
      <c r="Z417" s="1712"/>
      <c r="AA417" s="1712"/>
    </row>
    <row r="418" s="2571" customFormat="1" customHeight="1" spans="10:27">
      <c r="J418" s="2573"/>
      <c r="K418" s="1712"/>
      <c r="L418" s="1712"/>
      <c r="M418" s="1712"/>
      <c r="N418" s="1712"/>
      <c r="O418" s="1712"/>
      <c r="P418" s="1712"/>
      <c r="Q418" s="1712"/>
      <c r="R418" s="1712"/>
      <c r="S418" s="1712"/>
      <c r="T418" s="1712"/>
      <c r="U418" s="1712"/>
      <c r="V418" s="1712"/>
      <c r="W418" s="1712"/>
      <c r="X418" s="1712"/>
      <c r="Y418" s="1712"/>
      <c r="Z418" s="1712"/>
      <c r="AA418" s="1712"/>
    </row>
    <row r="419" s="2571" customFormat="1" customHeight="1" spans="10:27">
      <c r="J419" s="2573"/>
      <c r="K419" s="1712"/>
      <c r="L419" s="1712"/>
      <c r="M419" s="1712"/>
      <c r="N419" s="1712"/>
      <c r="O419" s="1712"/>
      <c r="P419" s="1712"/>
      <c r="Q419" s="1712"/>
      <c r="R419" s="1712"/>
      <c r="S419" s="1712"/>
      <c r="T419" s="1712"/>
      <c r="U419" s="1712"/>
      <c r="V419" s="1712"/>
      <c r="W419" s="1712"/>
      <c r="X419" s="1712"/>
      <c r="Y419" s="1712"/>
      <c r="Z419" s="1712"/>
      <c r="AA419" s="1712"/>
    </row>
    <row r="420" s="2571" customFormat="1" customHeight="1" spans="10:27">
      <c r="J420" s="2573"/>
      <c r="K420" s="1712"/>
      <c r="L420" s="1712"/>
      <c r="M420" s="1712"/>
      <c r="N420" s="1712"/>
      <c r="O420" s="1712"/>
      <c r="P420" s="1712"/>
      <c r="Q420" s="1712"/>
      <c r="R420" s="1712"/>
      <c r="S420" s="1712"/>
      <c r="T420" s="1712"/>
      <c r="U420" s="1712"/>
      <c r="V420" s="1712"/>
      <c r="W420" s="1712"/>
      <c r="X420" s="1712"/>
      <c r="Y420" s="1712"/>
      <c r="Z420" s="1712"/>
      <c r="AA420" s="1712"/>
    </row>
    <row r="421" s="2571" customFormat="1" customHeight="1" spans="10:27">
      <c r="J421" s="2573"/>
      <c r="K421" s="1712"/>
      <c r="L421" s="1712"/>
      <c r="M421" s="1712"/>
      <c r="N421" s="1712"/>
      <c r="O421" s="1712"/>
      <c r="P421" s="1712"/>
      <c r="Q421" s="1712"/>
      <c r="R421" s="1712"/>
      <c r="S421" s="1712"/>
      <c r="T421" s="1712"/>
      <c r="U421" s="1712"/>
      <c r="V421" s="1712"/>
      <c r="W421" s="1712"/>
      <c r="X421" s="1712"/>
      <c r="Y421" s="1712"/>
      <c r="Z421" s="1712"/>
      <c r="AA421" s="1712"/>
    </row>
    <row r="422" s="2571" customFormat="1" customHeight="1" spans="10:27">
      <c r="J422" s="2573"/>
      <c r="K422" s="1712"/>
      <c r="L422" s="1712"/>
      <c r="M422" s="1712"/>
      <c r="N422" s="1712"/>
      <c r="O422" s="1712"/>
      <c r="P422" s="1712"/>
      <c r="Q422" s="1712"/>
      <c r="R422" s="1712"/>
      <c r="S422" s="1712"/>
      <c r="T422" s="1712"/>
      <c r="U422" s="1712"/>
      <c r="V422" s="1712"/>
      <c r="W422" s="1712"/>
      <c r="X422" s="1712"/>
      <c r="Y422" s="1712"/>
      <c r="Z422" s="1712"/>
      <c r="AA422" s="1712"/>
    </row>
    <row r="423" s="2571" customFormat="1" customHeight="1" spans="10:27">
      <c r="J423" s="2573"/>
      <c r="K423" s="1712"/>
      <c r="L423" s="1712"/>
      <c r="M423" s="1712"/>
      <c r="N423" s="1712"/>
      <c r="O423" s="1712"/>
      <c r="P423" s="1712"/>
      <c r="Q423" s="1712"/>
      <c r="R423" s="1712"/>
      <c r="S423" s="1712"/>
      <c r="T423" s="1712"/>
      <c r="U423" s="1712"/>
      <c r="V423" s="1712"/>
      <c r="W423" s="1712"/>
      <c r="X423" s="1712"/>
      <c r="Y423" s="1712"/>
      <c r="Z423" s="1712"/>
      <c r="AA423" s="1712"/>
    </row>
    <row r="424" s="2571" customFormat="1" customHeight="1" spans="10:27">
      <c r="J424" s="2573"/>
      <c r="K424" s="1712"/>
      <c r="L424" s="1712"/>
      <c r="M424" s="1712"/>
      <c r="N424" s="1712"/>
      <c r="O424" s="1712"/>
      <c r="P424" s="1712"/>
      <c r="Q424" s="1712"/>
      <c r="R424" s="1712"/>
      <c r="S424" s="1712"/>
      <c r="T424" s="1712"/>
      <c r="U424" s="1712"/>
      <c r="V424" s="1712"/>
      <c r="W424" s="1712"/>
      <c r="X424" s="1712"/>
      <c r="Y424" s="1712"/>
      <c r="Z424" s="1712"/>
      <c r="AA424" s="1712"/>
    </row>
    <row r="425" s="2571" customFormat="1" customHeight="1" spans="10:27">
      <c r="J425" s="2573"/>
      <c r="K425" s="1712"/>
      <c r="L425" s="1712"/>
      <c r="M425" s="1712"/>
      <c r="N425" s="1712"/>
      <c r="O425" s="1712"/>
      <c r="P425" s="1712"/>
      <c r="Q425" s="1712"/>
      <c r="R425" s="1712"/>
      <c r="S425" s="1712"/>
      <c r="T425" s="1712"/>
      <c r="U425" s="1712"/>
      <c r="V425" s="1712"/>
      <c r="W425" s="1712"/>
      <c r="X425" s="1712"/>
      <c r="Y425" s="1712"/>
      <c r="Z425" s="1712"/>
      <c r="AA425" s="1712"/>
    </row>
    <row r="426" s="2571" customFormat="1" customHeight="1" spans="10:27">
      <c r="J426" s="2573"/>
      <c r="K426" s="1712"/>
      <c r="L426" s="1712"/>
      <c r="M426" s="1712"/>
      <c r="N426" s="1712"/>
      <c r="O426" s="1712"/>
      <c r="P426" s="1712"/>
      <c r="Q426" s="1712"/>
      <c r="R426" s="1712"/>
      <c r="S426" s="1712"/>
      <c r="T426" s="1712"/>
      <c r="U426" s="1712"/>
      <c r="V426" s="1712"/>
      <c r="W426" s="1712"/>
      <c r="X426" s="1712"/>
      <c r="Y426" s="1712"/>
      <c r="Z426" s="1712"/>
      <c r="AA426" s="1712"/>
    </row>
    <row r="427" s="2571" customFormat="1" customHeight="1" spans="10:27">
      <c r="J427" s="2573"/>
      <c r="K427" s="1712"/>
      <c r="L427" s="1712"/>
      <c r="M427" s="1712"/>
      <c r="N427" s="1712"/>
      <c r="O427" s="1712"/>
      <c r="P427" s="1712"/>
      <c r="Q427" s="1712"/>
      <c r="R427" s="1712"/>
      <c r="S427" s="1712"/>
      <c r="T427" s="1712"/>
      <c r="U427" s="1712"/>
      <c r="V427" s="1712"/>
      <c r="W427" s="1712"/>
      <c r="X427" s="1712"/>
      <c r="Y427" s="1712"/>
      <c r="Z427" s="1712"/>
      <c r="AA427" s="1712"/>
    </row>
    <row r="428" s="2571" customFormat="1" customHeight="1" spans="10:27">
      <c r="J428" s="2573"/>
      <c r="K428" s="1712"/>
      <c r="L428" s="1712"/>
      <c r="M428" s="1712"/>
      <c r="N428" s="1712"/>
      <c r="O428" s="1712"/>
      <c r="P428" s="1712"/>
      <c r="Q428" s="1712"/>
      <c r="R428" s="1712"/>
      <c r="S428" s="1712"/>
      <c r="T428" s="1712"/>
      <c r="U428" s="1712"/>
      <c r="V428" s="1712"/>
      <c r="W428" s="1712"/>
      <c r="X428" s="1712"/>
      <c r="Y428" s="1712"/>
      <c r="Z428" s="1712"/>
      <c r="AA428" s="1712"/>
    </row>
    <row r="429" s="2571" customFormat="1" customHeight="1" spans="10:27">
      <c r="J429" s="2573"/>
      <c r="K429" s="1712"/>
      <c r="L429" s="1712"/>
      <c r="M429" s="1712"/>
      <c r="N429" s="1712"/>
      <c r="O429" s="1712"/>
      <c r="P429" s="1712"/>
      <c r="Q429" s="1712"/>
      <c r="R429" s="1712"/>
      <c r="S429" s="1712"/>
      <c r="T429" s="1712"/>
      <c r="U429" s="1712"/>
      <c r="V429" s="1712"/>
      <c r="W429" s="1712"/>
      <c r="X429" s="1712"/>
      <c r="Y429" s="1712"/>
      <c r="Z429" s="1712"/>
      <c r="AA429" s="1712"/>
    </row>
    <row r="430" s="2571" customFormat="1" customHeight="1" spans="10:27">
      <c r="J430" s="2573"/>
      <c r="K430" s="1712"/>
      <c r="L430" s="1712"/>
      <c r="M430" s="1712"/>
      <c r="N430" s="1712"/>
      <c r="O430" s="1712"/>
      <c r="P430" s="1712"/>
      <c r="Q430" s="1712"/>
      <c r="R430" s="1712"/>
      <c r="S430" s="1712"/>
      <c r="T430" s="1712"/>
      <c r="U430" s="1712"/>
      <c r="V430" s="1712"/>
      <c r="W430" s="1712"/>
      <c r="X430" s="1712"/>
      <c r="Y430" s="1712"/>
      <c r="Z430" s="1712"/>
      <c r="AA430" s="1712"/>
    </row>
    <row r="431" s="2571" customFormat="1" customHeight="1" spans="10:27">
      <c r="J431" s="2573"/>
      <c r="K431" s="1712"/>
      <c r="L431" s="1712"/>
      <c r="M431" s="1712"/>
      <c r="N431" s="1712"/>
      <c r="O431" s="1712"/>
      <c r="P431" s="1712"/>
      <c r="Q431" s="1712"/>
      <c r="R431" s="1712"/>
      <c r="S431" s="1712"/>
      <c r="T431" s="1712"/>
      <c r="U431" s="1712"/>
      <c r="V431" s="1712"/>
      <c r="W431" s="1712"/>
      <c r="X431" s="1712"/>
      <c r="Y431" s="1712"/>
      <c r="Z431" s="1712"/>
      <c r="AA431" s="1712"/>
    </row>
    <row r="432" s="2571" customFormat="1" customHeight="1" spans="10:27">
      <c r="J432" s="2573"/>
      <c r="K432" s="1712"/>
      <c r="L432" s="1712"/>
      <c r="M432" s="1712"/>
      <c r="N432" s="1712"/>
      <c r="O432" s="1712"/>
      <c r="P432" s="1712"/>
      <c r="Q432" s="1712"/>
      <c r="R432" s="1712"/>
      <c r="S432" s="1712"/>
      <c r="T432" s="1712"/>
      <c r="U432" s="1712"/>
      <c r="V432" s="1712"/>
      <c r="W432" s="1712"/>
      <c r="X432" s="1712"/>
      <c r="Y432" s="1712"/>
      <c r="Z432" s="1712"/>
      <c r="AA432" s="1712"/>
    </row>
    <row r="433" s="2571" customFormat="1" customHeight="1" spans="10:27">
      <c r="J433" s="2573"/>
      <c r="K433" s="1712"/>
      <c r="L433" s="1712"/>
      <c r="M433" s="1712"/>
      <c r="N433" s="1712"/>
      <c r="O433" s="1712"/>
      <c r="P433" s="1712"/>
      <c r="Q433" s="1712"/>
      <c r="R433" s="1712"/>
      <c r="S433" s="1712"/>
      <c r="T433" s="1712"/>
      <c r="U433" s="1712"/>
      <c r="V433" s="1712"/>
      <c r="W433" s="1712"/>
      <c r="X433" s="1712"/>
      <c r="Y433" s="1712"/>
      <c r="Z433" s="1712"/>
      <c r="AA433" s="1712"/>
    </row>
    <row r="434" s="2571" customFormat="1" customHeight="1" spans="10:27">
      <c r="J434" s="2573"/>
      <c r="K434" s="1712"/>
      <c r="L434" s="1712"/>
      <c r="M434" s="1712"/>
      <c r="N434" s="1712"/>
      <c r="O434" s="1712"/>
      <c r="P434" s="1712"/>
      <c r="Q434" s="1712"/>
      <c r="R434" s="1712"/>
      <c r="S434" s="1712"/>
      <c r="T434" s="1712"/>
      <c r="U434" s="1712"/>
      <c r="V434" s="1712"/>
      <c r="W434" s="1712"/>
      <c r="X434" s="1712"/>
      <c r="Y434" s="1712"/>
      <c r="Z434" s="1712"/>
      <c r="AA434" s="1712"/>
    </row>
    <row r="435" s="2571" customFormat="1" customHeight="1" spans="10:27">
      <c r="J435" s="2573"/>
      <c r="K435" s="1712"/>
      <c r="L435" s="1712"/>
      <c r="M435" s="1712"/>
      <c r="N435" s="1712"/>
      <c r="O435" s="1712"/>
      <c r="P435" s="1712"/>
      <c r="Q435" s="1712"/>
      <c r="R435" s="1712"/>
      <c r="S435" s="1712"/>
      <c r="T435" s="1712"/>
      <c r="U435" s="1712"/>
      <c r="V435" s="1712"/>
      <c r="W435" s="1712"/>
      <c r="X435" s="1712"/>
      <c r="Y435" s="1712"/>
      <c r="Z435" s="1712"/>
      <c r="AA435" s="1712"/>
    </row>
    <row r="436" s="2571" customFormat="1" customHeight="1" spans="10:27">
      <c r="J436" s="2573"/>
      <c r="K436" s="1712"/>
      <c r="L436" s="1712"/>
      <c r="M436" s="1712"/>
      <c r="N436" s="1712"/>
      <c r="O436" s="1712"/>
      <c r="P436" s="1712"/>
      <c r="Q436" s="1712"/>
      <c r="R436" s="1712"/>
      <c r="S436" s="1712"/>
      <c r="T436" s="1712"/>
      <c r="U436" s="1712"/>
      <c r="V436" s="1712"/>
      <c r="W436" s="1712"/>
      <c r="X436" s="1712"/>
      <c r="Y436" s="1712"/>
      <c r="Z436" s="1712"/>
      <c r="AA436" s="1712"/>
    </row>
    <row r="437" s="2571" customFormat="1" customHeight="1" spans="10:27">
      <c r="J437" s="2573"/>
      <c r="K437" s="1712"/>
      <c r="L437" s="1712"/>
      <c r="M437" s="1712"/>
      <c r="N437" s="1712"/>
      <c r="O437" s="1712"/>
      <c r="P437" s="1712"/>
      <c r="Q437" s="1712"/>
      <c r="R437" s="1712"/>
      <c r="S437" s="1712"/>
      <c r="T437" s="1712"/>
      <c r="U437" s="1712"/>
      <c r="V437" s="1712"/>
      <c r="W437" s="1712"/>
      <c r="X437" s="1712"/>
      <c r="Y437" s="1712"/>
      <c r="Z437" s="1712"/>
      <c r="AA437" s="1712"/>
    </row>
    <row r="438" s="2571" customFormat="1" customHeight="1" spans="10:27">
      <c r="J438" s="2573"/>
      <c r="K438" s="1712"/>
      <c r="L438" s="1712"/>
      <c r="M438" s="1712"/>
      <c r="N438" s="1712"/>
      <c r="O438" s="1712"/>
      <c r="P438" s="1712"/>
      <c r="Q438" s="1712"/>
      <c r="R438" s="1712"/>
      <c r="S438" s="1712"/>
      <c r="T438" s="1712"/>
      <c r="U438" s="1712"/>
      <c r="V438" s="1712"/>
      <c r="W438" s="1712"/>
      <c r="X438" s="1712"/>
      <c r="Y438" s="1712"/>
      <c r="Z438" s="1712"/>
      <c r="AA438" s="1712"/>
    </row>
    <row r="439" s="2571" customFormat="1" customHeight="1" spans="10:27">
      <c r="J439" s="2573"/>
      <c r="K439" s="1712"/>
      <c r="L439" s="1712"/>
      <c r="M439" s="1712"/>
      <c r="N439" s="1712"/>
      <c r="O439" s="1712"/>
      <c r="P439" s="1712"/>
      <c r="Q439" s="1712"/>
      <c r="R439" s="1712"/>
      <c r="S439" s="1712"/>
      <c r="T439" s="1712"/>
      <c r="U439" s="1712"/>
      <c r="V439" s="1712"/>
      <c r="W439" s="1712"/>
      <c r="X439" s="1712"/>
      <c r="Y439" s="1712"/>
      <c r="Z439" s="1712"/>
      <c r="AA439" s="1712"/>
    </row>
    <row r="440" s="2571" customFormat="1" customHeight="1" spans="10:27">
      <c r="J440" s="2573"/>
      <c r="K440" s="1712"/>
      <c r="L440" s="1712"/>
      <c r="M440" s="1712"/>
      <c r="N440" s="1712"/>
      <c r="O440" s="1712"/>
      <c r="P440" s="1712"/>
      <c r="Q440" s="1712"/>
      <c r="R440" s="1712"/>
      <c r="S440" s="1712"/>
      <c r="T440" s="1712"/>
      <c r="U440" s="1712"/>
      <c r="V440" s="1712"/>
      <c r="W440" s="1712"/>
      <c r="X440" s="1712"/>
      <c r="Y440" s="1712"/>
      <c r="Z440" s="1712"/>
      <c r="AA440" s="1712"/>
    </row>
    <row r="441" s="2571" customFormat="1" customHeight="1" spans="10:27">
      <c r="J441" s="2573"/>
      <c r="K441" s="1712"/>
      <c r="L441" s="1712"/>
      <c r="M441" s="1712"/>
      <c r="N441" s="1712"/>
      <c r="O441" s="1712"/>
      <c r="P441" s="1712"/>
      <c r="Q441" s="1712"/>
      <c r="R441" s="1712"/>
      <c r="S441" s="1712"/>
      <c r="T441" s="1712"/>
      <c r="U441" s="1712"/>
      <c r="V441" s="1712"/>
      <c r="W441" s="1712"/>
      <c r="X441" s="1712"/>
      <c r="Y441" s="1712"/>
      <c r="Z441" s="1712"/>
      <c r="AA441" s="1712"/>
    </row>
    <row r="442" s="2571" customFormat="1" customHeight="1" spans="10:27">
      <c r="J442" s="2573"/>
      <c r="K442" s="1712"/>
      <c r="L442" s="1712"/>
      <c r="M442" s="1712"/>
      <c r="N442" s="1712"/>
      <c r="O442" s="1712"/>
      <c r="P442" s="1712"/>
      <c r="Q442" s="1712"/>
      <c r="R442" s="1712"/>
      <c r="S442" s="1712"/>
      <c r="T442" s="1712"/>
      <c r="U442" s="1712"/>
      <c r="V442" s="1712"/>
      <c r="W442" s="1712"/>
      <c r="X442" s="1712"/>
      <c r="Y442" s="1712"/>
      <c r="Z442" s="1712"/>
      <c r="AA442" s="1712"/>
    </row>
    <row r="443" s="2571" customFormat="1" customHeight="1" spans="10:27">
      <c r="J443" s="2573"/>
      <c r="K443" s="1712"/>
      <c r="L443" s="1712"/>
      <c r="M443" s="1712"/>
      <c r="N443" s="1712"/>
      <c r="O443" s="1712"/>
      <c r="P443" s="1712"/>
      <c r="Q443" s="1712"/>
      <c r="R443" s="1712"/>
      <c r="S443" s="1712"/>
      <c r="T443" s="1712"/>
      <c r="U443" s="1712"/>
      <c r="V443" s="1712"/>
      <c r="W443" s="1712"/>
      <c r="X443" s="1712"/>
      <c r="Y443" s="1712"/>
      <c r="Z443" s="1712"/>
      <c r="AA443" s="1712"/>
    </row>
    <row r="444" s="2571" customFormat="1" customHeight="1" spans="10:27">
      <c r="J444" s="2573"/>
      <c r="K444" s="1712"/>
      <c r="L444" s="1712"/>
      <c r="M444" s="1712"/>
      <c r="N444" s="1712"/>
      <c r="O444" s="1712"/>
      <c r="P444" s="1712"/>
      <c r="Q444" s="1712"/>
      <c r="R444" s="1712"/>
      <c r="S444" s="1712"/>
      <c r="T444" s="1712"/>
      <c r="U444" s="1712"/>
      <c r="V444" s="1712"/>
      <c r="W444" s="1712"/>
      <c r="X444" s="1712"/>
      <c r="Y444" s="1712"/>
      <c r="Z444" s="1712"/>
      <c r="AA444" s="1712"/>
    </row>
    <row r="445" s="2571" customFormat="1" customHeight="1" spans="10:27">
      <c r="J445" s="2573"/>
      <c r="K445" s="1712"/>
      <c r="L445" s="1712"/>
      <c r="M445" s="1712"/>
      <c r="N445" s="1712"/>
      <c r="O445" s="1712"/>
      <c r="P445" s="1712"/>
      <c r="Q445" s="1712"/>
      <c r="R445" s="1712"/>
      <c r="S445" s="1712"/>
      <c r="T445" s="1712"/>
      <c r="U445" s="1712"/>
      <c r="V445" s="1712"/>
      <c r="W445" s="1712"/>
      <c r="X445" s="1712"/>
      <c r="Y445" s="1712"/>
      <c r="Z445" s="1712"/>
      <c r="AA445" s="1712"/>
    </row>
    <row r="446" s="2571" customFormat="1" customHeight="1" spans="10:27">
      <c r="J446" s="2573"/>
      <c r="K446" s="1712"/>
      <c r="L446" s="1712"/>
      <c r="M446" s="1712"/>
      <c r="N446" s="1712"/>
      <c r="O446" s="1712"/>
      <c r="P446" s="1712"/>
      <c r="Q446" s="1712"/>
      <c r="R446" s="1712"/>
      <c r="S446" s="1712"/>
      <c r="T446" s="1712"/>
      <c r="U446" s="1712"/>
      <c r="V446" s="1712"/>
      <c r="W446" s="1712"/>
      <c r="X446" s="1712"/>
      <c r="Y446" s="1712"/>
      <c r="Z446" s="1712"/>
      <c r="AA446" s="1712"/>
    </row>
    <row r="447" s="2571" customFormat="1" customHeight="1" spans="10:27">
      <c r="J447" s="2573"/>
      <c r="K447" s="1712"/>
      <c r="L447" s="1712"/>
      <c r="M447" s="1712"/>
      <c r="N447" s="1712"/>
      <c r="O447" s="1712"/>
      <c r="P447" s="1712"/>
      <c r="Q447" s="1712"/>
      <c r="R447" s="1712"/>
      <c r="S447" s="1712"/>
      <c r="T447" s="1712"/>
      <c r="U447" s="1712"/>
      <c r="V447" s="1712"/>
      <c r="W447" s="1712"/>
      <c r="X447" s="1712"/>
      <c r="Y447" s="1712"/>
      <c r="Z447" s="1712"/>
      <c r="AA447" s="1712"/>
    </row>
    <row r="448" s="2571" customFormat="1" customHeight="1" spans="10:27">
      <c r="J448" s="2573"/>
      <c r="K448" s="1712"/>
      <c r="L448" s="1712"/>
      <c r="M448" s="1712"/>
      <c r="N448" s="1712"/>
      <c r="O448" s="1712"/>
      <c r="P448" s="1712"/>
      <c r="Q448" s="1712"/>
      <c r="R448" s="1712"/>
      <c r="S448" s="1712"/>
      <c r="T448" s="1712"/>
      <c r="U448" s="1712"/>
      <c r="V448" s="1712"/>
      <c r="W448" s="1712"/>
      <c r="X448" s="1712"/>
      <c r="Y448" s="1712"/>
      <c r="Z448" s="1712"/>
      <c r="AA448" s="1712"/>
    </row>
    <row r="449" s="2571" customFormat="1" customHeight="1" spans="10:27">
      <c r="J449" s="2573"/>
      <c r="K449" s="1712"/>
      <c r="L449" s="1712"/>
      <c r="M449" s="1712"/>
      <c r="N449" s="1712"/>
      <c r="O449" s="1712"/>
      <c r="P449" s="1712"/>
      <c r="Q449" s="1712"/>
      <c r="R449" s="1712"/>
      <c r="S449" s="1712"/>
      <c r="T449" s="1712"/>
      <c r="U449" s="1712"/>
      <c r="V449" s="1712"/>
      <c r="W449" s="1712"/>
      <c r="X449" s="1712"/>
      <c r="Y449" s="1712"/>
      <c r="Z449" s="1712"/>
      <c r="AA449" s="1712"/>
    </row>
    <row r="450" s="2571" customFormat="1" customHeight="1" spans="10:27">
      <c r="J450" s="2573"/>
      <c r="K450" s="1712"/>
      <c r="L450" s="1712"/>
      <c r="M450" s="1712"/>
      <c r="N450" s="1712"/>
      <c r="O450" s="1712"/>
      <c r="P450" s="1712"/>
      <c r="Q450" s="1712"/>
      <c r="R450" s="1712"/>
      <c r="S450" s="1712"/>
      <c r="T450" s="1712"/>
      <c r="U450" s="1712"/>
      <c r="V450" s="1712"/>
      <c r="W450" s="1712"/>
      <c r="X450" s="1712"/>
      <c r="Y450" s="1712"/>
      <c r="Z450" s="1712"/>
      <c r="AA450" s="1712"/>
    </row>
    <row r="451" s="2571" customFormat="1" customHeight="1" spans="10:27">
      <c r="J451" s="2573"/>
      <c r="K451" s="1712"/>
      <c r="L451" s="1712"/>
      <c r="M451" s="1712"/>
      <c r="N451" s="1712"/>
      <c r="O451" s="1712"/>
      <c r="P451" s="1712"/>
      <c r="Q451" s="1712"/>
      <c r="R451" s="1712"/>
      <c r="S451" s="1712"/>
      <c r="T451" s="1712"/>
      <c r="U451" s="1712"/>
      <c r="V451" s="1712"/>
      <c r="W451" s="1712"/>
      <c r="X451" s="1712"/>
      <c r="Y451" s="1712"/>
      <c r="Z451" s="1712"/>
      <c r="AA451" s="1712"/>
    </row>
    <row r="452" s="2571" customFormat="1" customHeight="1" spans="10:27">
      <c r="J452" s="2573"/>
      <c r="K452" s="1712"/>
      <c r="L452" s="1712"/>
      <c r="M452" s="1712"/>
      <c r="N452" s="1712"/>
      <c r="O452" s="1712"/>
      <c r="P452" s="1712"/>
      <c r="Q452" s="1712"/>
      <c r="R452" s="1712"/>
      <c r="S452" s="1712"/>
      <c r="T452" s="1712"/>
      <c r="U452" s="1712"/>
      <c r="V452" s="1712"/>
      <c r="W452" s="1712"/>
      <c r="X452" s="1712"/>
      <c r="Y452" s="1712"/>
      <c r="Z452" s="1712"/>
      <c r="AA452" s="1712"/>
    </row>
    <row r="453" s="2571" customFormat="1" customHeight="1" spans="10:27">
      <c r="J453" s="2573"/>
      <c r="K453" s="1712"/>
      <c r="L453" s="1712"/>
      <c r="M453" s="1712"/>
      <c r="N453" s="1712"/>
      <c r="O453" s="1712"/>
      <c r="P453" s="1712"/>
      <c r="Q453" s="1712"/>
      <c r="R453" s="1712"/>
      <c r="S453" s="1712"/>
      <c r="T453" s="1712"/>
      <c r="U453" s="1712"/>
      <c r="V453" s="1712"/>
      <c r="W453" s="1712"/>
      <c r="X453" s="1712"/>
      <c r="Y453" s="1712"/>
      <c r="Z453" s="1712"/>
      <c r="AA453" s="1712"/>
    </row>
    <row r="454" s="2571" customFormat="1" customHeight="1" spans="10:27">
      <c r="J454" s="2573"/>
      <c r="K454" s="1712"/>
      <c r="L454" s="1712"/>
      <c r="M454" s="1712"/>
      <c r="N454" s="1712"/>
      <c r="O454" s="1712"/>
      <c r="P454" s="1712"/>
      <c r="Q454" s="1712"/>
      <c r="R454" s="1712"/>
      <c r="S454" s="1712"/>
      <c r="T454" s="1712"/>
      <c r="U454" s="1712"/>
      <c r="V454" s="1712"/>
      <c r="W454" s="1712"/>
      <c r="X454" s="1712"/>
      <c r="Y454" s="1712"/>
      <c r="Z454" s="1712"/>
      <c r="AA454" s="1712"/>
    </row>
    <row r="455" s="2571" customFormat="1" customHeight="1" spans="10:27">
      <c r="J455" s="2573"/>
      <c r="K455" s="1712"/>
      <c r="L455" s="1712"/>
      <c r="M455" s="1712"/>
      <c r="N455" s="1712"/>
      <c r="O455" s="1712"/>
      <c r="P455" s="1712"/>
      <c r="Q455" s="1712"/>
      <c r="R455" s="1712"/>
      <c r="S455" s="1712"/>
      <c r="T455" s="1712"/>
      <c r="U455" s="1712"/>
      <c r="V455" s="1712"/>
      <c r="W455" s="1712"/>
      <c r="X455" s="1712"/>
      <c r="Y455" s="1712"/>
      <c r="Z455" s="1712"/>
      <c r="AA455" s="1712"/>
    </row>
    <row r="456" s="2571" customFormat="1" customHeight="1" spans="10:27">
      <c r="J456" s="2573"/>
      <c r="K456" s="1712"/>
      <c r="L456" s="1712"/>
      <c r="M456" s="1712"/>
      <c r="N456" s="1712"/>
      <c r="O456" s="1712"/>
      <c r="P456" s="1712"/>
      <c r="Q456" s="1712"/>
      <c r="R456" s="1712"/>
      <c r="S456" s="1712"/>
      <c r="T456" s="1712"/>
      <c r="U456" s="1712"/>
      <c r="V456" s="1712"/>
      <c r="W456" s="1712"/>
      <c r="X456" s="1712"/>
      <c r="Y456" s="1712"/>
      <c r="Z456" s="1712"/>
      <c r="AA456" s="1712"/>
    </row>
    <row r="457" s="2571" customFormat="1" customHeight="1" spans="10:27">
      <c r="J457" s="2573"/>
      <c r="K457" s="1712"/>
      <c r="L457" s="1712"/>
      <c r="M457" s="1712"/>
      <c r="N457" s="1712"/>
      <c r="O457" s="1712"/>
      <c r="P457" s="1712"/>
      <c r="Q457" s="1712"/>
      <c r="R457" s="1712"/>
      <c r="S457" s="1712"/>
      <c r="T457" s="1712"/>
      <c r="U457" s="1712"/>
      <c r="V457" s="1712"/>
      <c r="W457" s="1712"/>
      <c r="X457" s="1712"/>
      <c r="Y457" s="1712"/>
      <c r="Z457" s="1712"/>
      <c r="AA457" s="1712"/>
    </row>
    <row r="458" s="2571" customFormat="1" customHeight="1" spans="10:27">
      <c r="J458" s="2573"/>
      <c r="K458" s="1712"/>
      <c r="L458" s="1712"/>
      <c r="M458" s="1712"/>
      <c r="N458" s="1712"/>
      <c r="O458" s="1712"/>
      <c r="P458" s="1712"/>
      <c r="Q458" s="1712"/>
      <c r="R458" s="1712"/>
      <c r="S458" s="1712"/>
      <c r="T458" s="1712"/>
      <c r="U458" s="1712"/>
      <c r="V458" s="1712"/>
      <c r="W458" s="1712"/>
      <c r="X458" s="1712"/>
      <c r="Y458" s="1712"/>
      <c r="Z458" s="1712"/>
      <c r="AA458" s="1712"/>
    </row>
    <row r="459" s="2571" customFormat="1" customHeight="1" spans="10:27">
      <c r="J459" s="2573"/>
      <c r="K459" s="1712"/>
      <c r="L459" s="1712"/>
      <c r="M459" s="1712"/>
      <c r="N459" s="1712"/>
      <c r="O459" s="1712"/>
      <c r="P459" s="1712"/>
      <c r="Q459" s="1712"/>
      <c r="R459" s="1712"/>
      <c r="S459" s="1712"/>
      <c r="T459" s="1712"/>
      <c r="U459" s="1712"/>
      <c r="V459" s="1712"/>
      <c r="W459" s="1712"/>
      <c r="X459" s="1712"/>
      <c r="Y459" s="1712"/>
      <c r="Z459" s="1712"/>
      <c r="AA459" s="1712"/>
    </row>
    <row r="460" s="2571" customFormat="1" customHeight="1" spans="10:27">
      <c r="J460" s="2573"/>
      <c r="K460" s="1712"/>
      <c r="L460" s="1712"/>
      <c r="M460" s="1712"/>
      <c r="N460" s="1712"/>
      <c r="O460" s="1712"/>
      <c r="P460" s="1712"/>
      <c r="Q460" s="1712"/>
      <c r="R460" s="1712"/>
      <c r="S460" s="1712"/>
      <c r="T460" s="1712"/>
      <c r="U460" s="1712"/>
      <c r="V460" s="1712"/>
      <c r="W460" s="1712"/>
      <c r="X460" s="1712"/>
      <c r="Y460" s="1712"/>
      <c r="Z460" s="1712"/>
      <c r="AA460" s="1712"/>
    </row>
    <row r="461" s="2571" customFormat="1" customHeight="1" spans="10:27">
      <c r="J461" s="2573"/>
      <c r="K461" s="1712"/>
      <c r="L461" s="1712"/>
      <c r="M461" s="1712"/>
      <c r="N461" s="1712"/>
      <c r="O461" s="1712"/>
      <c r="P461" s="1712"/>
      <c r="Q461" s="1712"/>
      <c r="R461" s="1712"/>
      <c r="S461" s="1712"/>
      <c r="T461" s="1712"/>
      <c r="U461" s="1712"/>
      <c r="V461" s="1712"/>
      <c r="W461" s="1712"/>
      <c r="X461" s="1712"/>
      <c r="Y461" s="1712"/>
      <c r="Z461" s="1712"/>
      <c r="AA461" s="1712"/>
    </row>
    <row r="462" s="2571" customFormat="1" customHeight="1" spans="10:27">
      <c r="J462" s="2573"/>
      <c r="K462" s="1712"/>
      <c r="L462" s="1712"/>
      <c r="M462" s="1712"/>
      <c r="N462" s="1712"/>
      <c r="O462" s="1712"/>
      <c r="P462" s="1712"/>
      <c r="Q462" s="1712"/>
      <c r="R462" s="1712"/>
      <c r="S462" s="1712"/>
      <c r="T462" s="1712"/>
      <c r="U462" s="1712"/>
      <c r="V462" s="1712"/>
      <c r="W462" s="1712"/>
      <c r="X462" s="1712"/>
      <c r="Y462" s="1712"/>
      <c r="Z462" s="1712"/>
      <c r="AA462" s="1712"/>
    </row>
    <row r="463" s="2571" customFormat="1" customHeight="1" spans="10:27">
      <c r="J463" s="2573"/>
      <c r="K463" s="1712"/>
      <c r="L463" s="1712"/>
      <c r="M463" s="1712"/>
      <c r="N463" s="1712"/>
      <c r="O463" s="1712"/>
      <c r="P463" s="1712"/>
      <c r="Q463" s="1712"/>
      <c r="R463" s="1712"/>
      <c r="S463" s="1712"/>
      <c r="T463" s="1712"/>
      <c r="U463" s="1712"/>
      <c r="V463" s="1712"/>
      <c r="W463" s="1712"/>
      <c r="X463" s="1712"/>
      <c r="Y463" s="1712"/>
      <c r="Z463" s="1712"/>
      <c r="AA463" s="1712"/>
    </row>
    <row r="464" s="2571" customFormat="1" customHeight="1" spans="10:27">
      <c r="J464" s="2573"/>
      <c r="K464" s="1712"/>
      <c r="L464" s="1712"/>
      <c r="M464" s="1712"/>
      <c r="N464" s="1712"/>
      <c r="O464" s="1712"/>
      <c r="P464" s="1712"/>
      <c r="Q464" s="1712"/>
      <c r="R464" s="1712"/>
      <c r="S464" s="1712"/>
      <c r="T464" s="1712"/>
      <c r="U464" s="1712"/>
      <c r="V464" s="1712"/>
      <c r="W464" s="1712"/>
      <c r="X464" s="1712"/>
      <c r="Y464" s="1712"/>
      <c r="Z464" s="1712"/>
      <c r="AA464" s="1712"/>
    </row>
    <row r="465" s="2571" customFormat="1" customHeight="1" spans="10:27">
      <c r="J465" s="2573"/>
      <c r="K465" s="1712"/>
      <c r="L465" s="1712"/>
      <c r="M465" s="1712"/>
      <c r="N465" s="1712"/>
      <c r="O465" s="1712"/>
      <c r="P465" s="1712"/>
      <c r="Q465" s="1712"/>
      <c r="R465" s="1712"/>
      <c r="S465" s="1712"/>
      <c r="T465" s="1712"/>
      <c r="U465" s="1712"/>
      <c r="V465" s="1712"/>
      <c r="W465" s="1712"/>
      <c r="X465" s="1712"/>
      <c r="Y465" s="1712"/>
      <c r="Z465" s="1712"/>
      <c r="AA465" s="1712"/>
    </row>
    <row r="466" s="2571" customFormat="1" customHeight="1" spans="10:27">
      <c r="J466" s="2573"/>
      <c r="K466" s="1712"/>
      <c r="L466" s="1712"/>
      <c r="M466" s="1712"/>
      <c r="N466" s="1712"/>
      <c r="O466" s="1712"/>
      <c r="P466" s="1712"/>
      <c r="Q466" s="1712"/>
      <c r="R466" s="1712"/>
      <c r="S466" s="1712"/>
      <c r="T466" s="1712"/>
      <c r="U466" s="1712"/>
      <c r="V466" s="1712"/>
      <c r="W466" s="1712"/>
      <c r="X466" s="1712"/>
      <c r="Y466" s="1712"/>
      <c r="Z466" s="1712"/>
      <c r="AA466" s="1712"/>
    </row>
    <row r="467" s="2571" customFormat="1" customHeight="1" spans="10:27">
      <c r="J467" s="2573"/>
      <c r="K467" s="1712"/>
      <c r="L467" s="1712"/>
      <c r="M467" s="1712"/>
      <c r="N467" s="1712"/>
      <c r="O467" s="1712"/>
      <c r="P467" s="1712"/>
      <c r="Q467" s="1712"/>
      <c r="R467" s="1712"/>
      <c r="S467" s="1712"/>
      <c r="T467" s="1712"/>
      <c r="U467" s="1712"/>
      <c r="V467" s="1712"/>
      <c r="W467" s="1712"/>
      <c r="X467" s="1712"/>
      <c r="Y467" s="1712"/>
      <c r="Z467" s="1712"/>
      <c r="AA467" s="1712"/>
    </row>
    <row r="468" s="2571" customFormat="1" customHeight="1" spans="10:27">
      <c r="J468" s="2573"/>
      <c r="K468" s="1712"/>
      <c r="L468" s="1712"/>
      <c r="M468" s="1712"/>
      <c r="N468" s="1712"/>
      <c r="O468" s="1712"/>
      <c r="P468" s="1712"/>
      <c r="Q468" s="1712"/>
      <c r="R468" s="1712"/>
      <c r="S468" s="1712"/>
      <c r="T468" s="1712"/>
      <c r="U468" s="1712"/>
      <c r="V468" s="1712"/>
      <c r="W468" s="1712"/>
      <c r="X468" s="1712"/>
      <c r="Y468" s="1712"/>
      <c r="Z468" s="1712"/>
      <c r="AA468" s="1712"/>
    </row>
    <row r="469" s="2571" customFormat="1" customHeight="1" spans="10:27">
      <c r="J469" s="2573"/>
      <c r="K469" s="1712"/>
      <c r="L469" s="1712"/>
      <c r="M469" s="1712"/>
      <c r="N469" s="1712"/>
      <c r="O469" s="1712"/>
      <c r="P469" s="1712"/>
      <c r="Q469" s="1712"/>
      <c r="R469" s="1712"/>
      <c r="S469" s="1712"/>
      <c r="T469" s="1712"/>
      <c r="U469" s="1712"/>
      <c r="V469" s="1712"/>
      <c r="W469" s="1712"/>
      <c r="X469" s="1712"/>
      <c r="Y469" s="1712"/>
      <c r="Z469" s="1712"/>
      <c r="AA469" s="1712"/>
    </row>
    <row r="470" s="2571" customFormat="1" customHeight="1" spans="10:27">
      <c r="J470" s="2573"/>
      <c r="K470" s="1712"/>
      <c r="L470" s="1712"/>
      <c r="M470" s="1712"/>
      <c r="N470" s="1712"/>
      <c r="O470" s="1712"/>
      <c r="P470" s="1712"/>
      <c r="Q470" s="1712"/>
      <c r="R470" s="1712"/>
      <c r="S470" s="1712"/>
      <c r="T470" s="1712"/>
      <c r="U470" s="1712"/>
      <c r="V470" s="1712"/>
      <c r="W470" s="1712"/>
      <c r="X470" s="1712"/>
      <c r="Y470" s="1712"/>
      <c r="Z470" s="1712"/>
      <c r="AA470" s="1712"/>
    </row>
    <row r="471" s="2571" customFormat="1" customHeight="1" spans="10:27">
      <c r="J471" s="2573"/>
      <c r="K471" s="1712"/>
      <c r="L471" s="1712"/>
      <c r="M471" s="1712"/>
      <c r="N471" s="1712"/>
      <c r="O471" s="1712"/>
      <c r="P471" s="1712"/>
      <c r="Q471" s="1712"/>
      <c r="R471" s="1712"/>
      <c r="S471" s="1712"/>
      <c r="T471" s="1712"/>
      <c r="U471" s="1712"/>
      <c r="V471" s="1712"/>
      <c r="W471" s="1712"/>
      <c r="X471" s="1712"/>
      <c r="Y471" s="1712"/>
      <c r="Z471" s="1712"/>
      <c r="AA471" s="1712"/>
    </row>
    <row r="472" s="2571" customFormat="1" customHeight="1" spans="10:27">
      <c r="J472" s="2573"/>
      <c r="K472" s="1712"/>
      <c r="L472" s="1712"/>
      <c r="M472" s="1712"/>
      <c r="N472" s="1712"/>
      <c r="O472" s="1712"/>
      <c r="P472" s="1712"/>
      <c r="Q472" s="1712"/>
      <c r="R472" s="1712"/>
      <c r="S472" s="1712"/>
      <c r="T472" s="1712"/>
      <c r="U472" s="1712"/>
      <c r="V472" s="1712"/>
      <c r="W472" s="1712"/>
      <c r="X472" s="1712"/>
      <c r="Y472" s="1712"/>
      <c r="Z472" s="1712"/>
      <c r="AA472" s="1712"/>
    </row>
    <row r="473" s="2571" customFormat="1" customHeight="1" spans="10:27">
      <c r="J473" s="2573"/>
      <c r="K473" s="1712"/>
      <c r="L473" s="1712"/>
      <c r="M473" s="1712"/>
      <c r="N473" s="1712"/>
      <c r="O473" s="1712"/>
      <c r="P473" s="1712"/>
      <c r="Q473" s="1712"/>
      <c r="R473" s="1712"/>
      <c r="S473" s="1712"/>
      <c r="T473" s="1712"/>
      <c r="U473" s="1712"/>
      <c r="V473" s="1712"/>
      <c r="W473" s="1712"/>
      <c r="X473" s="1712"/>
      <c r="Y473" s="1712"/>
      <c r="Z473" s="1712"/>
      <c r="AA473" s="1712"/>
    </row>
    <row r="474" s="2571" customFormat="1" customHeight="1" spans="10:27">
      <c r="J474" s="2573"/>
      <c r="K474" s="1712"/>
      <c r="L474" s="1712"/>
      <c r="M474" s="1712"/>
      <c r="N474" s="1712"/>
      <c r="O474" s="1712"/>
      <c r="P474" s="1712"/>
      <c r="Q474" s="1712"/>
      <c r="R474" s="1712"/>
      <c r="S474" s="1712"/>
      <c r="T474" s="1712"/>
      <c r="U474" s="1712"/>
      <c r="V474" s="1712"/>
      <c r="W474" s="1712"/>
      <c r="X474" s="1712"/>
      <c r="Y474" s="1712"/>
      <c r="Z474" s="1712"/>
      <c r="AA474" s="1712"/>
    </row>
    <row r="475" s="2571" customFormat="1" customHeight="1" spans="10:27">
      <c r="J475" s="2573"/>
      <c r="K475" s="1712"/>
      <c r="L475" s="1712"/>
      <c r="M475" s="1712"/>
      <c r="N475" s="1712"/>
      <c r="O475" s="1712"/>
      <c r="P475" s="1712"/>
      <c r="Q475" s="1712"/>
      <c r="R475" s="1712"/>
      <c r="S475" s="1712"/>
      <c r="T475" s="1712"/>
      <c r="U475" s="1712"/>
      <c r="V475" s="1712"/>
      <c r="W475" s="1712"/>
      <c r="X475" s="1712"/>
      <c r="Y475" s="1712"/>
      <c r="Z475" s="1712"/>
      <c r="AA475" s="1712"/>
    </row>
    <row r="476" s="2571" customFormat="1" customHeight="1" spans="10:27">
      <c r="J476" s="2573"/>
      <c r="K476" s="1712"/>
      <c r="L476" s="1712"/>
      <c r="M476" s="1712"/>
      <c r="N476" s="1712"/>
      <c r="O476" s="1712"/>
      <c r="P476" s="1712"/>
      <c r="Q476" s="1712"/>
      <c r="R476" s="1712"/>
      <c r="S476" s="1712"/>
      <c r="T476" s="1712"/>
      <c r="U476" s="1712"/>
      <c r="V476" s="1712"/>
      <c r="W476" s="1712"/>
      <c r="X476" s="1712"/>
      <c r="Y476" s="1712"/>
      <c r="Z476" s="1712"/>
      <c r="AA476" s="1712"/>
    </row>
    <row r="477" s="2571" customFormat="1" customHeight="1" spans="10:27">
      <c r="J477" s="2573"/>
      <c r="K477" s="1712"/>
      <c r="L477" s="1712"/>
      <c r="M477" s="1712"/>
      <c r="N477" s="1712"/>
      <c r="O477" s="1712"/>
      <c r="P477" s="1712"/>
      <c r="Q477" s="1712"/>
      <c r="R477" s="1712"/>
      <c r="S477" s="1712"/>
      <c r="T477" s="1712"/>
      <c r="U477" s="1712"/>
      <c r="V477" s="1712"/>
      <c r="W477" s="1712"/>
      <c r="X477" s="1712"/>
      <c r="Y477" s="1712"/>
      <c r="Z477" s="1712"/>
      <c r="AA477" s="1712"/>
    </row>
    <row r="478" s="2571" customFormat="1" customHeight="1" spans="10:27">
      <c r="J478" s="2573"/>
      <c r="K478" s="1712"/>
      <c r="L478" s="1712"/>
      <c r="M478" s="1712"/>
      <c r="N478" s="1712"/>
      <c r="O478" s="1712"/>
      <c r="P478" s="1712"/>
      <c r="Q478" s="1712"/>
      <c r="R478" s="1712"/>
      <c r="S478" s="1712"/>
      <c r="T478" s="1712"/>
      <c r="U478" s="1712"/>
      <c r="V478" s="1712"/>
      <c r="W478" s="1712"/>
      <c r="X478" s="1712"/>
      <c r="Y478" s="1712"/>
      <c r="Z478" s="1712"/>
      <c r="AA478" s="1712"/>
    </row>
    <row r="479" s="2571" customFormat="1" customHeight="1" spans="10:27">
      <c r="J479" s="2573"/>
      <c r="K479" s="1712"/>
      <c r="L479" s="1712"/>
      <c r="M479" s="1712"/>
      <c r="N479" s="1712"/>
      <c r="O479" s="1712"/>
      <c r="P479" s="1712"/>
      <c r="Q479" s="1712"/>
      <c r="R479" s="1712"/>
      <c r="S479" s="1712"/>
      <c r="T479" s="1712"/>
      <c r="U479" s="1712"/>
      <c r="V479" s="1712"/>
      <c r="W479" s="1712"/>
      <c r="X479" s="1712"/>
      <c r="Y479" s="1712"/>
      <c r="Z479" s="1712"/>
      <c r="AA479" s="1712"/>
    </row>
    <row r="480" s="2571" customFormat="1" customHeight="1" spans="10:27">
      <c r="J480" s="2573"/>
      <c r="K480" s="1712"/>
      <c r="L480" s="1712"/>
      <c r="M480" s="1712"/>
      <c r="N480" s="1712"/>
      <c r="O480" s="1712"/>
      <c r="P480" s="1712"/>
      <c r="Q480" s="1712"/>
      <c r="R480" s="1712"/>
      <c r="S480" s="1712"/>
      <c r="T480" s="1712"/>
      <c r="U480" s="1712"/>
      <c r="V480" s="1712"/>
      <c r="W480" s="1712"/>
      <c r="X480" s="1712"/>
      <c r="Y480" s="1712"/>
      <c r="Z480" s="1712"/>
      <c r="AA480" s="1712"/>
    </row>
    <row r="481" s="2571" customFormat="1" customHeight="1" spans="10:27">
      <c r="J481" s="2573"/>
      <c r="K481" s="1712"/>
      <c r="L481" s="1712"/>
      <c r="M481" s="1712"/>
      <c r="N481" s="1712"/>
      <c r="O481" s="1712"/>
      <c r="P481" s="1712"/>
      <c r="Q481" s="1712"/>
      <c r="R481" s="1712"/>
      <c r="S481" s="1712"/>
      <c r="T481" s="1712"/>
      <c r="U481" s="1712"/>
      <c r="V481" s="1712"/>
      <c r="W481" s="1712"/>
      <c r="X481" s="1712"/>
      <c r="Y481" s="1712"/>
      <c r="Z481" s="1712"/>
      <c r="AA481" s="1712"/>
    </row>
    <row r="482" s="2571" customFormat="1" customHeight="1" spans="10:27">
      <c r="J482" s="2573"/>
      <c r="K482" s="1712"/>
      <c r="L482" s="1712"/>
      <c r="M482" s="1712"/>
      <c r="N482" s="1712"/>
      <c r="O482" s="1712"/>
      <c r="P482" s="1712"/>
      <c r="Q482" s="1712"/>
      <c r="R482" s="1712"/>
      <c r="S482" s="1712"/>
      <c r="T482" s="1712"/>
      <c r="U482" s="1712"/>
      <c r="V482" s="1712"/>
      <c r="W482" s="1712"/>
      <c r="X482" s="1712"/>
      <c r="Y482" s="1712"/>
      <c r="Z482" s="1712"/>
      <c r="AA482" s="1712"/>
    </row>
    <row r="483" s="2571" customFormat="1" customHeight="1" spans="10:27">
      <c r="J483" s="2573"/>
      <c r="K483" s="1712"/>
      <c r="L483" s="1712"/>
      <c r="M483" s="1712"/>
      <c r="N483" s="1712"/>
      <c r="O483" s="1712"/>
      <c r="P483" s="1712"/>
      <c r="Q483" s="1712"/>
      <c r="R483" s="1712"/>
      <c r="S483" s="1712"/>
      <c r="T483" s="1712"/>
      <c r="U483" s="1712"/>
      <c r="V483" s="1712"/>
      <c r="W483" s="1712"/>
      <c r="X483" s="1712"/>
      <c r="Y483" s="1712"/>
      <c r="Z483" s="1712"/>
      <c r="AA483" s="1712"/>
    </row>
    <row r="484" s="2571" customFormat="1" customHeight="1" spans="10:27">
      <c r="J484" s="2573"/>
      <c r="K484" s="1712"/>
      <c r="L484" s="1712"/>
      <c r="M484" s="1712"/>
      <c r="N484" s="1712"/>
      <c r="O484" s="1712"/>
      <c r="P484" s="1712"/>
      <c r="Q484" s="1712"/>
      <c r="R484" s="1712"/>
      <c r="S484" s="1712"/>
      <c r="T484" s="1712"/>
      <c r="U484" s="1712"/>
      <c r="V484" s="1712"/>
      <c r="W484" s="1712"/>
      <c r="X484" s="1712"/>
      <c r="Y484" s="1712"/>
      <c r="Z484" s="1712"/>
      <c r="AA484" s="1712"/>
    </row>
    <row r="485" s="2571" customFormat="1" customHeight="1" spans="10:27">
      <c r="J485" s="2573"/>
      <c r="K485" s="1712"/>
      <c r="L485" s="1712"/>
      <c r="M485" s="1712"/>
      <c r="N485" s="1712"/>
      <c r="O485" s="1712"/>
      <c r="P485" s="1712"/>
      <c r="Q485" s="1712"/>
      <c r="R485" s="1712"/>
      <c r="S485" s="1712"/>
      <c r="T485" s="1712"/>
      <c r="U485" s="1712"/>
      <c r="V485" s="1712"/>
      <c r="W485" s="1712"/>
      <c r="X485" s="1712"/>
      <c r="Y485" s="1712"/>
      <c r="Z485" s="1712"/>
      <c r="AA485" s="1712"/>
    </row>
    <row r="486" s="2571" customFormat="1" customHeight="1" spans="10:27">
      <c r="J486" s="2573"/>
      <c r="K486" s="1712"/>
      <c r="L486" s="1712"/>
      <c r="M486" s="1712"/>
      <c r="N486" s="1712"/>
      <c r="O486" s="1712"/>
      <c r="P486" s="1712"/>
      <c r="Q486" s="1712"/>
      <c r="R486" s="1712"/>
      <c r="S486" s="1712"/>
      <c r="T486" s="1712"/>
      <c r="U486" s="1712"/>
      <c r="V486" s="1712"/>
      <c r="W486" s="1712"/>
      <c r="X486" s="1712"/>
      <c r="Y486" s="1712"/>
      <c r="Z486" s="1712"/>
      <c r="AA486" s="1712"/>
    </row>
    <row r="487" s="2571" customFormat="1" customHeight="1" spans="10:27">
      <c r="J487" s="2573"/>
      <c r="K487" s="1712"/>
      <c r="L487" s="1712"/>
      <c r="M487" s="1712"/>
      <c r="N487" s="1712"/>
      <c r="O487" s="1712"/>
      <c r="P487" s="1712"/>
      <c r="Q487" s="1712"/>
      <c r="R487" s="1712"/>
      <c r="S487" s="1712"/>
      <c r="T487" s="1712"/>
      <c r="U487" s="1712"/>
      <c r="V487" s="1712"/>
      <c r="W487" s="1712"/>
      <c r="X487" s="1712"/>
      <c r="Y487" s="1712"/>
      <c r="Z487" s="1712"/>
      <c r="AA487" s="1712"/>
    </row>
    <row r="488" s="2571" customFormat="1" customHeight="1" spans="10:27">
      <c r="J488" s="2573"/>
      <c r="K488" s="1712"/>
      <c r="L488" s="1712"/>
      <c r="M488" s="1712"/>
      <c r="N488" s="1712"/>
      <c r="O488" s="1712"/>
      <c r="P488" s="1712"/>
      <c r="Q488" s="1712"/>
      <c r="R488" s="1712"/>
      <c r="S488" s="1712"/>
      <c r="T488" s="1712"/>
      <c r="U488" s="1712"/>
      <c r="V488" s="1712"/>
      <c r="W488" s="1712"/>
      <c r="X488" s="1712"/>
      <c r="Y488" s="1712"/>
      <c r="Z488" s="1712"/>
      <c r="AA488" s="1712"/>
    </row>
    <row r="489" s="2571" customFormat="1" customHeight="1" spans="10:27">
      <c r="J489" s="2573"/>
      <c r="K489" s="1712"/>
      <c r="L489" s="1712"/>
      <c r="M489" s="1712"/>
      <c r="N489" s="1712"/>
      <c r="O489" s="1712"/>
      <c r="P489" s="1712"/>
      <c r="Q489" s="1712"/>
      <c r="R489" s="1712"/>
      <c r="S489" s="1712"/>
      <c r="T489" s="1712"/>
      <c r="U489" s="1712"/>
      <c r="V489" s="1712"/>
      <c r="W489" s="1712"/>
      <c r="X489" s="1712"/>
      <c r="Y489" s="1712"/>
      <c r="Z489" s="1712"/>
      <c r="AA489" s="1712"/>
    </row>
    <row r="490" s="2571" customFormat="1" customHeight="1" spans="10:27">
      <c r="J490" s="2573"/>
      <c r="K490" s="1712"/>
      <c r="L490" s="1712"/>
      <c r="M490" s="1712"/>
      <c r="N490" s="1712"/>
      <c r="O490" s="1712"/>
      <c r="P490" s="1712"/>
      <c r="Q490" s="1712"/>
      <c r="R490" s="1712"/>
      <c r="S490" s="1712"/>
      <c r="T490" s="1712"/>
      <c r="U490" s="1712"/>
      <c r="V490" s="1712"/>
      <c r="W490" s="1712"/>
      <c r="X490" s="1712"/>
      <c r="Y490" s="1712"/>
      <c r="Z490" s="1712"/>
      <c r="AA490" s="1712"/>
    </row>
    <row r="491" s="2571" customFormat="1" customHeight="1" spans="10:27">
      <c r="J491" s="2573"/>
      <c r="K491" s="1712"/>
      <c r="L491" s="1712"/>
      <c r="M491" s="1712"/>
      <c r="N491" s="1712"/>
      <c r="O491" s="1712"/>
      <c r="P491" s="1712"/>
      <c r="Q491" s="1712"/>
      <c r="R491" s="1712"/>
      <c r="S491" s="1712"/>
      <c r="T491" s="1712"/>
      <c r="U491" s="1712"/>
      <c r="V491" s="1712"/>
      <c r="W491" s="1712"/>
      <c r="X491" s="1712"/>
      <c r="Y491" s="1712"/>
      <c r="Z491" s="1712"/>
      <c r="AA491" s="1712"/>
    </row>
    <row r="492" s="2571" customFormat="1" customHeight="1" spans="10:27">
      <c r="J492" s="2573"/>
      <c r="K492" s="1712"/>
      <c r="L492" s="1712"/>
      <c r="M492" s="1712"/>
      <c r="N492" s="1712"/>
      <c r="O492" s="1712"/>
      <c r="P492" s="1712"/>
      <c r="Q492" s="1712"/>
      <c r="R492" s="1712"/>
      <c r="S492" s="1712"/>
      <c r="T492" s="1712"/>
      <c r="U492" s="1712"/>
      <c r="V492" s="1712"/>
      <c r="W492" s="1712"/>
      <c r="X492" s="1712"/>
      <c r="Y492" s="1712"/>
      <c r="Z492" s="1712"/>
      <c r="AA492" s="1712"/>
    </row>
    <row r="493" s="2571" customFormat="1" customHeight="1" spans="10:27">
      <c r="J493" s="2573"/>
      <c r="K493" s="1712"/>
      <c r="L493" s="1712"/>
      <c r="M493" s="1712"/>
      <c r="N493" s="1712"/>
      <c r="O493" s="1712"/>
      <c r="P493" s="1712"/>
      <c r="Q493" s="1712"/>
      <c r="R493" s="1712"/>
      <c r="S493" s="1712"/>
      <c r="T493" s="1712"/>
      <c r="U493" s="1712"/>
      <c r="V493" s="1712"/>
      <c r="W493" s="1712"/>
      <c r="X493" s="1712"/>
      <c r="Y493" s="1712"/>
      <c r="Z493" s="1712"/>
      <c r="AA493" s="1712"/>
    </row>
    <row r="494" s="2571" customFormat="1" customHeight="1" spans="10:27">
      <c r="J494" s="2573"/>
      <c r="K494" s="1712"/>
      <c r="L494" s="1712"/>
      <c r="M494" s="1712"/>
      <c r="N494" s="1712"/>
      <c r="O494" s="1712"/>
      <c r="P494" s="1712"/>
      <c r="Q494" s="1712"/>
      <c r="R494" s="1712"/>
      <c r="S494" s="1712"/>
      <c r="T494" s="1712"/>
      <c r="U494" s="1712"/>
      <c r="V494" s="1712"/>
      <c r="W494" s="1712"/>
      <c r="X494" s="1712"/>
      <c r="Y494" s="1712"/>
      <c r="Z494" s="1712"/>
      <c r="AA494" s="1712"/>
    </row>
    <row r="495" s="2571" customFormat="1" customHeight="1" spans="10:27">
      <c r="J495" s="2573"/>
      <c r="K495" s="1712"/>
      <c r="L495" s="1712"/>
      <c r="M495" s="1712"/>
      <c r="N495" s="1712"/>
      <c r="O495" s="1712"/>
      <c r="P495" s="1712"/>
      <c r="Q495" s="1712"/>
      <c r="R495" s="1712"/>
      <c r="S495" s="1712"/>
      <c r="T495" s="1712"/>
      <c r="U495" s="1712"/>
      <c r="V495" s="1712"/>
      <c r="W495" s="1712"/>
      <c r="X495" s="1712"/>
      <c r="Y495" s="1712"/>
      <c r="Z495" s="1712"/>
      <c r="AA495" s="1712"/>
    </row>
    <row r="496" s="2571" customFormat="1" customHeight="1" spans="10:27">
      <c r="J496" s="2573"/>
      <c r="K496" s="1712"/>
      <c r="L496" s="1712"/>
      <c r="M496" s="1712"/>
      <c r="N496" s="1712"/>
      <c r="O496" s="1712"/>
      <c r="P496" s="1712"/>
      <c r="Q496" s="1712"/>
      <c r="R496" s="1712"/>
      <c r="S496" s="1712"/>
      <c r="T496" s="1712"/>
      <c r="U496" s="1712"/>
      <c r="V496" s="1712"/>
      <c r="W496" s="1712"/>
      <c r="X496" s="1712"/>
      <c r="Y496" s="1712"/>
      <c r="Z496" s="1712"/>
      <c r="AA496" s="1712"/>
    </row>
    <row r="497" s="2571" customFormat="1" customHeight="1" spans="10:27">
      <c r="J497" s="2573"/>
      <c r="K497" s="1712"/>
      <c r="L497" s="1712"/>
      <c r="M497" s="1712"/>
      <c r="N497" s="1712"/>
      <c r="O497" s="1712"/>
      <c r="P497" s="1712"/>
      <c r="Q497" s="1712"/>
      <c r="R497" s="1712"/>
      <c r="S497" s="1712"/>
      <c r="T497" s="1712"/>
      <c r="U497" s="1712"/>
      <c r="V497" s="1712"/>
      <c r="W497" s="1712"/>
      <c r="X497" s="1712"/>
      <c r="Y497" s="1712"/>
      <c r="Z497" s="1712"/>
      <c r="AA497" s="1712"/>
    </row>
    <row r="498" s="2571" customFormat="1" customHeight="1" spans="10:27">
      <c r="J498" s="2573"/>
      <c r="K498" s="1712"/>
      <c r="L498" s="1712"/>
      <c r="M498" s="1712"/>
      <c r="N498" s="1712"/>
      <c r="O498" s="1712"/>
      <c r="P498" s="1712"/>
      <c r="Q498" s="1712"/>
      <c r="R498" s="1712"/>
      <c r="S498" s="1712"/>
      <c r="T498" s="1712"/>
      <c r="U498" s="1712"/>
      <c r="V498" s="1712"/>
      <c r="W498" s="1712"/>
      <c r="X498" s="1712"/>
      <c r="Y498" s="1712"/>
      <c r="Z498" s="1712"/>
      <c r="AA498" s="1712"/>
    </row>
    <row r="499" s="2571" customFormat="1" customHeight="1" spans="10:27">
      <c r="J499" s="2573"/>
      <c r="K499" s="1712"/>
      <c r="L499" s="1712"/>
      <c r="M499" s="1712"/>
      <c r="N499" s="1712"/>
      <c r="O499" s="1712"/>
      <c r="P499" s="1712"/>
      <c r="Q499" s="1712"/>
      <c r="R499" s="1712"/>
      <c r="S499" s="1712"/>
      <c r="T499" s="1712"/>
      <c r="U499" s="1712"/>
      <c r="V499" s="1712"/>
      <c r="W499" s="1712"/>
      <c r="X499" s="1712"/>
      <c r="Y499" s="1712"/>
      <c r="Z499" s="1712"/>
      <c r="AA499" s="1712"/>
    </row>
    <row r="500" s="2571" customFormat="1" customHeight="1" spans="10:27">
      <c r="J500" s="2573"/>
      <c r="K500" s="1712"/>
      <c r="L500" s="1712"/>
      <c r="M500" s="1712"/>
      <c r="N500" s="1712"/>
      <c r="O500" s="1712"/>
      <c r="P500" s="1712"/>
      <c r="Q500" s="1712"/>
      <c r="R500" s="1712"/>
      <c r="S500" s="1712"/>
      <c r="T500" s="1712"/>
      <c r="U500" s="1712"/>
      <c r="V500" s="1712"/>
      <c r="W500" s="1712"/>
      <c r="X500" s="1712"/>
      <c r="Y500" s="1712"/>
      <c r="Z500" s="1712"/>
      <c r="AA500" s="1712"/>
    </row>
    <row r="501" s="2571" customFormat="1" customHeight="1" spans="10:27">
      <c r="J501" s="2573"/>
      <c r="K501" s="1712"/>
      <c r="L501" s="1712"/>
      <c r="M501" s="1712"/>
      <c r="N501" s="1712"/>
      <c r="O501" s="1712"/>
      <c r="P501" s="1712"/>
      <c r="Q501" s="1712"/>
      <c r="R501" s="1712"/>
      <c r="S501" s="1712"/>
      <c r="T501" s="1712"/>
      <c r="U501" s="1712"/>
      <c r="V501" s="1712"/>
      <c r="W501" s="1712"/>
      <c r="X501" s="1712"/>
      <c r="Y501" s="1712"/>
      <c r="Z501" s="1712"/>
      <c r="AA501" s="1712"/>
    </row>
    <row r="502" s="2571" customFormat="1" customHeight="1" spans="10:27">
      <c r="J502" s="2573"/>
      <c r="K502" s="1712"/>
      <c r="L502" s="1712"/>
      <c r="M502" s="1712"/>
      <c r="N502" s="1712"/>
      <c r="O502" s="1712"/>
      <c r="P502" s="1712"/>
      <c r="Q502" s="1712"/>
      <c r="R502" s="1712"/>
      <c r="S502" s="1712"/>
      <c r="T502" s="1712"/>
      <c r="U502" s="1712"/>
      <c r="V502" s="1712"/>
      <c r="W502" s="1712"/>
      <c r="X502" s="1712"/>
      <c r="Y502" s="1712"/>
      <c r="Z502" s="1712"/>
      <c r="AA502" s="1712"/>
    </row>
    <row r="503" s="2571" customFormat="1" customHeight="1" spans="10:27">
      <c r="J503" s="2573"/>
      <c r="K503" s="1712"/>
      <c r="L503" s="1712"/>
      <c r="M503" s="1712"/>
      <c r="N503" s="1712"/>
      <c r="O503" s="1712"/>
      <c r="P503" s="1712"/>
      <c r="Q503" s="1712"/>
      <c r="R503" s="1712"/>
      <c r="S503" s="1712"/>
      <c r="T503" s="1712"/>
      <c r="U503" s="1712"/>
      <c r="V503" s="1712"/>
      <c r="W503" s="1712"/>
      <c r="X503" s="1712"/>
      <c r="Y503" s="1712"/>
      <c r="Z503" s="1712"/>
      <c r="AA503" s="1712"/>
    </row>
    <row r="504" s="2571" customFormat="1" customHeight="1" spans="10:27">
      <c r="J504" s="2573"/>
      <c r="K504" s="1712"/>
      <c r="L504" s="1712"/>
      <c r="M504" s="1712"/>
      <c r="N504" s="1712"/>
      <c r="O504" s="1712"/>
      <c r="P504" s="1712"/>
      <c r="Q504" s="1712"/>
      <c r="R504" s="1712"/>
      <c r="S504" s="1712"/>
      <c r="T504" s="1712"/>
      <c r="U504" s="1712"/>
      <c r="V504" s="1712"/>
      <c r="W504" s="1712"/>
      <c r="X504" s="1712"/>
      <c r="Y504" s="1712"/>
      <c r="Z504" s="1712"/>
      <c r="AA504" s="1712"/>
    </row>
    <row r="505" s="2571" customFormat="1" customHeight="1" spans="10:27">
      <c r="J505" s="2573"/>
      <c r="K505" s="1712"/>
      <c r="L505" s="1712"/>
      <c r="M505" s="1712"/>
      <c r="N505" s="1712"/>
      <c r="O505" s="1712"/>
      <c r="P505" s="1712"/>
      <c r="Q505" s="1712"/>
      <c r="R505" s="1712"/>
      <c r="S505" s="1712"/>
      <c r="T505" s="1712"/>
      <c r="U505" s="1712"/>
      <c r="V505" s="1712"/>
      <c r="W505" s="1712"/>
      <c r="X505" s="1712"/>
      <c r="Y505" s="1712"/>
      <c r="Z505" s="1712"/>
      <c r="AA505" s="1712"/>
    </row>
    <row r="506" s="2571" customFormat="1" customHeight="1" spans="10:27">
      <c r="J506" s="2573"/>
      <c r="K506" s="1712"/>
      <c r="L506" s="1712"/>
      <c r="M506" s="1712"/>
      <c r="N506" s="1712"/>
      <c r="O506" s="1712"/>
      <c r="P506" s="1712"/>
      <c r="Q506" s="1712"/>
      <c r="R506" s="1712"/>
      <c r="S506" s="1712"/>
      <c r="T506" s="1712"/>
      <c r="U506" s="1712"/>
      <c r="V506" s="1712"/>
      <c r="W506" s="1712"/>
      <c r="X506" s="1712"/>
      <c r="Y506" s="1712"/>
      <c r="Z506" s="1712"/>
      <c r="AA506" s="1712"/>
    </row>
    <row r="507" s="2571" customFormat="1" customHeight="1" spans="10:27">
      <c r="J507" s="2573"/>
      <c r="K507" s="1712"/>
      <c r="L507" s="1712"/>
      <c r="M507" s="1712"/>
      <c r="N507" s="1712"/>
      <c r="O507" s="1712"/>
      <c r="P507" s="1712"/>
      <c r="Q507" s="1712"/>
      <c r="R507" s="1712"/>
      <c r="S507" s="1712"/>
      <c r="T507" s="1712"/>
      <c r="U507" s="1712"/>
      <c r="V507" s="1712"/>
      <c r="W507" s="1712"/>
      <c r="X507" s="1712"/>
      <c r="Y507" s="1712"/>
      <c r="Z507" s="1712"/>
      <c r="AA507" s="1712"/>
    </row>
    <row r="508" s="2571" customFormat="1" customHeight="1" spans="10:27">
      <c r="J508" s="2573"/>
      <c r="K508" s="1712"/>
      <c r="L508" s="1712"/>
      <c r="M508" s="1712"/>
      <c r="N508" s="1712"/>
      <c r="O508" s="1712"/>
      <c r="P508" s="1712"/>
      <c r="Q508" s="1712"/>
      <c r="R508" s="1712"/>
      <c r="S508" s="1712"/>
      <c r="T508" s="1712"/>
      <c r="U508" s="1712"/>
      <c r="V508" s="1712"/>
      <c r="W508" s="1712"/>
      <c r="X508" s="1712"/>
      <c r="Y508" s="1712"/>
      <c r="Z508" s="1712"/>
      <c r="AA508" s="1712"/>
    </row>
    <row r="509" s="2571" customFormat="1" customHeight="1" spans="10:27">
      <c r="J509" s="2573"/>
      <c r="K509" s="1712"/>
      <c r="L509" s="1712"/>
      <c r="M509" s="1712"/>
      <c r="N509" s="1712"/>
      <c r="O509" s="1712"/>
      <c r="P509" s="1712"/>
      <c r="Q509" s="1712"/>
      <c r="R509" s="1712"/>
      <c r="S509" s="1712"/>
      <c r="T509" s="1712"/>
      <c r="U509" s="1712"/>
      <c r="V509" s="1712"/>
      <c r="W509" s="1712"/>
      <c r="X509" s="1712"/>
      <c r="Y509" s="1712"/>
      <c r="Z509" s="1712"/>
      <c r="AA509" s="1712"/>
    </row>
    <row r="510" s="2571" customFormat="1" customHeight="1" spans="10:27">
      <c r="J510" s="2573"/>
      <c r="K510" s="1712"/>
      <c r="L510" s="1712"/>
      <c r="M510" s="1712"/>
      <c r="N510" s="1712"/>
      <c r="O510" s="1712"/>
      <c r="P510" s="1712"/>
      <c r="Q510" s="1712"/>
      <c r="R510" s="1712"/>
      <c r="S510" s="1712"/>
      <c r="T510" s="1712"/>
      <c r="U510" s="1712"/>
      <c r="V510" s="1712"/>
      <c r="W510" s="1712"/>
      <c r="X510" s="1712"/>
      <c r="Y510" s="1712"/>
      <c r="Z510" s="1712"/>
      <c r="AA510" s="1712"/>
    </row>
    <row r="511" s="2571" customFormat="1" customHeight="1" spans="10:27">
      <c r="J511" s="2573"/>
      <c r="K511" s="1712"/>
      <c r="L511" s="1712"/>
      <c r="M511" s="1712"/>
      <c r="N511" s="1712"/>
      <c r="O511" s="1712"/>
      <c r="P511" s="1712"/>
      <c r="Q511" s="1712"/>
      <c r="R511" s="1712"/>
      <c r="S511" s="1712"/>
      <c r="T511" s="1712"/>
      <c r="U511" s="1712"/>
      <c r="V511" s="1712"/>
      <c r="W511" s="1712"/>
      <c r="X511" s="1712"/>
      <c r="Y511" s="1712"/>
      <c r="Z511" s="1712"/>
      <c r="AA511" s="1712"/>
    </row>
    <row r="512" s="2571" customFormat="1" customHeight="1" spans="10:27">
      <c r="J512" s="2573"/>
      <c r="K512" s="1712"/>
      <c r="L512" s="1712"/>
      <c r="M512" s="1712"/>
      <c r="N512" s="1712"/>
      <c r="O512" s="1712"/>
      <c r="P512" s="1712"/>
      <c r="Q512" s="1712"/>
      <c r="R512" s="1712"/>
      <c r="S512" s="1712"/>
      <c r="T512" s="1712"/>
      <c r="U512" s="1712"/>
      <c r="V512" s="1712"/>
      <c r="W512" s="1712"/>
      <c r="X512" s="1712"/>
      <c r="Y512" s="1712"/>
      <c r="Z512" s="1712"/>
      <c r="AA512" s="1712"/>
    </row>
    <row r="513" s="2571" customFormat="1" customHeight="1" spans="10:27">
      <c r="J513" s="2573"/>
      <c r="K513" s="1712"/>
      <c r="L513" s="1712"/>
      <c r="M513" s="1712"/>
      <c r="N513" s="1712"/>
      <c r="O513" s="1712"/>
      <c r="P513" s="1712"/>
      <c r="Q513" s="1712"/>
      <c r="R513" s="1712"/>
      <c r="S513" s="1712"/>
      <c r="T513" s="1712"/>
      <c r="U513" s="1712"/>
      <c r="V513" s="1712"/>
      <c r="W513" s="1712"/>
      <c r="X513" s="1712"/>
      <c r="Y513" s="1712"/>
      <c r="Z513" s="1712"/>
      <c r="AA513" s="1712"/>
    </row>
    <row r="514" s="2571" customFormat="1" customHeight="1" spans="10:27">
      <c r="J514" s="2573"/>
      <c r="K514" s="1712"/>
      <c r="L514" s="1712"/>
      <c r="M514" s="1712"/>
      <c r="N514" s="1712"/>
      <c r="O514" s="1712"/>
      <c r="P514" s="1712"/>
      <c r="Q514" s="1712"/>
      <c r="R514" s="1712"/>
      <c r="S514" s="1712"/>
      <c r="T514" s="1712"/>
      <c r="U514" s="1712"/>
      <c r="V514" s="1712"/>
      <c r="W514" s="1712"/>
      <c r="X514" s="1712"/>
      <c r="Y514" s="1712"/>
      <c r="Z514" s="1712"/>
      <c r="AA514" s="1712"/>
    </row>
    <row r="515" s="2571" customFormat="1" customHeight="1" spans="10:27">
      <c r="J515" s="2573"/>
      <c r="K515" s="1712"/>
      <c r="L515" s="1712"/>
      <c r="M515" s="1712"/>
      <c r="N515" s="1712"/>
      <c r="O515" s="1712"/>
      <c r="P515" s="1712"/>
      <c r="Q515" s="1712"/>
      <c r="R515" s="1712"/>
      <c r="S515" s="1712"/>
      <c r="T515" s="1712"/>
      <c r="U515" s="1712"/>
      <c r="V515" s="1712"/>
      <c r="W515" s="1712"/>
      <c r="X515" s="1712"/>
      <c r="Y515" s="1712"/>
      <c r="Z515" s="1712"/>
      <c r="AA515" s="1712"/>
    </row>
    <row r="516" s="2571" customFormat="1" customHeight="1" spans="10:27">
      <c r="J516" s="2573"/>
      <c r="K516" s="1712"/>
      <c r="L516" s="1712"/>
      <c r="M516" s="1712"/>
      <c r="N516" s="1712"/>
      <c r="O516" s="1712"/>
      <c r="P516" s="1712"/>
      <c r="Q516" s="1712"/>
      <c r="R516" s="1712"/>
      <c r="S516" s="1712"/>
      <c r="T516" s="1712"/>
      <c r="U516" s="1712"/>
      <c r="V516" s="1712"/>
      <c r="W516" s="1712"/>
      <c r="X516" s="1712"/>
      <c r="Y516" s="1712"/>
      <c r="Z516" s="1712"/>
      <c r="AA516" s="1712"/>
    </row>
    <row r="517" s="2571" customFormat="1" customHeight="1" spans="10:27">
      <c r="J517" s="2573"/>
      <c r="K517" s="1712"/>
      <c r="L517" s="1712"/>
      <c r="M517" s="1712"/>
      <c r="N517" s="1712"/>
      <c r="O517" s="1712"/>
      <c r="P517" s="1712"/>
      <c r="Q517" s="1712"/>
      <c r="R517" s="1712"/>
      <c r="S517" s="1712"/>
      <c r="T517" s="1712"/>
      <c r="U517" s="1712"/>
      <c r="V517" s="1712"/>
      <c r="W517" s="1712"/>
      <c r="X517" s="1712"/>
      <c r="Y517" s="1712"/>
      <c r="Z517" s="1712"/>
      <c r="AA517" s="1712"/>
    </row>
    <row r="518" s="2571" customFormat="1" customHeight="1" spans="10:27">
      <c r="J518" s="2573"/>
      <c r="K518" s="1712"/>
      <c r="L518" s="1712"/>
      <c r="M518" s="1712"/>
      <c r="N518" s="1712"/>
      <c r="O518" s="1712"/>
      <c r="P518" s="1712"/>
      <c r="Q518" s="1712"/>
      <c r="R518" s="1712"/>
      <c r="S518" s="1712"/>
      <c r="T518" s="1712"/>
      <c r="U518" s="1712"/>
      <c r="V518" s="1712"/>
      <c r="W518" s="1712"/>
      <c r="X518" s="1712"/>
      <c r="Y518" s="1712"/>
      <c r="Z518" s="1712"/>
      <c r="AA518" s="1712"/>
    </row>
    <row r="519" s="2571" customFormat="1" customHeight="1" spans="10:27">
      <c r="J519" s="2573"/>
      <c r="K519" s="1712"/>
      <c r="L519" s="1712"/>
      <c r="M519" s="1712"/>
      <c r="N519" s="1712"/>
      <c r="O519" s="1712"/>
      <c r="P519" s="1712"/>
      <c r="Q519" s="1712"/>
      <c r="R519" s="1712"/>
      <c r="S519" s="1712"/>
      <c r="T519" s="1712"/>
      <c r="U519" s="1712"/>
      <c r="V519" s="1712"/>
      <c r="W519" s="1712"/>
      <c r="X519" s="1712"/>
      <c r="Y519" s="1712"/>
      <c r="Z519" s="1712"/>
      <c r="AA519" s="1712"/>
    </row>
    <row r="520" s="2571" customFormat="1" customHeight="1" spans="6:27">
      <c r="F520" s="2572"/>
      <c r="G520" s="2572"/>
      <c r="H520" s="2572"/>
      <c r="I520" s="2572"/>
      <c r="J520" s="2573"/>
      <c r="K520" s="1712"/>
      <c r="L520" s="1712"/>
      <c r="M520" s="1712"/>
      <c r="N520" s="1712"/>
      <c r="O520" s="1712"/>
      <c r="P520" s="1712"/>
      <c r="Q520" s="1712"/>
      <c r="R520" s="1712"/>
      <c r="S520" s="1712"/>
      <c r="T520" s="1712"/>
      <c r="U520" s="1712"/>
      <c r="V520" s="1712"/>
      <c r="W520" s="1712"/>
      <c r="X520" s="1712"/>
      <c r="Y520" s="1712"/>
      <c r="Z520" s="1712"/>
      <c r="AA520" s="1712"/>
    </row>
  </sheetData>
  <sheetProtection password="CEE9" sheet="1" formatCells="0" formatColumns="0" formatRows="0" objects="1" scenarios="1"/>
  <mergeCells count="140">
    <mergeCell ref="A2:I2"/>
    <mergeCell ref="A3:I3"/>
    <mergeCell ref="E4:I4"/>
    <mergeCell ref="E18:I18"/>
    <mergeCell ref="A32:I32"/>
    <mergeCell ref="A47:C47"/>
    <mergeCell ref="K47:P47"/>
    <mergeCell ref="A48:G48"/>
    <mergeCell ref="L48:M48"/>
    <mergeCell ref="N48:P48"/>
    <mergeCell ref="L49:M49"/>
    <mergeCell ref="N49:P49"/>
    <mergeCell ref="A50:C50"/>
    <mergeCell ref="L50:M50"/>
    <mergeCell ref="N50:P50"/>
    <mergeCell ref="B51:C51"/>
    <mergeCell ref="L51:M51"/>
    <mergeCell ref="N51:P51"/>
    <mergeCell ref="B52:C52"/>
    <mergeCell ref="K52:P52"/>
    <mergeCell ref="B53:C53"/>
    <mergeCell ref="L53:M53"/>
    <mergeCell ref="B54:C54"/>
    <mergeCell ref="L54:M54"/>
    <mergeCell ref="B55:C55"/>
    <mergeCell ref="L55:M55"/>
    <mergeCell ref="B56:C56"/>
    <mergeCell ref="L56:M56"/>
    <mergeCell ref="A57:C57"/>
    <mergeCell ref="L57:M57"/>
    <mergeCell ref="A58:C58"/>
    <mergeCell ref="L58:M58"/>
    <mergeCell ref="O58:P58"/>
    <mergeCell ref="B59:C59"/>
    <mergeCell ref="B60:C60"/>
    <mergeCell ref="A61:C61"/>
    <mergeCell ref="A63:E63"/>
    <mergeCell ref="L63:M63"/>
    <mergeCell ref="A64:B64"/>
    <mergeCell ref="A72:H72"/>
    <mergeCell ref="A73:B73"/>
    <mergeCell ref="E78:H78"/>
    <mergeCell ref="E80:H80"/>
    <mergeCell ref="A85:H85"/>
    <mergeCell ref="A86:B86"/>
    <mergeCell ref="G92:H92"/>
    <mergeCell ref="E93:G93"/>
    <mergeCell ref="E94:H94"/>
    <mergeCell ref="E95:H95"/>
    <mergeCell ref="E96:H96"/>
    <mergeCell ref="A101:D101"/>
    <mergeCell ref="F101:I101"/>
    <mergeCell ref="A102:B102"/>
    <mergeCell ref="F102:G102"/>
    <mergeCell ref="H102:I102"/>
    <mergeCell ref="F103:G103"/>
    <mergeCell ref="H103:I103"/>
    <mergeCell ref="F106:G106"/>
    <mergeCell ref="H106:I106"/>
    <mergeCell ref="F107:G107"/>
    <mergeCell ref="F108:G108"/>
    <mergeCell ref="A109:D109"/>
    <mergeCell ref="F109:G109"/>
    <mergeCell ref="F110:G110"/>
    <mergeCell ref="F111:G111"/>
    <mergeCell ref="H111:I111"/>
    <mergeCell ref="A112:B112"/>
    <mergeCell ref="A113:B113"/>
    <mergeCell ref="A114:B114"/>
    <mergeCell ref="A115:B115"/>
    <mergeCell ref="F118:G118"/>
    <mergeCell ref="H118:I118"/>
    <mergeCell ref="F119:I119"/>
    <mergeCell ref="A122:I122"/>
    <mergeCell ref="D123:E123"/>
    <mergeCell ref="F123:G123"/>
    <mergeCell ref="H123:I123"/>
    <mergeCell ref="A126:C126"/>
    <mergeCell ref="D126:E126"/>
    <mergeCell ref="F126:G126"/>
    <mergeCell ref="H126:I126"/>
    <mergeCell ref="A127:C127"/>
    <mergeCell ref="D127:I127"/>
    <mergeCell ref="A128:C128"/>
    <mergeCell ref="D128:I128"/>
    <mergeCell ref="A129:C129"/>
    <mergeCell ref="D129:I129"/>
    <mergeCell ref="A130:C130"/>
    <mergeCell ref="D130:I130"/>
    <mergeCell ref="A131:C131"/>
    <mergeCell ref="D131:I131"/>
    <mergeCell ref="A132:C132"/>
    <mergeCell ref="D132:I132"/>
    <mergeCell ref="A133:C133"/>
    <mergeCell ref="D133:I133"/>
    <mergeCell ref="A134:C134"/>
    <mergeCell ref="D134:I134"/>
    <mergeCell ref="A136:I136"/>
    <mergeCell ref="A5:A7"/>
    <mergeCell ref="A8:A9"/>
    <mergeCell ref="A10:A11"/>
    <mergeCell ref="A12:A13"/>
    <mergeCell ref="A14:A16"/>
    <mergeCell ref="A24:A25"/>
    <mergeCell ref="A38:A40"/>
    <mergeCell ref="A103:A104"/>
    <mergeCell ref="A105:A106"/>
    <mergeCell ref="A107:A108"/>
    <mergeCell ref="A123:A124"/>
    <mergeCell ref="B5:B7"/>
    <mergeCell ref="B8:B9"/>
    <mergeCell ref="B10:B11"/>
    <mergeCell ref="B12:B13"/>
    <mergeCell ref="B14:B16"/>
    <mergeCell ref="B123:B124"/>
    <mergeCell ref="C5:C7"/>
    <mergeCell ref="C8:C9"/>
    <mergeCell ref="C10:C11"/>
    <mergeCell ref="C12:C13"/>
    <mergeCell ref="C14:C16"/>
    <mergeCell ref="C123:C124"/>
    <mergeCell ref="D5:D7"/>
    <mergeCell ref="D8:D9"/>
    <mergeCell ref="D10:D11"/>
    <mergeCell ref="D12:D13"/>
    <mergeCell ref="D14:D16"/>
    <mergeCell ref="G51:G53"/>
    <mergeCell ref="K59:K60"/>
    <mergeCell ref="K61:K62"/>
    <mergeCell ref="K65:K71"/>
    <mergeCell ref="L59:L60"/>
    <mergeCell ref="L61:L62"/>
    <mergeCell ref="F112:G113"/>
    <mergeCell ref="F114:G115"/>
    <mergeCell ref="A118:B119"/>
    <mergeCell ref="F116:G117"/>
    <mergeCell ref="A120:B121"/>
    <mergeCell ref="A116:B117"/>
    <mergeCell ref="A110:B111"/>
    <mergeCell ref="F104:G105"/>
  </mergeCells>
  <conditionalFormatting sqref="C92">
    <cfRule type="expression" dxfId="5" priority="2" stopIfTrue="1">
      <formula>$H$90&lt;&gt;"仅含出让金"</formula>
    </cfRule>
  </conditionalFormatting>
  <conditionalFormatting sqref="C93">
    <cfRule type="expression" dxfId="6" priority="1" stopIfTrue="1">
      <formula>$H$93="由企业提供"</formula>
    </cfRule>
  </conditionalFormatting>
  <conditionalFormatting sqref="C5:C7">
    <cfRule type="cellIs" dxfId="7" priority="9" stopIfTrue="1" operator="equal">
      <formula>25</formula>
    </cfRule>
  </conditionalFormatting>
  <conditionalFormatting sqref="C8:C9">
    <cfRule type="cellIs" dxfId="7" priority="8" stopIfTrue="1" operator="equal">
      <formula>15</formula>
    </cfRule>
  </conditionalFormatting>
  <conditionalFormatting sqref="C14:C16">
    <cfRule type="cellIs" dxfId="7" priority="7" stopIfTrue="1" operator="equal">
      <formula>30</formula>
    </cfRule>
  </conditionalFormatting>
  <conditionalFormatting sqref="D5:D7">
    <cfRule type="cellIs" dxfId="7" priority="6" stopIfTrue="1" operator="equal">
      <formula>25</formula>
    </cfRule>
  </conditionalFormatting>
  <conditionalFormatting sqref="D8:D9">
    <cfRule type="cellIs" dxfId="7" priority="5" stopIfTrue="1" operator="equal">
      <formula>15</formula>
    </cfRule>
  </conditionalFormatting>
  <conditionalFormatting sqref="D14:D16">
    <cfRule type="cellIs" dxfId="7" priority="3" stopIfTrue="1" operator="equal">
      <formula>30</formula>
    </cfRule>
  </conditionalFormatting>
  <conditionalFormatting sqref="C10:D13">
    <cfRule type="cellIs" dxfId="7" priority="4" stopIfTrue="1" operator="equal">
      <formula>15</formula>
    </cfRule>
  </conditionalFormatting>
  <dataValidations count="13">
    <dataValidation type="list" allowBlank="1" showInputMessage="1" showErrorMessage="1" sqref="G79">
      <formula1>"个人住宅,2016年5月1日前购买,2016年5月1日后购买"</formula1>
    </dataValidation>
    <dataValidation type="list" allowBlank="1" showInputMessage="1" showErrorMessage="1" sqref="C4:D4">
      <formula1>估价方法</formula1>
    </dataValidation>
    <dataValidation type="list" allowBlank="1" showInputMessage="1" showErrorMessage="1" sqref="H61">
      <formula1>"非个人房产,个人住宅（满五唯一有凭证）,个人其他（有凭证）,个人其他（无凭证）"</formula1>
    </dataValidation>
    <dataValidation type="list" allowBlank="1" showInputMessage="1" showErrorMessage="1" sqref="F47">
      <formula1>"100%,80%,60%,64%"</formula1>
    </dataValidation>
    <dataValidation type="list" allowBlank="1" showInputMessage="1" showErrorMessage="1" sqref="D38">
      <formula1>"同一抵押权人同一抵押物续贷,注销后放款,正常操作"</formula1>
    </dataValidation>
    <dataValidation type="list" allowBlank="1" showInputMessage="1" showErrorMessage="1" sqref="H90">
      <formula1>"仅含出让金,出让金+开发费"</formula1>
    </dataValidation>
    <dataValidation type="list" allowBlank="1" showInputMessage="1" showErrorMessage="1" sqref="H50">
      <formula1>"情况1,情况2,情况3,情况4"</formula1>
    </dataValidation>
    <dataValidation type="list" allowBlank="1" showInputMessage="1" showErrorMessage="1" sqref="H60">
      <formula1>"转让取得,自行开发建设"</formula1>
    </dataValidation>
    <dataValidation type="list" allowBlank="1" showInputMessage="1" showErrorMessage="1" sqref="C137">
      <formula1>"无,有"</formula1>
    </dataValidation>
    <dataValidation type="list" allowBlank="1" showInputMessage="1" showErrorMessage="1" sqref="F77">
      <formula1>"买卖合同,购房发票"</formula1>
    </dataValidation>
    <dataValidation type="list" allowBlank="1" showInputMessage="1" showErrorMessage="1" sqref="H93">
      <formula1>"企业提供（在右侧录入）,——"</formula1>
    </dataValidation>
    <dataValidation type="list" allowBlank="1" showInputMessage="1" showErrorMessage="1" sqref="D123:E123">
      <formula1>"出让国有建设用地使用权价值,划拨国有建设用地使用权价值"</formula1>
    </dataValidation>
    <dataValidation type="list" allowBlank="1" showInputMessage="1" showErrorMessage="1" sqref="H57:H58">
      <formula1>"个人住宅,正常"</formula1>
    </dataValidation>
  </dataValidations>
  <pageMargins left="0.433070866141732" right="0.433070866141732" top="0.354330708661417" bottom="0.15748031496063" header="0.31496062992126" footer="0.31496062992126"/>
  <pageSetup paperSize="9" scale="80" orientation="portrait"/>
  <headerFooter/>
  <rowBreaks count="3" manualBreakCount="3">
    <brk id="45" max="8" man="1"/>
    <brk id="99" max="8" man="1"/>
    <brk id="150" max="8" man="1"/>
  </rowBreaks>
  <colBreaks count="1" manualBreakCount="1">
    <brk id="10" max="1048575" man="1"/>
  </colBreaks>
  <legacy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
    <tabColor rgb="FF92D050"/>
    <pageSetUpPr fitToPage="1"/>
  </sheetPr>
  <dimension ref="A1:DS57"/>
  <sheetViews>
    <sheetView view="pageBreakPreview" zoomScale="80" zoomScaleNormal="80" workbookViewId="0">
      <selection activeCell="C13" sqref="C13:H13"/>
    </sheetView>
  </sheetViews>
  <sheetFormatPr defaultColWidth="8.375" defaultRowHeight="12.75"/>
  <cols>
    <col min="1" max="1" width="9.375" style="2495" customWidth="1"/>
    <col min="2" max="2" width="29.25" style="2496" customWidth="1"/>
    <col min="3" max="3" width="12.125" style="2496" customWidth="1"/>
    <col min="4" max="4" width="12.25" style="2497" customWidth="1"/>
    <col min="5" max="5" width="11.25" style="2497" customWidth="1"/>
    <col min="6" max="6" width="9.5" style="2496" customWidth="1"/>
    <col min="7" max="7" width="31.875" style="2496" customWidth="1"/>
    <col min="8" max="123" width="9" style="2494" customWidth="1"/>
    <col min="124" max="254" width="9" style="2496" customWidth="1"/>
    <col min="255" max="16384" width="8.375" style="2496"/>
  </cols>
  <sheetData>
    <row r="1" s="2490" customFormat="1" ht="20.25" spans="1:123">
      <c r="A1" s="2403" t="s">
        <v>867</v>
      </c>
      <c r="B1" s="2405"/>
      <c r="C1" s="2498"/>
      <c r="D1" s="2498"/>
      <c r="E1" s="2498"/>
      <c r="F1" s="2498"/>
      <c r="G1" s="1426"/>
      <c r="H1" s="2044"/>
      <c r="I1" s="2044"/>
      <c r="J1" s="2044"/>
      <c r="K1" s="2044"/>
      <c r="L1" s="2044"/>
      <c r="M1" s="2044"/>
      <c r="N1" s="2044"/>
      <c r="O1" s="2044"/>
      <c r="P1" s="2044"/>
      <c r="Q1" s="2044"/>
      <c r="R1" s="2044"/>
      <c r="S1" s="2044"/>
      <c r="T1" s="2044"/>
      <c r="U1" s="2044"/>
      <c r="V1" s="2044"/>
      <c r="W1" s="2044"/>
      <c r="X1" s="2044"/>
      <c r="Y1" s="2044"/>
      <c r="Z1" s="2044"/>
      <c r="AA1" s="2044"/>
      <c r="AB1" s="2044"/>
      <c r="AC1" s="2044"/>
      <c r="AD1" s="2044"/>
      <c r="AE1" s="2044"/>
      <c r="AF1" s="2044"/>
      <c r="AG1" s="2044"/>
      <c r="AH1" s="2044"/>
      <c r="AI1" s="2044"/>
      <c r="AJ1" s="2044"/>
      <c r="AK1" s="2044"/>
      <c r="AL1" s="2044"/>
      <c r="AM1" s="2044"/>
      <c r="AN1" s="2044"/>
      <c r="AO1" s="2044"/>
      <c r="AP1" s="2044"/>
      <c r="AQ1" s="2044"/>
      <c r="AR1" s="2044"/>
      <c r="AS1" s="2044"/>
      <c r="AT1" s="2044"/>
      <c r="AU1" s="2044"/>
      <c r="AV1" s="2044"/>
      <c r="AW1" s="2044"/>
      <c r="AX1" s="2044"/>
      <c r="AY1" s="2044"/>
      <c r="AZ1" s="2044"/>
      <c r="BA1" s="2044"/>
      <c r="BB1" s="2044"/>
      <c r="BC1" s="2044"/>
      <c r="BD1" s="2044"/>
      <c r="BE1" s="2044"/>
      <c r="BF1" s="2044"/>
      <c r="BG1" s="2044"/>
      <c r="BH1" s="2044"/>
      <c r="BI1" s="2044"/>
      <c r="BJ1" s="2044"/>
      <c r="BK1" s="2044"/>
      <c r="BL1" s="2044"/>
      <c r="BM1" s="2044"/>
      <c r="BN1" s="2044"/>
      <c r="BO1" s="2044"/>
      <c r="BP1" s="2044"/>
      <c r="BQ1" s="2044"/>
      <c r="BR1" s="2044"/>
      <c r="BS1" s="2044"/>
      <c r="BT1" s="2044"/>
      <c r="BU1" s="2044"/>
      <c r="BV1" s="2044"/>
      <c r="BW1" s="2044"/>
      <c r="BX1" s="2044"/>
      <c r="BY1" s="2044"/>
      <c r="BZ1" s="2044"/>
      <c r="CA1" s="2044"/>
      <c r="CB1" s="2044"/>
      <c r="CC1" s="2044"/>
      <c r="CD1" s="2044"/>
      <c r="CE1" s="2044"/>
      <c r="CF1" s="2044"/>
      <c r="CG1" s="2044"/>
      <c r="CH1" s="2044"/>
      <c r="CI1" s="2044"/>
      <c r="CJ1" s="2044"/>
      <c r="CK1" s="2044"/>
      <c r="CL1" s="2044"/>
      <c r="CM1" s="2044"/>
      <c r="CN1" s="2044"/>
      <c r="CO1" s="2044"/>
      <c r="CP1" s="2044"/>
      <c r="CQ1" s="2044"/>
      <c r="CR1" s="2044"/>
      <c r="CS1" s="2044"/>
      <c r="CT1" s="2044"/>
      <c r="CU1" s="2044"/>
      <c r="CV1" s="2044"/>
      <c r="CW1" s="2044"/>
      <c r="CX1" s="2044"/>
      <c r="CY1" s="2044"/>
      <c r="CZ1" s="2044"/>
      <c r="DA1" s="2044"/>
      <c r="DB1" s="2044"/>
      <c r="DC1" s="2044"/>
      <c r="DD1" s="2044"/>
      <c r="DE1" s="2044"/>
      <c r="DF1" s="2044"/>
      <c r="DG1" s="2044"/>
      <c r="DH1" s="2044"/>
      <c r="DI1" s="2044"/>
      <c r="DJ1" s="2044"/>
      <c r="DK1" s="2044"/>
      <c r="DL1" s="2044"/>
      <c r="DM1" s="2044"/>
      <c r="DN1" s="2044"/>
      <c r="DO1" s="2044"/>
      <c r="DP1" s="2044"/>
      <c r="DQ1" s="2044"/>
      <c r="DR1" s="2044"/>
      <c r="DS1" s="2044"/>
    </row>
    <row r="2" s="2490" customFormat="1" ht="18" customHeight="1" spans="1:123">
      <c r="A2" s="721" t="s">
        <v>868</v>
      </c>
      <c r="B2" s="2499">
        <f ca="1">IF(D2="——",IF(C2="元",C52,ROUND(C52/10000,0)),IF(C2="元",C52,ROUND(C52/10000,0))-E2)</f>
        <v>2549346</v>
      </c>
      <c r="C2" s="1426" t="str">
        <f>'数据-取费表'!B3</f>
        <v>元</v>
      </c>
      <c r="D2" s="2500" t="s">
        <v>121</v>
      </c>
      <c r="E2" s="2501" t="e">
        <f ca="1">SUMIF(INDIRECT("'"&amp;G2&amp;"'"&amp;"!A:A"),"承租人权益价值",INDIRECT("'"&amp;G2&amp;"'"&amp;"!c:c"))</f>
        <v>#REF!</v>
      </c>
      <c r="F2" s="2502" t="str">
        <f>C2</f>
        <v>元</v>
      </c>
      <c r="G2" s="2503"/>
      <c r="H2" s="2044"/>
      <c r="I2" s="2044"/>
      <c r="J2" s="2044"/>
      <c r="K2" s="2044"/>
      <c r="L2" s="2044"/>
      <c r="M2" s="2044"/>
      <c r="N2" s="2044"/>
      <c r="O2" s="2044"/>
      <c r="P2" s="2044"/>
      <c r="Q2" s="2044"/>
      <c r="R2" s="2044"/>
      <c r="S2" s="2044"/>
      <c r="T2" s="2044"/>
      <c r="U2" s="2044"/>
      <c r="V2" s="2044"/>
      <c r="W2" s="2044"/>
      <c r="X2" s="2044"/>
      <c r="Y2" s="2044"/>
      <c r="Z2" s="2044"/>
      <c r="AA2" s="2044"/>
      <c r="AB2" s="2044"/>
      <c r="AC2" s="2044"/>
      <c r="AD2" s="2044"/>
      <c r="AE2" s="2044"/>
      <c r="AF2" s="2044"/>
      <c r="AG2" s="2044"/>
      <c r="AH2" s="2044"/>
      <c r="AI2" s="2044"/>
      <c r="AJ2" s="2044"/>
      <c r="AK2" s="2044"/>
      <c r="AL2" s="2044"/>
      <c r="AM2" s="2044"/>
      <c r="AN2" s="2044"/>
      <c r="AO2" s="2044"/>
      <c r="AP2" s="2044"/>
      <c r="AQ2" s="2044"/>
      <c r="AR2" s="2044"/>
      <c r="AS2" s="2044"/>
      <c r="AT2" s="2044"/>
      <c r="AU2" s="2044"/>
      <c r="AV2" s="2044"/>
      <c r="AW2" s="2044"/>
      <c r="AX2" s="2044"/>
      <c r="AY2" s="2044"/>
      <c r="AZ2" s="2044"/>
      <c r="BA2" s="2044"/>
      <c r="BB2" s="2044"/>
      <c r="BC2" s="2044"/>
      <c r="BD2" s="2044"/>
      <c r="BE2" s="2044"/>
      <c r="BF2" s="2044"/>
      <c r="BG2" s="2044"/>
      <c r="BH2" s="2044"/>
      <c r="BI2" s="2044"/>
      <c r="BJ2" s="2044"/>
      <c r="BK2" s="2044"/>
      <c r="BL2" s="2044"/>
      <c r="BM2" s="2044"/>
      <c r="BN2" s="2044"/>
      <c r="BO2" s="2044"/>
      <c r="BP2" s="2044"/>
      <c r="BQ2" s="2044"/>
      <c r="BR2" s="2044"/>
      <c r="BS2" s="2044"/>
      <c r="BT2" s="2044"/>
      <c r="BU2" s="2044"/>
      <c r="BV2" s="2044"/>
      <c r="BW2" s="2044"/>
      <c r="BX2" s="2044"/>
      <c r="BY2" s="2044"/>
      <c r="BZ2" s="2044"/>
      <c r="CA2" s="2044"/>
      <c r="CB2" s="2044"/>
      <c r="CC2" s="2044"/>
      <c r="CD2" s="2044"/>
      <c r="CE2" s="2044"/>
      <c r="CF2" s="2044"/>
      <c r="CG2" s="2044"/>
      <c r="CH2" s="2044"/>
      <c r="CI2" s="2044"/>
      <c r="CJ2" s="2044"/>
      <c r="CK2" s="2044"/>
      <c r="CL2" s="2044"/>
      <c r="CM2" s="2044"/>
      <c r="CN2" s="2044"/>
      <c r="CO2" s="2044"/>
      <c r="CP2" s="2044"/>
      <c r="CQ2" s="2044"/>
      <c r="CR2" s="2044"/>
      <c r="CS2" s="2044"/>
      <c r="CT2" s="2044"/>
      <c r="CU2" s="2044"/>
      <c r="CV2" s="2044"/>
      <c r="CW2" s="2044"/>
      <c r="CX2" s="2044"/>
      <c r="CY2" s="2044"/>
      <c r="CZ2" s="2044"/>
      <c r="DA2" s="2044"/>
      <c r="DB2" s="2044"/>
      <c r="DC2" s="2044"/>
      <c r="DD2" s="2044"/>
      <c r="DE2" s="2044"/>
      <c r="DF2" s="2044"/>
      <c r="DG2" s="2044"/>
      <c r="DH2" s="2044"/>
      <c r="DI2" s="2044"/>
      <c r="DJ2" s="2044"/>
      <c r="DK2" s="2044"/>
      <c r="DL2" s="2044"/>
      <c r="DM2" s="2044"/>
      <c r="DN2" s="2044"/>
      <c r="DO2" s="2044"/>
      <c r="DP2" s="2044"/>
      <c r="DQ2" s="2044"/>
      <c r="DR2" s="2044"/>
      <c r="DS2" s="2044"/>
    </row>
    <row r="3" s="2490" customFormat="1" ht="18" customHeight="1" spans="1:123">
      <c r="A3" s="726" t="s">
        <v>869</v>
      </c>
      <c r="B3" s="2408">
        <f>ROUND(C52/IF(B1="仅计算典型户型",'数据-取费表'!E5,'数据-取费表'!B5),0)</f>
        <v>10338</v>
      </c>
      <c r="C3" s="1426" t="s">
        <v>870</v>
      </c>
      <c r="D3" s="1426"/>
      <c r="E3" s="1426"/>
      <c r="F3" s="1426"/>
      <c r="G3" s="1426"/>
      <c r="H3" s="2044"/>
      <c r="I3" s="2044"/>
      <c r="J3" s="2044"/>
      <c r="K3" s="2044"/>
      <c r="L3" s="2044"/>
      <c r="M3" s="2044"/>
      <c r="N3" s="2044"/>
      <c r="O3" s="2044"/>
      <c r="P3" s="2044"/>
      <c r="Q3" s="2044"/>
      <c r="R3" s="2044"/>
      <c r="S3" s="2044"/>
      <c r="T3" s="2044"/>
      <c r="U3" s="2044"/>
      <c r="V3" s="2044"/>
      <c r="W3" s="2044"/>
      <c r="X3" s="2044"/>
      <c r="Y3" s="2044"/>
      <c r="Z3" s="2044"/>
      <c r="AA3" s="2044"/>
      <c r="AB3" s="2044"/>
      <c r="AC3" s="2044"/>
      <c r="AD3" s="2044"/>
      <c r="AE3" s="2044"/>
      <c r="AF3" s="2044"/>
      <c r="AG3" s="2044"/>
      <c r="AH3" s="2044"/>
      <c r="AI3" s="2044"/>
      <c r="AJ3" s="2044"/>
      <c r="AK3" s="2044"/>
      <c r="AL3" s="2044"/>
      <c r="AM3" s="2044"/>
      <c r="AN3" s="2044"/>
      <c r="AO3" s="2044"/>
      <c r="AP3" s="2044"/>
      <c r="AQ3" s="2044"/>
      <c r="AR3" s="2044"/>
      <c r="AS3" s="2044"/>
      <c r="AT3" s="2044"/>
      <c r="AU3" s="2044"/>
      <c r="AV3" s="2044"/>
      <c r="AW3" s="2044"/>
      <c r="AX3" s="2044"/>
      <c r="AY3" s="2044"/>
      <c r="AZ3" s="2044"/>
      <c r="BA3" s="2044"/>
      <c r="BB3" s="2044"/>
      <c r="BC3" s="2044"/>
      <c r="BD3" s="2044"/>
      <c r="BE3" s="2044"/>
      <c r="BF3" s="2044"/>
      <c r="BG3" s="2044"/>
      <c r="BH3" s="2044"/>
      <c r="BI3" s="2044"/>
      <c r="BJ3" s="2044"/>
      <c r="BK3" s="2044"/>
      <c r="BL3" s="2044"/>
      <c r="BM3" s="2044"/>
      <c r="BN3" s="2044"/>
      <c r="BO3" s="2044"/>
      <c r="BP3" s="2044"/>
      <c r="BQ3" s="2044"/>
      <c r="BR3" s="2044"/>
      <c r="BS3" s="2044"/>
      <c r="BT3" s="2044"/>
      <c r="BU3" s="2044"/>
      <c r="BV3" s="2044"/>
      <c r="BW3" s="2044"/>
      <c r="BX3" s="2044"/>
      <c r="BY3" s="2044"/>
      <c r="BZ3" s="2044"/>
      <c r="CA3" s="2044"/>
      <c r="CB3" s="2044"/>
      <c r="CC3" s="2044"/>
      <c r="CD3" s="2044"/>
      <c r="CE3" s="2044"/>
      <c r="CF3" s="2044"/>
      <c r="CG3" s="2044"/>
      <c r="CH3" s="2044"/>
      <c r="CI3" s="2044"/>
      <c r="CJ3" s="2044"/>
      <c r="CK3" s="2044"/>
      <c r="CL3" s="2044"/>
      <c r="CM3" s="2044"/>
      <c r="CN3" s="2044"/>
      <c r="CO3" s="2044"/>
      <c r="CP3" s="2044"/>
      <c r="CQ3" s="2044"/>
      <c r="CR3" s="2044"/>
      <c r="CS3" s="2044"/>
      <c r="CT3" s="2044"/>
      <c r="CU3" s="2044"/>
      <c r="CV3" s="2044"/>
      <c r="CW3" s="2044"/>
      <c r="CX3" s="2044"/>
      <c r="CY3" s="2044"/>
      <c r="CZ3" s="2044"/>
      <c r="DA3" s="2044"/>
      <c r="DB3" s="2044"/>
      <c r="DC3" s="2044"/>
      <c r="DD3" s="2044"/>
      <c r="DE3" s="2044"/>
      <c r="DF3" s="2044"/>
      <c r="DG3" s="2044"/>
      <c r="DH3" s="2044"/>
      <c r="DI3" s="2044"/>
      <c r="DJ3" s="2044"/>
      <c r="DK3" s="2044"/>
      <c r="DL3" s="2044"/>
      <c r="DM3" s="2044"/>
      <c r="DN3" s="2044"/>
      <c r="DO3" s="2044"/>
      <c r="DP3" s="2044"/>
      <c r="DQ3" s="2044"/>
      <c r="DR3" s="2044"/>
      <c r="DS3" s="2044"/>
    </row>
    <row r="4" s="2491" customFormat="1" ht="15.75" spans="1:123">
      <c r="A4" s="2504" t="s">
        <v>871</v>
      </c>
      <c r="B4" s="2505"/>
      <c r="C4" s="2505"/>
      <c r="D4" s="2505"/>
      <c r="E4" s="2505"/>
      <c r="F4" s="2505"/>
      <c r="G4" s="2506"/>
      <c r="H4" s="2507"/>
      <c r="I4" s="2507"/>
      <c r="J4" s="2507"/>
      <c r="K4" s="2507"/>
      <c r="L4" s="2507"/>
      <c r="M4" s="2507"/>
      <c r="N4" s="2507"/>
      <c r="O4" s="2507"/>
      <c r="P4" s="2507"/>
      <c r="Q4" s="2507"/>
      <c r="R4" s="2507"/>
      <c r="S4" s="2507"/>
      <c r="T4" s="2507"/>
      <c r="U4" s="2507"/>
      <c r="V4" s="2507"/>
      <c r="W4" s="2507"/>
      <c r="X4" s="2507"/>
      <c r="Y4" s="2507"/>
      <c r="Z4" s="2507"/>
      <c r="AA4" s="2507"/>
      <c r="AB4" s="2507"/>
      <c r="AC4" s="2507"/>
      <c r="AD4" s="2507"/>
      <c r="AE4" s="2507"/>
      <c r="AF4" s="2507"/>
      <c r="AG4" s="2507"/>
      <c r="AH4" s="2507"/>
      <c r="AI4" s="2507"/>
      <c r="AJ4" s="2507"/>
      <c r="AK4" s="2507"/>
      <c r="AL4" s="2507"/>
      <c r="AM4" s="2507"/>
      <c r="AN4" s="2507"/>
      <c r="AO4" s="2507"/>
      <c r="AP4" s="2507"/>
      <c r="AQ4" s="2507"/>
      <c r="AR4" s="2507"/>
      <c r="AS4" s="2507"/>
      <c r="AT4" s="2507"/>
      <c r="AU4" s="2507"/>
      <c r="AV4" s="2507"/>
      <c r="AW4" s="2507"/>
      <c r="AX4" s="2507"/>
      <c r="AY4" s="2507"/>
      <c r="AZ4" s="2507"/>
      <c r="BA4" s="2507"/>
      <c r="BB4" s="2507"/>
      <c r="BC4" s="2507"/>
      <c r="BD4" s="2507"/>
      <c r="BE4" s="2507"/>
      <c r="BF4" s="2507"/>
      <c r="BG4" s="2507"/>
      <c r="BH4" s="2507"/>
      <c r="BI4" s="2507"/>
      <c r="BJ4" s="2507"/>
      <c r="BK4" s="2507"/>
      <c r="BL4" s="2507"/>
      <c r="BM4" s="2507"/>
      <c r="BN4" s="2507"/>
      <c r="BO4" s="2507"/>
      <c r="BP4" s="2507"/>
      <c r="BQ4" s="2507"/>
      <c r="BR4" s="2507"/>
      <c r="BS4" s="2507"/>
      <c r="BT4" s="2507"/>
      <c r="BU4" s="2507"/>
      <c r="BV4" s="2507"/>
      <c r="BW4" s="2507"/>
      <c r="BX4" s="2507"/>
      <c r="BY4" s="2507"/>
      <c r="BZ4" s="2507"/>
      <c r="CA4" s="2507"/>
      <c r="CB4" s="2507"/>
      <c r="CC4" s="2507"/>
      <c r="CD4" s="2507"/>
      <c r="CE4" s="2507"/>
      <c r="CF4" s="2507"/>
      <c r="CG4" s="2507"/>
      <c r="CH4" s="2507"/>
      <c r="CI4" s="2507"/>
      <c r="CJ4" s="2507"/>
      <c r="CK4" s="2507"/>
      <c r="CL4" s="2507"/>
      <c r="CM4" s="2507"/>
      <c r="CN4" s="2507"/>
      <c r="CO4" s="2507"/>
      <c r="CP4" s="2507"/>
      <c r="CQ4" s="2507"/>
      <c r="CR4" s="2507"/>
      <c r="CS4" s="2507"/>
      <c r="CT4" s="2507"/>
      <c r="CU4" s="2507"/>
      <c r="CV4" s="2507"/>
      <c r="CW4" s="2507"/>
      <c r="CX4" s="2507"/>
      <c r="CY4" s="2507"/>
      <c r="CZ4" s="2507"/>
      <c r="DA4" s="2507"/>
      <c r="DB4" s="2507"/>
      <c r="DC4" s="2507"/>
      <c r="DD4" s="2507"/>
      <c r="DE4" s="2507"/>
      <c r="DF4" s="2507"/>
      <c r="DG4" s="2507"/>
      <c r="DH4" s="2507"/>
      <c r="DI4" s="2507"/>
      <c r="DJ4" s="2507"/>
      <c r="DK4" s="2507"/>
      <c r="DL4" s="2507"/>
      <c r="DM4" s="2507"/>
      <c r="DN4" s="2507"/>
      <c r="DO4" s="2507"/>
      <c r="DP4" s="2507"/>
      <c r="DQ4" s="2507"/>
      <c r="DR4" s="2507"/>
      <c r="DS4" s="2507"/>
    </row>
    <row r="5" s="2492" customFormat="1" ht="13.5" customHeight="1" spans="1:123">
      <c r="A5" s="2508" t="s">
        <v>872</v>
      </c>
      <c r="B5" s="2509" t="s">
        <v>873</v>
      </c>
      <c r="C5" s="2510">
        <f>C6+C7+C8</f>
        <v>1030500</v>
      </c>
      <c r="D5" s="2510" t="s">
        <v>874</v>
      </c>
      <c r="E5" s="2511" t="s">
        <v>875</v>
      </c>
      <c r="F5" s="2511" t="s">
        <v>723</v>
      </c>
      <c r="G5" s="2512"/>
      <c r="H5" s="2493"/>
      <c r="I5" s="2493"/>
      <c r="J5" s="2493"/>
      <c r="K5" s="2493"/>
      <c r="L5" s="2493"/>
      <c r="M5" s="2493"/>
      <c r="N5" s="2493"/>
      <c r="O5" s="2493"/>
      <c r="P5" s="2493"/>
      <c r="Q5" s="2493"/>
      <c r="R5" s="2493"/>
      <c r="S5" s="2493"/>
      <c r="T5" s="2493"/>
      <c r="U5" s="2493"/>
      <c r="V5" s="2493"/>
      <c r="W5" s="2493"/>
      <c r="X5" s="2493"/>
      <c r="Y5" s="2493"/>
      <c r="Z5" s="2493"/>
      <c r="AA5" s="2493"/>
      <c r="AB5" s="2493"/>
      <c r="AC5" s="2493"/>
      <c r="AD5" s="2493"/>
      <c r="AE5" s="2493"/>
      <c r="AF5" s="2493"/>
      <c r="AG5" s="2493"/>
      <c r="AH5" s="2493"/>
      <c r="AI5" s="2493"/>
      <c r="AJ5" s="2493"/>
      <c r="AK5" s="2493"/>
      <c r="AL5" s="2493"/>
      <c r="AM5" s="2493"/>
      <c r="AN5" s="2493"/>
      <c r="AO5" s="2493"/>
      <c r="AP5" s="2493"/>
      <c r="AQ5" s="2493"/>
      <c r="AR5" s="2493"/>
      <c r="AS5" s="2493"/>
      <c r="AT5" s="2493"/>
      <c r="AU5" s="2493"/>
      <c r="AV5" s="2493"/>
      <c r="AW5" s="2493"/>
      <c r="AX5" s="2493"/>
      <c r="AY5" s="2493"/>
      <c r="AZ5" s="2493"/>
      <c r="BA5" s="2493"/>
      <c r="BB5" s="2493"/>
      <c r="BC5" s="2493"/>
      <c r="BD5" s="2493"/>
      <c r="BE5" s="2493"/>
      <c r="BF5" s="2493"/>
      <c r="BG5" s="2493"/>
      <c r="BH5" s="2493"/>
      <c r="BI5" s="2493"/>
      <c r="BJ5" s="2493"/>
      <c r="BK5" s="2493"/>
      <c r="BL5" s="2493"/>
      <c r="BM5" s="2493"/>
      <c r="BN5" s="2493"/>
      <c r="BO5" s="2493"/>
      <c r="BP5" s="2493"/>
      <c r="BQ5" s="2493"/>
      <c r="BR5" s="2493"/>
      <c r="BS5" s="2493"/>
      <c r="BT5" s="2493"/>
      <c r="BU5" s="2493"/>
      <c r="BV5" s="2493"/>
      <c r="BW5" s="2493"/>
      <c r="BX5" s="2493"/>
      <c r="BY5" s="2493"/>
      <c r="BZ5" s="2493"/>
      <c r="CA5" s="2493"/>
      <c r="CB5" s="2493"/>
      <c r="CC5" s="2493"/>
      <c r="CD5" s="2493"/>
      <c r="CE5" s="2493"/>
      <c r="CF5" s="2493"/>
      <c r="CG5" s="2493"/>
      <c r="CH5" s="2493"/>
      <c r="CI5" s="2493"/>
      <c r="CJ5" s="2493"/>
      <c r="CK5" s="2493"/>
      <c r="CL5" s="2493"/>
      <c r="CM5" s="2493"/>
      <c r="CN5" s="2493"/>
      <c r="CO5" s="2493"/>
      <c r="CP5" s="2493"/>
      <c r="CQ5" s="2493"/>
      <c r="CR5" s="2493"/>
      <c r="CS5" s="2493"/>
      <c r="CT5" s="2493"/>
      <c r="CU5" s="2493"/>
      <c r="CV5" s="2493"/>
      <c r="CW5" s="2493"/>
      <c r="CX5" s="2493"/>
      <c r="CY5" s="2493"/>
      <c r="CZ5" s="2493"/>
      <c r="DA5" s="2493"/>
      <c r="DB5" s="2493"/>
      <c r="DC5" s="2493"/>
      <c r="DD5" s="2493"/>
      <c r="DE5" s="2493"/>
      <c r="DF5" s="2493"/>
      <c r="DG5" s="2493"/>
      <c r="DH5" s="2493"/>
      <c r="DI5" s="2493"/>
      <c r="DJ5" s="2493"/>
      <c r="DK5" s="2493"/>
      <c r="DL5" s="2493"/>
      <c r="DM5" s="2493"/>
      <c r="DN5" s="2493"/>
      <c r="DO5" s="2493"/>
      <c r="DP5" s="2493"/>
      <c r="DQ5" s="2493"/>
      <c r="DR5" s="2493"/>
      <c r="DS5" s="2493"/>
    </row>
    <row r="6" s="2492" customFormat="1" ht="13.5" customHeight="1" spans="1:123">
      <c r="A6" s="2513" t="s">
        <v>876</v>
      </c>
      <c r="B6" s="2514" t="s">
        <v>877</v>
      </c>
      <c r="C6" s="2515">
        <v>1000000</v>
      </c>
      <c r="D6" s="2516"/>
      <c r="E6" s="2517"/>
      <c r="F6" s="2517"/>
      <c r="G6" s="2518"/>
      <c r="H6" s="2493"/>
      <c r="I6" s="2493"/>
      <c r="J6" s="2493"/>
      <c r="K6" s="2493"/>
      <c r="L6" s="2493"/>
      <c r="M6" s="2493"/>
      <c r="N6" s="2493"/>
      <c r="O6" s="2493"/>
      <c r="P6" s="2493"/>
      <c r="Q6" s="2493"/>
      <c r="R6" s="2493"/>
      <c r="S6" s="2493"/>
      <c r="T6" s="2493"/>
      <c r="U6" s="2493"/>
      <c r="V6" s="2493"/>
      <c r="W6" s="2493"/>
      <c r="X6" s="2493"/>
      <c r="Y6" s="2493"/>
      <c r="Z6" s="2493"/>
      <c r="AA6" s="2493"/>
      <c r="AB6" s="2493"/>
      <c r="AC6" s="2493"/>
      <c r="AD6" s="2493"/>
      <c r="AE6" s="2493"/>
      <c r="AF6" s="2493"/>
      <c r="AG6" s="2493"/>
      <c r="AH6" s="2493"/>
      <c r="AI6" s="2493"/>
      <c r="AJ6" s="2493"/>
      <c r="AK6" s="2493"/>
      <c r="AL6" s="2493"/>
      <c r="AM6" s="2493"/>
      <c r="AN6" s="2493"/>
      <c r="AO6" s="2493"/>
      <c r="AP6" s="2493"/>
      <c r="AQ6" s="2493"/>
      <c r="AR6" s="2493"/>
      <c r="AS6" s="2493"/>
      <c r="AT6" s="2493"/>
      <c r="AU6" s="2493"/>
      <c r="AV6" s="2493"/>
      <c r="AW6" s="2493"/>
      <c r="AX6" s="2493"/>
      <c r="AY6" s="2493"/>
      <c r="AZ6" s="2493"/>
      <c r="BA6" s="2493"/>
      <c r="BB6" s="2493"/>
      <c r="BC6" s="2493"/>
      <c r="BD6" s="2493"/>
      <c r="BE6" s="2493"/>
      <c r="BF6" s="2493"/>
      <c r="BG6" s="2493"/>
      <c r="BH6" s="2493"/>
      <c r="BI6" s="2493"/>
      <c r="BJ6" s="2493"/>
      <c r="BK6" s="2493"/>
      <c r="BL6" s="2493"/>
      <c r="BM6" s="2493"/>
      <c r="BN6" s="2493"/>
      <c r="BO6" s="2493"/>
      <c r="BP6" s="2493"/>
      <c r="BQ6" s="2493"/>
      <c r="BR6" s="2493"/>
      <c r="BS6" s="2493"/>
      <c r="BT6" s="2493"/>
      <c r="BU6" s="2493"/>
      <c r="BV6" s="2493"/>
      <c r="BW6" s="2493"/>
      <c r="BX6" s="2493"/>
      <c r="BY6" s="2493"/>
      <c r="BZ6" s="2493"/>
      <c r="CA6" s="2493"/>
      <c r="CB6" s="2493"/>
      <c r="CC6" s="2493"/>
      <c r="CD6" s="2493"/>
      <c r="CE6" s="2493"/>
      <c r="CF6" s="2493"/>
      <c r="CG6" s="2493"/>
      <c r="CH6" s="2493"/>
      <c r="CI6" s="2493"/>
      <c r="CJ6" s="2493"/>
      <c r="CK6" s="2493"/>
      <c r="CL6" s="2493"/>
      <c r="CM6" s="2493"/>
      <c r="CN6" s="2493"/>
      <c r="CO6" s="2493"/>
      <c r="CP6" s="2493"/>
      <c r="CQ6" s="2493"/>
      <c r="CR6" s="2493"/>
      <c r="CS6" s="2493"/>
      <c r="CT6" s="2493"/>
      <c r="CU6" s="2493"/>
      <c r="CV6" s="2493"/>
      <c r="CW6" s="2493"/>
      <c r="CX6" s="2493"/>
      <c r="CY6" s="2493"/>
      <c r="CZ6" s="2493"/>
      <c r="DA6" s="2493"/>
      <c r="DB6" s="2493"/>
      <c r="DC6" s="2493"/>
      <c r="DD6" s="2493"/>
      <c r="DE6" s="2493"/>
      <c r="DF6" s="2493"/>
      <c r="DG6" s="2493"/>
      <c r="DH6" s="2493"/>
      <c r="DI6" s="2493"/>
      <c r="DJ6" s="2493"/>
      <c r="DK6" s="2493"/>
      <c r="DL6" s="2493"/>
      <c r="DM6" s="2493"/>
      <c r="DN6" s="2493"/>
      <c r="DO6" s="2493"/>
      <c r="DP6" s="2493"/>
      <c r="DQ6" s="2493"/>
      <c r="DR6" s="2493"/>
      <c r="DS6" s="2493"/>
    </row>
    <row r="7" s="2492" customFormat="1" ht="13.5" customHeight="1" spans="1:123">
      <c r="A7" s="2513" t="s">
        <v>878</v>
      </c>
      <c r="B7" s="2514" t="s">
        <v>879</v>
      </c>
      <c r="C7" s="2519">
        <f>ROUND(C6*F7,0)</f>
        <v>30500</v>
      </c>
      <c r="D7" s="2519"/>
      <c r="E7" s="2517"/>
      <c r="F7" s="2520">
        <f>'数据-取费表'!E36+'数据-取费表'!E37</f>
        <v>0.0305</v>
      </c>
      <c r="G7" s="2518"/>
      <c r="H7" s="2493"/>
      <c r="I7" s="2493"/>
      <c r="J7" s="2493"/>
      <c r="K7" s="2493"/>
      <c r="L7" s="2493"/>
      <c r="M7" s="2493"/>
      <c r="N7" s="2493"/>
      <c r="O7" s="2493"/>
      <c r="P7" s="2493"/>
      <c r="Q7" s="2493"/>
      <c r="R7" s="2493"/>
      <c r="S7" s="2493"/>
      <c r="T7" s="2493"/>
      <c r="U7" s="2493"/>
      <c r="V7" s="2493"/>
      <c r="W7" s="2493"/>
      <c r="X7" s="2493"/>
      <c r="Y7" s="2493"/>
      <c r="Z7" s="2493"/>
      <c r="AA7" s="2493"/>
      <c r="AB7" s="2493"/>
      <c r="AC7" s="2493"/>
      <c r="AD7" s="2493"/>
      <c r="AE7" s="2493"/>
      <c r="AF7" s="2493"/>
      <c r="AG7" s="2493"/>
      <c r="AH7" s="2493"/>
      <c r="AI7" s="2493"/>
      <c r="AJ7" s="2493"/>
      <c r="AK7" s="2493"/>
      <c r="AL7" s="2493"/>
      <c r="AM7" s="2493"/>
      <c r="AN7" s="2493"/>
      <c r="AO7" s="2493"/>
      <c r="AP7" s="2493"/>
      <c r="AQ7" s="2493"/>
      <c r="AR7" s="2493"/>
      <c r="AS7" s="2493"/>
      <c r="AT7" s="2493"/>
      <c r="AU7" s="2493"/>
      <c r="AV7" s="2493"/>
      <c r="AW7" s="2493"/>
      <c r="AX7" s="2493"/>
      <c r="AY7" s="2493"/>
      <c r="AZ7" s="2493"/>
      <c r="BA7" s="2493"/>
      <c r="BB7" s="2493"/>
      <c r="BC7" s="2493"/>
      <c r="BD7" s="2493"/>
      <c r="BE7" s="2493"/>
      <c r="BF7" s="2493"/>
      <c r="BG7" s="2493"/>
      <c r="BH7" s="2493"/>
      <c r="BI7" s="2493"/>
      <c r="BJ7" s="2493"/>
      <c r="BK7" s="2493"/>
      <c r="BL7" s="2493"/>
      <c r="BM7" s="2493"/>
      <c r="BN7" s="2493"/>
      <c r="BO7" s="2493"/>
      <c r="BP7" s="2493"/>
      <c r="BQ7" s="2493"/>
      <c r="BR7" s="2493"/>
      <c r="BS7" s="2493"/>
      <c r="BT7" s="2493"/>
      <c r="BU7" s="2493"/>
      <c r="BV7" s="2493"/>
      <c r="BW7" s="2493"/>
      <c r="BX7" s="2493"/>
      <c r="BY7" s="2493"/>
      <c r="BZ7" s="2493"/>
      <c r="CA7" s="2493"/>
      <c r="CB7" s="2493"/>
      <c r="CC7" s="2493"/>
      <c r="CD7" s="2493"/>
      <c r="CE7" s="2493"/>
      <c r="CF7" s="2493"/>
      <c r="CG7" s="2493"/>
      <c r="CH7" s="2493"/>
      <c r="CI7" s="2493"/>
      <c r="CJ7" s="2493"/>
      <c r="CK7" s="2493"/>
      <c r="CL7" s="2493"/>
      <c r="CM7" s="2493"/>
      <c r="CN7" s="2493"/>
      <c r="CO7" s="2493"/>
      <c r="CP7" s="2493"/>
      <c r="CQ7" s="2493"/>
      <c r="CR7" s="2493"/>
      <c r="CS7" s="2493"/>
      <c r="CT7" s="2493"/>
      <c r="CU7" s="2493"/>
      <c r="CV7" s="2493"/>
      <c r="CW7" s="2493"/>
      <c r="CX7" s="2493"/>
      <c r="CY7" s="2493"/>
      <c r="CZ7" s="2493"/>
      <c r="DA7" s="2493"/>
      <c r="DB7" s="2493"/>
      <c r="DC7" s="2493"/>
      <c r="DD7" s="2493"/>
      <c r="DE7" s="2493"/>
      <c r="DF7" s="2493"/>
      <c r="DG7" s="2493"/>
      <c r="DH7" s="2493"/>
      <c r="DI7" s="2493"/>
      <c r="DJ7" s="2493"/>
      <c r="DK7" s="2493"/>
      <c r="DL7" s="2493"/>
      <c r="DM7" s="2493"/>
      <c r="DN7" s="2493"/>
      <c r="DO7" s="2493"/>
      <c r="DP7" s="2493"/>
      <c r="DQ7" s="2493"/>
      <c r="DR7" s="2493"/>
      <c r="DS7" s="2493"/>
    </row>
    <row r="8" s="2493" customFormat="1" spans="1:7">
      <c r="A8" s="2513" t="s">
        <v>880</v>
      </c>
      <c r="B8" s="2514" t="s">
        <v>881</v>
      </c>
      <c r="C8" s="2519">
        <f>IF(G8="已包含在土地购买价格中","0",'数据-取费表'!E13)</f>
        <v>0</v>
      </c>
      <c r="D8" s="2521"/>
      <c r="E8" s="2519"/>
      <c r="F8" s="2520"/>
      <c r="G8" s="2522"/>
    </row>
    <row r="9" s="2492" customFormat="1" ht="13.5" customHeight="1" spans="1:123">
      <c r="A9" s="2523" t="s">
        <v>882</v>
      </c>
      <c r="B9" s="2524" t="s">
        <v>883</v>
      </c>
      <c r="C9" s="2525">
        <f>ROUND(D9*E9,0)</f>
        <v>39454</v>
      </c>
      <c r="D9" s="2526">
        <f>IF('数据-取费表'!B10="住宅",IF(B1="仅计算典型户型",'数据-取费表'!E5,'数据-取费表'!B5),0)</f>
        <v>246.59</v>
      </c>
      <c r="E9" s="2525">
        <f>'数据-取费表'!E11</f>
        <v>160</v>
      </c>
      <c r="F9" s="2520"/>
      <c r="G9" s="2527"/>
      <c r="H9" s="2493"/>
      <c r="I9" s="2493"/>
      <c r="J9" s="2493"/>
      <c r="K9" s="2493"/>
      <c r="L9" s="2493"/>
      <c r="M9" s="2493"/>
      <c r="N9" s="2493"/>
      <c r="O9" s="2493"/>
      <c r="P9" s="2493"/>
      <c r="Q9" s="2493"/>
      <c r="R9" s="2493"/>
      <c r="S9" s="2493"/>
      <c r="T9" s="2493"/>
      <c r="U9" s="2493"/>
      <c r="V9" s="2493"/>
      <c r="W9" s="2493"/>
      <c r="X9" s="2493"/>
      <c r="Y9" s="2493"/>
      <c r="Z9" s="2493"/>
      <c r="AA9" s="2493"/>
      <c r="AB9" s="2493"/>
      <c r="AC9" s="2493"/>
      <c r="AD9" s="2493"/>
      <c r="AE9" s="2493"/>
      <c r="AF9" s="2493"/>
      <c r="AG9" s="2493"/>
      <c r="AH9" s="2493"/>
      <c r="AI9" s="2493"/>
      <c r="AJ9" s="2493"/>
      <c r="AK9" s="2493"/>
      <c r="AL9" s="2493"/>
      <c r="AM9" s="2493"/>
      <c r="AN9" s="2493"/>
      <c r="AO9" s="2493"/>
      <c r="AP9" s="2493"/>
      <c r="AQ9" s="2493"/>
      <c r="AR9" s="2493"/>
      <c r="AS9" s="2493"/>
      <c r="AT9" s="2493"/>
      <c r="AU9" s="2493"/>
      <c r="AV9" s="2493"/>
      <c r="AW9" s="2493"/>
      <c r="AX9" s="2493"/>
      <c r="AY9" s="2493"/>
      <c r="AZ9" s="2493"/>
      <c r="BA9" s="2493"/>
      <c r="BB9" s="2493"/>
      <c r="BC9" s="2493"/>
      <c r="BD9" s="2493"/>
      <c r="BE9" s="2493"/>
      <c r="BF9" s="2493"/>
      <c r="BG9" s="2493"/>
      <c r="BH9" s="2493"/>
      <c r="BI9" s="2493"/>
      <c r="BJ9" s="2493"/>
      <c r="BK9" s="2493"/>
      <c r="BL9" s="2493"/>
      <c r="BM9" s="2493"/>
      <c r="BN9" s="2493"/>
      <c r="BO9" s="2493"/>
      <c r="BP9" s="2493"/>
      <c r="BQ9" s="2493"/>
      <c r="BR9" s="2493"/>
      <c r="BS9" s="2493"/>
      <c r="BT9" s="2493"/>
      <c r="BU9" s="2493"/>
      <c r="BV9" s="2493"/>
      <c r="BW9" s="2493"/>
      <c r="BX9" s="2493"/>
      <c r="BY9" s="2493"/>
      <c r="BZ9" s="2493"/>
      <c r="CA9" s="2493"/>
      <c r="CB9" s="2493"/>
      <c r="CC9" s="2493"/>
      <c r="CD9" s="2493"/>
      <c r="CE9" s="2493"/>
      <c r="CF9" s="2493"/>
      <c r="CG9" s="2493"/>
      <c r="CH9" s="2493"/>
      <c r="CI9" s="2493"/>
      <c r="CJ9" s="2493"/>
      <c r="CK9" s="2493"/>
      <c r="CL9" s="2493"/>
      <c r="CM9" s="2493"/>
      <c r="CN9" s="2493"/>
      <c r="CO9" s="2493"/>
      <c r="CP9" s="2493"/>
      <c r="CQ9" s="2493"/>
      <c r="CR9" s="2493"/>
      <c r="CS9" s="2493"/>
      <c r="CT9" s="2493"/>
      <c r="CU9" s="2493"/>
      <c r="CV9" s="2493"/>
      <c r="CW9" s="2493"/>
      <c r="CX9" s="2493"/>
      <c r="CY9" s="2493"/>
      <c r="CZ9" s="2493"/>
      <c r="DA9" s="2493"/>
      <c r="DB9" s="2493"/>
      <c r="DC9" s="2493"/>
      <c r="DD9" s="2493"/>
      <c r="DE9" s="2493"/>
      <c r="DF9" s="2493"/>
      <c r="DG9" s="2493"/>
      <c r="DH9" s="2493"/>
      <c r="DI9" s="2493"/>
      <c r="DJ9" s="2493"/>
      <c r="DK9" s="2493"/>
      <c r="DL9" s="2493"/>
      <c r="DM9" s="2493"/>
      <c r="DN9" s="2493"/>
      <c r="DO9" s="2493"/>
      <c r="DP9" s="2493"/>
      <c r="DQ9" s="2493"/>
      <c r="DR9" s="2493"/>
      <c r="DS9" s="2493"/>
    </row>
    <row r="10" s="2492" customFormat="1" ht="13.5" customHeight="1" spans="1:123">
      <c r="A10" s="2523" t="s">
        <v>884</v>
      </c>
      <c r="B10" s="2524" t="s">
        <v>885</v>
      </c>
      <c r="C10" s="2525">
        <f>ROUND(D10*E10,0)</f>
        <v>0</v>
      </c>
      <c r="D10" s="2526">
        <f>IF('数据-取费表'!B10&lt;&gt;"住宅",IF(B1="仅计算典型户型",'数据-取费表'!E5,'数据-取费表'!B5),0)</f>
        <v>0</v>
      </c>
      <c r="E10" s="2525">
        <f>'数据-取费表'!E12</f>
        <v>200</v>
      </c>
      <c r="F10" s="2520"/>
      <c r="G10" s="2527"/>
      <c r="H10" s="2493"/>
      <c r="I10" s="2493"/>
      <c r="J10" s="2493"/>
      <c r="K10" s="2493"/>
      <c r="L10" s="2493"/>
      <c r="M10" s="2493"/>
      <c r="N10" s="2493"/>
      <c r="O10" s="2493"/>
      <c r="P10" s="2493"/>
      <c r="Q10" s="2493"/>
      <c r="R10" s="2493"/>
      <c r="S10" s="2493"/>
      <c r="T10" s="2493"/>
      <c r="U10" s="2493"/>
      <c r="V10" s="2493"/>
      <c r="W10" s="2493"/>
      <c r="X10" s="2493"/>
      <c r="Y10" s="2493"/>
      <c r="Z10" s="2493"/>
      <c r="AA10" s="2493"/>
      <c r="AB10" s="2493"/>
      <c r="AC10" s="2493"/>
      <c r="AD10" s="2493"/>
      <c r="AE10" s="2493"/>
      <c r="AF10" s="2493"/>
      <c r="AG10" s="2493"/>
      <c r="AH10" s="2493"/>
      <c r="AI10" s="2493"/>
      <c r="AJ10" s="2493"/>
      <c r="AK10" s="2493"/>
      <c r="AL10" s="2493"/>
      <c r="AM10" s="2493"/>
      <c r="AN10" s="2493"/>
      <c r="AO10" s="2493"/>
      <c r="AP10" s="2493"/>
      <c r="AQ10" s="2493"/>
      <c r="AR10" s="2493"/>
      <c r="AS10" s="2493"/>
      <c r="AT10" s="2493"/>
      <c r="AU10" s="2493"/>
      <c r="AV10" s="2493"/>
      <c r="AW10" s="2493"/>
      <c r="AX10" s="2493"/>
      <c r="AY10" s="2493"/>
      <c r="AZ10" s="2493"/>
      <c r="BA10" s="2493"/>
      <c r="BB10" s="2493"/>
      <c r="BC10" s="2493"/>
      <c r="BD10" s="2493"/>
      <c r="BE10" s="2493"/>
      <c r="BF10" s="2493"/>
      <c r="BG10" s="2493"/>
      <c r="BH10" s="2493"/>
      <c r="BI10" s="2493"/>
      <c r="BJ10" s="2493"/>
      <c r="BK10" s="2493"/>
      <c r="BL10" s="2493"/>
      <c r="BM10" s="2493"/>
      <c r="BN10" s="2493"/>
      <c r="BO10" s="2493"/>
      <c r="BP10" s="2493"/>
      <c r="BQ10" s="2493"/>
      <c r="BR10" s="2493"/>
      <c r="BS10" s="2493"/>
      <c r="BT10" s="2493"/>
      <c r="BU10" s="2493"/>
      <c r="BV10" s="2493"/>
      <c r="BW10" s="2493"/>
      <c r="BX10" s="2493"/>
      <c r="BY10" s="2493"/>
      <c r="BZ10" s="2493"/>
      <c r="CA10" s="2493"/>
      <c r="CB10" s="2493"/>
      <c r="CC10" s="2493"/>
      <c r="CD10" s="2493"/>
      <c r="CE10" s="2493"/>
      <c r="CF10" s="2493"/>
      <c r="CG10" s="2493"/>
      <c r="CH10" s="2493"/>
      <c r="CI10" s="2493"/>
      <c r="CJ10" s="2493"/>
      <c r="CK10" s="2493"/>
      <c r="CL10" s="2493"/>
      <c r="CM10" s="2493"/>
      <c r="CN10" s="2493"/>
      <c r="CO10" s="2493"/>
      <c r="CP10" s="2493"/>
      <c r="CQ10" s="2493"/>
      <c r="CR10" s="2493"/>
      <c r="CS10" s="2493"/>
      <c r="CT10" s="2493"/>
      <c r="CU10" s="2493"/>
      <c r="CV10" s="2493"/>
      <c r="CW10" s="2493"/>
      <c r="CX10" s="2493"/>
      <c r="CY10" s="2493"/>
      <c r="CZ10" s="2493"/>
      <c r="DA10" s="2493"/>
      <c r="DB10" s="2493"/>
      <c r="DC10" s="2493"/>
      <c r="DD10" s="2493"/>
      <c r="DE10" s="2493"/>
      <c r="DF10" s="2493"/>
      <c r="DG10" s="2493"/>
      <c r="DH10" s="2493"/>
      <c r="DI10" s="2493"/>
      <c r="DJ10" s="2493"/>
      <c r="DK10" s="2493"/>
      <c r="DL10" s="2493"/>
      <c r="DM10" s="2493"/>
      <c r="DN10" s="2493"/>
      <c r="DO10" s="2493"/>
      <c r="DP10" s="2493"/>
      <c r="DQ10" s="2493"/>
      <c r="DR10" s="2493"/>
      <c r="DS10" s="2493"/>
    </row>
    <row r="11" s="2492" customFormat="1" ht="13.5" hidden="1" customHeight="1" spans="1:123">
      <c r="A11" s="2513" t="s">
        <v>886</v>
      </c>
      <c r="B11" s="2514" t="s">
        <v>887</v>
      </c>
      <c r="C11" s="2510"/>
      <c r="D11" s="2519"/>
      <c r="E11" s="2517"/>
      <c r="F11" s="2517"/>
      <c r="G11" s="2518"/>
      <c r="H11" s="2493"/>
      <c r="I11" s="2493"/>
      <c r="J11" s="2493"/>
      <c r="K11" s="2493"/>
      <c r="L11" s="2493"/>
      <c r="M11" s="2493"/>
      <c r="N11" s="2493"/>
      <c r="O11" s="2493"/>
      <c r="P11" s="2493"/>
      <c r="Q11" s="2493"/>
      <c r="R11" s="2493"/>
      <c r="S11" s="2493"/>
      <c r="T11" s="2493"/>
      <c r="U11" s="2493"/>
      <c r="V11" s="2493"/>
      <c r="W11" s="2493"/>
      <c r="X11" s="2493"/>
      <c r="Y11" s="2493"/>
      <c r="Z11" s="2493"/>
      <c r="AA11" s="2493"/>
      <c r="AB11" s="2493"/>
      <c r="AC11" s="2493"/>
      <c r="AD11" s="2493"/>
      <c r="AE11" s="2493"/>
      <c r="AF11" s="2493"/>
      <c r="AG11" s="2493"/>
      <c r="AH11" s="2493"/>
      <c r="AI11" s="2493"/>
      <c r="AJ11" s="2493"/>
      <c r="AK11" s="2493"/>
      <c r="AL11" s="2493"/>
      <c r="AM11" s="2493"/>
      <c r="AN11" s="2493"/>
      <c r="AO11" s="2493"/>
      <c r="AP11" s="2493"/>
      <c r="AQ11" s="2493"/>
      <c r="AR11" s="2493"/>
      <c r="AS11" s="2493"/>
      <c r="AT11" s="2493"/>
      <c r="AU11" s="2493"/>
      <c r="AV11" s="2493"/>
      <c r="AW11" s="2493"/>
      <c r="AX11" s="2493"/>
      <c r="AY11" s="2493"/>
      <c r="AZ11" s="2493"/>
      <c r="BA11" s="2493"/>
      <c r="BB11" s="2493"/>
      <c r="BC11" s="2493"/>
      <c r="BD11" s="2493"/>
      <c r="BE11" s="2493"/>
      <c r="BF11" s="2493"/>
      <c r="BG11" s="2493"/>
      <c r="BH11" s="2493"/>
      <c r="BI11" s="2493"/>
      <c r="BJ11" s="2493"/>
      <c r="BK11" s="2493"/>
      <c r="BL11" s="2493"/>
      <c r="BM11" s="2493"/>
      <c r="BN11" s="2493"/>
      <c r="BO11" s="2493"/>
      <c r="BP11" s="2493"/>
      <c r="BQ11" s="2493"/>
      <c r="BR11" s="2493"/>
      <c r="BS11" s="2493"/>
      <c r="BT11" s="2493"/>
      <c r="BU11" s="2493"/>
      <c r="BV11" s="2493"/>
      <c r="BW11" s="2493"/>
      <c r="BX11" s="2493"/>
      <c r="BY11" s="2493"/>
      <c r="BZ11" s="2493"/>
      <c r="CA11" s="2493"/>
      <c r="CB11" s="2493"/>
      <c r="CC11" s="2493"/>
      <c r="CD11" s="2493"/>
      <c r="CE11" s="2493"/>
      <c r="CF11" s="2493"/>
      <c r="CG11" s="2493"/>
      <c r="CH11" s="2493"/>
      <c r="CI11" s="2493"/>
      <c r="CJ11" s="2493"/>
      <c r="CK11" s="2493"/>
      <c r="CL11" s="2493"/>
      <c r="CM11" s="2493"/>
      <c r="CN11" s="2493"/>
      <c r="CO11" s="2493"/>
      <c r="CP11" s="2493"/>
      <c r="CQ11" s="2493"/>
      <c r="CR11" s="2493"/>
      <c r="CS11" s="2493"/>
      <c r="CT11" s="2493"/>
      <c r="CU11" s="2493"/>
      <c r="CV11" s="2493"/>
      <c r="CW11" s="2493"/>
      <c r="CX11" s="2493"/>
      <c r="CY11" s="2493"/>
      <c r="CZ11" s="2493"/>
      <c r="DA11" s="2493"/>
      <c r="DB11" s="2493"/>
      <c r="DC11" s="2493"/>
      <c r="DD11" s="2493"/>
      <c r="DE11" s="2493"/>
      <c r="DF11" s="2493"/>
      <c r="DG11" s="2493"/>
      <c r="DH11" s="2493"/>
      <c r="DI11" s="2493"/>
      <c r="DJ11" s="2493"/>
      <c r="DK11" s="2493"/>
      <c r="DL11" s="2493"/>
      <c r="DM11" s="2493"/>
      <c r="DN11" s="2493"/>
      <c r="DO11" s="2493"/>
      <c r="DP11" s="2493"/>
      <c r="DQ11" s="2493"/>
      <c r="DR11" s="2493"/>
      <c r="DS11" s="2493"/>
    </row>
    <row r="12" s="2492" customFormat="1" ht="13.5" hidden="1" customHeight="1" spans="1:123">
      <c r="A12" s="2513" t="s">
        <v>888</v>
      </c>
      <c r="B12" s="2514" t="s">
        <v>760</v>
      </c>
      <c r="C12" s="2510">
        <v>0</v>
      </c>
      <c r="D12" s="2519"/>
      <c r="E12" s="2528"/>
      <c r="F12" s="2520">
        <v>0.0305</v>
      </c>
      <c r="G12" s="2518"/>
      <c r="H12" s="2493"/>
      <c r="I12" s="2493"/>
      <c r="J12" s="2493"/>
      <c r="K12" s="2493"/>
      <c r="L12" s="2493"/>
      <c r="M12" s="2493"/>
      <c r="N12" s="2493"/>
      <c r="O12" s="2493"/>
      <c r="P12" s="2493"/>
      <c r="Q12" s="2493"/>
      <c r="R12" s="2493"/>
      <c r="S12" s="2493"/>
      <c r="T12" s="2493"/>
      <c r="U12" s="2493"/>
      <c r="V12" s="2493"/>
      <c r="W12" s="2493"/>
      <c r="X12" s="2493"/>
      <c r="Y12" s="2493"/>
      <c r="Z12" s="2493"/>
      <c r="AA12" s="2493"/>
      <c r="AB12" s="2493"/>
      <c r="AC12" s="2493"/>
      <c r="AD12" s="2493"/>
      <c r="AE12" s="2493"/>
      <c r="AF12" s="2493"/>
      <c r="AG12" s="2493"/>
      <c r="AH12" s="2493"/>
      <c r="AI12" s="2493"/>
      <c r="AJ12" s="2493"/>
      <c r="AK12" s="2493"/>
      <c r="AL12" s="2493"/>
      <c r="AM12" s="2493"/>
      <c r="AN12" s="2493"/>
      <c r="AO12" s="2493"/>
      <c r="AP12" s="2493"/>
      <c r="AQ12" s="2493"/>
      <c r="AR12" s="2493"/>
      <c r="AS12" s="2493"/>
      <c r="AT12" s="2493"/>
      <c r="AU12" s="2493"/>
      <c r="AV12" s="2493"/>
      <c r="AW12" s="2493"/>
      <c r="AX12" s="2493"/>
      <c r="AY12" s="2493"/>
      <c r="AZ12" s="2493"/>
      <c r="BA12" s="2493"/>
      <c r="BB12" s="2493"/>
      <c r="BC12" s="2493"/>
      <c r="BD12" s="2493"/>
      <c r="BE12" s="2493"/>
      <c r="BF12" s="2493"/>
      <c r="BG12" s="2493"/>
      <c r="BH12" s="2493"/>
      <c r="BI12" s="2493"/>
      <c r="BJ12" s="2493"/>
      <c r="BK12" s="2493"/>
      <c r="BL12" s="2493"/>
      <c r="BM12" s="2493"/>
      <c r="BN12" s="2493"/>
      <c r="BO12" s="2493"/>
      <c r="BP12" s="2493"/>
      <c r="BQ12" s="2493"/>
      <c r="BR12" s="2493"/>
      <c r="BS12" s="2493"/>
      <c r="BT12" s="2493"/>
      <c r="BU12" s="2493"/>
      <c r="BV12" s="2493"/>
      <c r="BW12" s="2493"/>
      <c r="BX12" s="2493"/>
      <c r="BY12" s="2493"/>
      <c r="BZ12" s="2493"/>
      <c r="CA12" s="2493"/>
      <c r="CB12" s="2493"/>
      <c r="CC12" s="2493"/>
      <c r="CD12" s="2493"/>
      <c r="CE12" s="2493"/>
      <c r="CF12" s="2493"/>
      <c r="CG12" s="2493"/>
      <c r="CH12" s="2493"/>
      <c r="CI12" s="2493"/>
      <c r="CJ12" s="2493"/>
      <c r="CK12" s="2493"/>
      <c r="CL12" s="2493"/>
      <c r="CM12" s="2493"/>
      <c r="CN12" s="2493"/>
      <c r="CO12" s="2493"/>
      <c r="CP12" s="2493"/>
      <c r="CQ12" s="2493"/>
      <c r="CR12" s="2493"/>
      <c r="CS12" s="2493"/>
      <c r="CT12" s="2493"/>
      <c r="CU12" s="2493"/>
      <c r="CV12" s="2493"/>
      <c r="CW12" s="2493"/>
      <c r="CX12" s="2493"/>
      <c r="CY12" s="2493"/>
      <c r="CZ12" s="2493"/>
      <c r="DA12" s="2493"/>
      <c r="DB12" s="2493"/>
      <c r="DC12" s="2493"/>
      <c r="DD12" s="2493"/>
      <c r="DE12" s="2493"/>
      <c r="DF12" s="2493"/>
      <c r="DG12" s="2493"/>
      <c r="DH12" s="2493"/>
      <c r="DI12" s="2493"/>
      <c r="DJ12" s="2493"/>
      <c r="DK12" s="2493"/>
      <c r="DL12" s="2493"/>
      <c r="DM12" s="2493"/>
      <c r="DN12" s="2493"/>
      <c r="DO12" s="2493"/>
      <c r="DP12" s="2493"/>
      <c r="DQ12" s="2493"/>
      <c r="DR12" s="2493"/>
      <c r="DS12" s="2493"/>
    </row>
    <row r="13" s="2492" customFormat="1" ht="13.5" hidden="1" customHeight="1" spans="1:123">
      <c r="A13" s="2513" t="s">
        <v>889</v>
      </c>
      <c r="B13" s="2514" t="s">
        <v>890</v>
      </c>
      <c r="C13" s="2510"/>
      <c r="D13" s="2519"/>
      <c r="E13" s="2517"/>
      <c r="F13" s="2517"/>
      <c r="G13" s="2518"/>
      <c r="H13" s="2493"/>
      <c r="I13" s="2493"/>
      <c r="J13" s="2493"/>
      <c r="K13" s="2493"/>
      <c r="L13" s="2493"/>
      <c r="M13" s="2493"/>
      <c r="N13" s="2493"/>
      <c r="O13" s="2493"/>
      <c r="P13" s="2493"/>
      <c r="Q13" s="2493"/>
      <c r="R13" s="2493"/>
      <c r="S13" s="2493"/>
      <c r="T13" s="2493"/>
      <c r="U13" s="2493"/>
      <c r="V13" s="2493"/>
      <c r="W13" s="2493"/>
      <c r="X13" s="2493"/>
      <c r="Y13" s="2493"/>
      <c r="Z13" s="2493"/>
      <c r="AA13" s="2493"/>
      <c r="AB13" s="2493"/>
      <c r="AC13" s="2493"/>
      <c r="AD13" s="2493"/>
      <c r="AE13" s="2493"/>
      <c r="AF13" s="2493"/>
      <c r="AG13" s="2493"/>
      <c r="AH13" s="2493"/>
      <c r="AI13" s="2493"/>
      <c r="AJ13" s="2493"/>
      <c r="AK13" s="2493"/>
      <c r="AL13" s="2493"/>
      <c r="AM13" s="2493"/>
      <c r="AN13" s="2493"/>
      <c r="AO13" s="2493"/>
      <c r="AP13" s="2493"/>
      <c r="AQ13" s="2493"/>
      <c r="AR13" s="2493"/>
      <c r="AS13" s="2493"/>
      <c r="AT13" s="2493"/>
      <c r="AU13" s="2493"/>
      <c r="AV13" s="2493"/>
      <c r="AW13" s="2493"/>
      <c r="AX13" s="2493"/>
      <c r="AY13" s="2493"/>
      <c r="AZ13" s="2493"/>
      <c r="BA13" s="2493"/>
      <c r="BB13" s="2493"/>
      <c r="BC13" s="2493"/>
      <c r="BD13" s="2493"/>
      <c r="BE13" s="2493"/>
      <c r="BF13" s="2493"/>
      <c r="BG13" s="2493"/>
      <c r="BH13" s="2493"/>
      <c r="BI13" s="2493"/>
      <c r="BJ13" s="2493"/>
      <c r="BK13" s="2493"/>
      <c r="BL13" s="2493"/>
      <c r="BM13" s="2493"/>
      <c r="BN13" s="2493"/>
      <c r="BO13" s="2493"/>
      <c r="BP13" s="2493"/>
      <c r="BQ13" s="2493"/>
      <c r="BR13" s="2493"/>
      <c r="BS13" s="2493"/>
      <c r="BT13" s="2493"/>
      <c r="BU13" s="2493"/>
      <c r="BV13" s="2493"/>
      <c r="BW13" s="2493"/>
      <c r="BX13" s="2493"/>
      <c r="BY13" s="2493"/>
      <c r="BZ13" s="2493"/>
      <c r="CA13" s="2493"/>
      <c r="CB13" s="2493"/>
      <c r="CC13" s="2493"/>
      <c r="CD13" s="2493"/>
      <c r="CE13" s="2493"/>
      <c r="CF13" s="2493"/>
      <c r="CG13" s="2493"/>
      <c r="CH13" s="2493"/>
      <c r="CI13" s="2493"/>
      <c r="CJ13" s="2493"/>
      <c r="CK13" s="2493"/>
      <c r="CL13" s="2493"/>
      <c r="CM13" s="2493"/>
      <c r="CN13" s="2493"/>
      <c r="CO13" s="2493"/>
      <c r="CP13" s="2493"/>
      <c r="CQ13" s="2493"/>
      <c r="CR13" s="2493"/>
      <c r="CS13" s="2493"/>
      <c r="CT13" s="2493"/>
      <c r="CU13" s="2493"/>
      <c r="CV13" s="2493"/>
      <c r="CW13" s="2493"/>
      <c r="CX13" s="2493"/>
      <c r="CY13" s="2493"/>
      <c r="CZ13" s="2493"/>
      <c r="DA13" s="2493"/>
      <c r="DB13" s="2493"/>
      <c r="DC13" s="2493"/>
      <c r="DD13" s="2493"/>
      <c r="DE13" s="2493"/>
      <c r="DF13" s="2493"/>
      <c r="DG13" s="2493"/>
      <c r="DH13" s="2493"/>
      <c r="DI13" s="2493"/>
      <c r="DJ13" s="2493"/>
      <c r="DK13" s="2493"/>
      <c r="DL13" s="2493"/>
      <c r="DM13" s="2493"/>
      <c r="DN13" s="2493"/>
      <c r="DO13" s="2493"/>
      <c r="DP13" s="2493"/>
      <c r="DQ13" s="2493"/>
      <c r="DR13" s="2493"/>
      <c r="DS13" s="2493"/>
    </row>
    <row r="14" s="2492" customFormat="1" ht="13.5" hidden="1" customHeight="1" spans="1:123">
      <c r="A14" s="2513" t="s">
        <v>891</v>
      </c>
      <c r="B14" s="2514" t="s">
        <v>881</v>
      </c>
      <c r="C14" s="2510"/>
      <c r="D14" s="2519"/>
      <c r="E14" s="2517"/>
      <c r="F14" s="2517"/>
      <c r="G14" s="2518" t="s">
        <v>892</v>
      </c>
      <c r="H14" s="2493"/>
      <c r="I14" s="2493"/>
      <c r="J14" s="2493"/>
      <c r="K14" s="2493"/>
      <c r="L14" s="2493"/>
      <c r="M14" s="2493"/>
      <c r="N14" s="2493"/>
      <c r="O14" s="2493"/>
      <c r="P14" s="2493"/>
      <c r="Q14" s="2493"/>
      <c r="R14" s="2493"/>
      <c r="S14" s="2493"/>
      <c r="T14" s="2493"/>
      <c r="U14" s="2493"/>
      <c r="V14" s="2493"/>
      <c r="W14" s="2493"/>
      <c r="X14" s="2493"/>
      <c r="Y14" s="2493"/>
      <c r="Z14" s="2493"/>
      <c r="AA14" s="2493"/>
      <c r="AB14" s="2493"/>
      <c r="AC14" s="2493"/>
      <c r="AD14" s="2493"/>
      <c r="AE14" s="2493"/>
      <c r="AF14" s="2493"/>
      <c r="AG14" s="2493"/>
      <c r="AH14" s="2493"/>
      <c r="AI14" s="2493"/>
      <c r="AJ14" s="2493"/>
      <c r="AK14" s="2493"/>
      <c r="AL14" s="2493"/>
      <c r="AM14" s="2493"/>
      <c r="AN14" s="2493"/>
      <c r="AO14" s="2493"/>
      <c r="AP14" s="2493"/>
      <c r="AQ14" s="2493"/>
      <c r="AR14" s="2493"/>
      <c r="AS14" s="2493"/>
      <c r="AT14" s="2493"/>
      <c r="AU14" s="2493"/>
      <c r="AV14" s="2493"/>
      <c r="AW14" s="2493"/>
      <c r="AX14" s="2493"/>
      <c r="AY14" s="2493"/>
      <c r="AZ14" s="2493"/>
      <c r="BA14" s="2493"/>
      <c r="BB14" s="2493"/>
      <c r="BC14" s="2493"/>
      <c r="BD14" s="2493"/>
      <c r="BE14" s="2493"/>
      <c r="BF14" s="2493"/>
      <c r="BG14" s="2493"/>
      <c r="BH14" s="2493"/>
      <c r="BI14" s="2493"/>
      <c r="BJ14" s="2493"/>
      <c r="BK14" s="2493"/>
      <c r="BL14" s="2493"/>
      <c r="BM14" s="2493"/>
      <c r="BN14" s="2493"/>
      <c r="BO14" s="2493"/>
      <c r="BP14" s="2493"/>
      <c r="BQ14" s="2493"/>
      <c r="BR14" s="2493"/>
      <c r="BS14" s="2493"/>
      <c r="BT14" s="2493"/>
      <c r="BU14" s="2493"/>
      <c r="BV14" s="2493"/>
      <c r="BW14" s="2493"/>
      <c r="BX14" s="2493"/>
      <c r="BY14" s="2493"/>
      <c r="BZ14" s="2493"/>
      <c r="CA14" s="2493"/>
      <c r="CB14" s="2493"/>
      <c r="CC14" s="2493"/>
      <c r="CD14" s="2493"/>
      <c r="CE14" s="2493"/>
      <c r="CF14" s="2493"/>
      <c r="CG14" s="2493"/>
      <c r="CH14" s="2493"/>
      <c r="CI14" s="2493"/>
      <c r="CJ14" s="2493"/>
      <c r="CK14" s="2493"/>
      <c r="CL14" s="2493"/>
      <c r="CM14" s="2493"/>
      <c r="CN14" s="2493"/>
      <c r="CO14" s="2493"/>
      <c r="CP14" s="2493"/>
      <c r="CQ14" s="2493"/>
      <c r="CR14" s="2493"/>
      <c r="CS14" s="2493"/>
      <c r="CT14" s="2493"/>
      <c r="CU14" s="2493"/>
      <c r="CV14" s="2493"/>
      <c r="CW14" s="2493"/>
      <c r="CX14" s="2493"/>
      <c r="CY14" s="2493"/>
      <c r="CZ14" s="2493"/>
      <c r="DA14" s="2493"/>
      <c r="DB14" s="2493"/>
      <c r="DC14" s="2493"/>
      <c r="DD14" s="2493"/>
      <c r="DE14" s="2493"/>
      <c r="DF14" s="2493"/>
      <c r="DG14" s="2493"/>
      <c r="DH14" s="2493"/>
      <c r="DI14" s="2493"/>
      <c r="DJ14" s="2493"/>
      <c r="DK14" s="2493"/>
      <c r="DL14" s="2493"/>
      <c r="DM14" s="2493"/>
      <c r="DN14" s="2493"/>
      <c r="DO14" s="2493"/>
      <c r="DP14" s="2493"/>
      <c r="DQ14" s="2493"/>
      <c r="DR14" s="2493"/>
      <c r="DS14" s="2493"/>
    </row>
    <row r="15" s="2492" customFormat="1" ht="13.5" hidden="1" customHeight="1" spans="1:123">
      <c r="A15" s="2513" t="s">
        <v>893</v>
      </c>
      <c r="B15" s="2514" t="s">
        <v>894</v>
      </c>
      <c r="C15" s="2519"/>
      <c r="D15" s="2519"/>
      <c r="E15" s="2517"/>
      <c r="F15" s="2517"/>
      <c r="G15" s="2518" t="s">
        <v>895</v>
      </c>
      <c r="H15" s="2493"/>
      <c r="I15" s="2493"/>
      <c r="J15" s="2493"/>
      <c r="K15" s="2493"/>
      <c r="L15" s="2493"/>
      <c r="M15" s="2493"/>
      <c r="N15" s="2493"/>
      <c r="O15" s="2493"/>
      <c r="P15" s="2493"/>
      <c r="Q15" s="2493"/>
      <c r="R15" s="2493"/>
      <c r="S15" s="2493"/>
      <c r="T15" s="2493"/>
      <c r="U15" s="2493"/>
      <c r="V15" s="2493"/>
      <c r="W15" s="2493"/>
      <c r="X15" s="2493"/>
      <c r="Y15" s="2493"/>
      <c r="Z15" s="2493"/>
      <c r="AA15" s="2493"/>
      <c r="AB15" s="2493"/>
      <c r="AC15" s="2493"/>
      <c r="AD15" s="2493"/>
      <c r="AE15" s="2493"/>
      <c r="AF15" s="2493"/>
      <c r="AG15" s="2493"/>
      <c r="AH15" s="2493"/>
      <c r="AI15" s="2493"/>
      <c r="AJ15" s="2493"/>
      <c r="AK15" s="2493"/>
      <c r="AL15" s="2493"/>
      <c r="AM15" s="2493"/>
      <c r="AN15" s="2493"/>
      <c r="AO15" s="2493"/>
      <c r="AP15" s="2493"/>
      <c r="AQ15" s="2493"/>
      <c r="AR15" s="2493"/>
      <c r="AS15" s="2493"/>
      <c r="AT15" s="2493"/>
      <c r="AU15" s="2493"/>
      <c r="AV15" s="2493"/>
      <c r="AW15" s="2493"/>
      <c r="AX15" s="2493"/>
      <c r="AY15" s="2493"/>
      <c r="AZ15" s="2493"/>
      <c r="BA15" s="2493"/>
      <c r="BB15" s="2493"/>
      <c r="BC15" s="2493"/>
      <c r="BD15" s="2493"/>
      <c r="BE15" s="2493"/>
      <c r="BF15" s="2493"/>
      <c r="BG15" s="2493"/>
      <c r="BH15" s="2493"/>
      <c r="BI15" s="2493"/>
      <c r="BJ15" s="2493"/>
      <c r="BK15" s="2493"/>
      <c r="BL15" s="2493"/>
      <c r="BM15" s="2493"/>
      <c r="BN15" s="2493"/>
      <c r="BO15" s="2493"/>
      <c r="BP15" s="2493"/>
      <c r="BQ15" s="2493"/>
      <c r="BR15" s="2493"/>
      <c r="BS15" s="2493"/>
      <c r="BT15" s="2493"/>
      <c r="BU15" s="2493"/>
      <c r="BV15" s="2493"/>
      <c r="BW15" s="2493"/>
      <c r="BX15" s="2493"/>
      <c r="BY15" s="2493"/>
      <c r="BZ15" s="2493"/>
      <c r="CA15" s="2493"/>
      <c r="CB15" s="2493"/>
      <c r="CC15" s="2493"/>
      <c r="CD15" s="2493"/>
      <c r="CE15" s="2493"/>
      <c r="CF15" s="2493"/>
      <c r="CG15" s="2493"/>
      <c r="CH15" s="2493"/>
      <c r="CI15" s="2493"/>
      <c r="CJ15" s="2493"/>
      <c r="CK15" s="2493"/>
      <c r="CL15" s="2493"/>
      <c r="CM15" s="2493"/>
      <c r="CN15" s="2493"/>
      <c r="CO15" s="2493"/>
      <c r="CP15" s="2493"/>
      <c r="CQ15" s="2493"/>
      <c r="CR15" s="2493"/>
      <c r="CS15" s="2493"/>
      <c r="CT15" s="2493"/>
      <c r="CU15" s="2493"/>
      <c r="CV15" s="2493"/>
      <c r="CW15" s="2493"/>
      <c r="CX15" s="2493"/>
      <c r="CY15" s="2493"/>
      <c r="CZ15" s="2493"/>
      <c r="DA15" s="2493"/>
      <c r="DB15" s="2493"/>
      <c r="DC15" s="2493"/>
      <c r="DD15" s="2493"/>
      <c r="DE15" s="2493"/>
      <c r="DF15" s="2493"/>
      <c r="DG15" s="2493"/>
      <c r="DH15" s="2493"/>
      <c r="DI15" s="2493"/>
      <c r="DJ15" s="2493"/>
      <c r="DK15" s="2493"/>
      <c r="DL15" s="2493"/>
      <c r="DM15" s="2493"/>
      <c r="DN15" s="2493"/>
      <c r="DO15" s="2493"/>
      <c r="DP15" s="2493"/>
      <c r="DQ15" s="2493"/>
      <c r="DR15" s="2493"/>
      <c r="DS15" s="2493"/>
    </row>
    <row r="16" s="2492" customFormat="1" ht="13.5" hidden="1" customHeight="1" spans="1:123">
      <c r="A16" s="2513" t="s">
        <v>896</v>
      </c>
      <c r="B16" s="2514" t="s">
        <v>881</v>
      </c>
      <c r="C16" s="2519"/>
      <c r="D16" s="2519"/>
      <c r="E16" s="2517"/>
      <c r="F16" s="2517"/>
      <c r="G16" s="2518"/>
      <c r="H16" s="2493"/>
      <c r="I16" s="2493"/>
      <c r="J16" s="2493"/>
      <c r="K16" s="2493"/>
      <c r="L16" s="2493"/>
      <c r="M16" s="2493"/>
      <c r="N16" s="2493"/>
      <c r="O16" s="2493"/>
      <c r="P16" s="2493"/>
      <c r="Q16" s="2493"/>
      <c r="R16" s="2493"/>
      <c r="S16" s="2493"/>
      <c r="T16" s="2493"/>
      <c r="U16" s="2493"/>
      <c r="V16" s="2493"/>
      <c r="W16" s="2493"/>
      <c r="X16" s="2493"/>
      <c r="Y16" s="2493"/>
      <c r="Z16" s="2493"/>
      <c r="AA16" s="2493"/>
      <c r="AB16" s="2493"/>
      <c r="AC16" s="2493"/>
      <c r="AD16" s="2493"/>
      <c r="AE16" s="2493"/>
      <c r="AF16" s="2493"/>
      <c r="AG16" s="2493"/>
      <c r="AH16" s="2493"/>
      <c r="AI16" s="2493"/>
      <c r="AJ16" s="2493"/>
      <c r="AK16" s="2493"/>
      <c r="AL16" s="2493"/>
      <c r="AM16" s="2493"/>
      <c r="AN16" s="2493"/>
      <c r="AO16" s="2493"/>
      <c r="AP16" s="2493"/>
      <c r="AQ16" s="2493"/>
      <c r="AR16" s="2493"/>
      <c r="AS16" s="2493"/>
      <c r="AT16" s="2493"/>
      <c r="AU16" s="2493"/>
      <c r="AV16" s="2493"/>
      <c r="AW16" s="2493"/>
      <c r="AX16" s="2493"/>
      <c r="AY16" s="2493"/>
      <c r="AZ16" s="2493"/>
      <c r="BA16" s="2493"/>
      <c r="BB16" s="2493"/>
      <c r="BC16" s="2493"/>
      <c r="BD16" s="2493"/>
      <c r="BE16" s="2493"/>
      <c r="BF16" s="2493"/>
      <c r="BG16" s="2493"/>
      <c r="BH16" s="2493"/>
      <c r="BI16" s="2493"/>
      <c r="BJ16" s="2493"/>
      <c r="BK16" s="2493"/>
      <c r="BL16" s="2493"/>
      <c r="BM16" s="2493"/>
      <c r="BN16" s="2493"/>
      <c r="BO16" s="2493"/>
      <c r="BP16" s="2493"/>
      <c r="BQ16" s="2493"/>
      <c r="BR16" s="2493"/>
      <c r="BS16" s="2493"/>
      <c r="BT16" s="2493"/>
      <c r="BU16" s="2493"/>
      <c r="BV16" s="2493"/>
      <c r="BW16" s="2493"/>
      <c r="BX16" s="2493"/>
      <c r="BY16" s="2493"/>
      <c r="BZ16" s="2493"/>
      <c r="CA16" s="2493"/>
      <c r="CB16" s="2493"/>
      <c r="CC16" s="2493"/>
      <c r="CD16" s="2493"/>
      <c r="CE16" s="2493"/>
      <c r="CF16" s="2493"/>
      <c r="CG16" s="2493"/>
      <c r="CH16" s="2493"/>
      <c r="CI16" s="2493"/>
      <c r="CJ16" s="2493"/>
      <c r="CK16" s="2493"/>
      <c r="CL16" s="2493"/>
      <c r="CM16" s="2493"/>
      <c r="CN16" s="2493"/>
      <c r="CO16" s="2493"/>
      <c r="CP16" s="2493"/>
      <c r="CQ16" s="2493"/>
      <c r="CR16" s="2493"/>
      <c r="CS16" s="2493"/>
      <c r="CT16" s="2493"/>
      <c r="CU16" s="2493"/>
      <c r="CV16" s="2493"/>
      <c r="CW16" s="2493"/>
      <c r="CX16" s="2493"/>
      <c r="CY16" s="2493"/>
      <c r="CZ16" s="2493"/>
      <c r="DA16" s="2493"/>
      <c r="DB16" s="2493"/>
      <c r="DC16" s="2493"/>
      <c r="DD16" s="2493"/>
      <c r="DE16" s="2493"/>
      <c r="DF16" s="2493"/>
      <c r="DG16" s="2493"/>
      <c r="DH16" s="2493"/>
      <c r="DI16" s="2493"/>
      <c r="DJ16" s="2493"/>
      <c r="DK16" s="2493"/>
      <c r="DL16" s="2493"/>
      <c r="DM16" s="2493"/>
      <c r="DN16" s="2493"/>
      <c r="DO16" s="2493"/>
      <c r="DP16" s="2493"/>
      <c r="DQ16" s="2493"/>
      <c r="DR16" s="2493"/>
      <c r="DS16" s="2493"/>
    </row>
    <row r="17" s="2492" customFormat="1" ht="13.5" hidden="1" customHeight="1" spans="1:123">
      <c r="A17" s="2513" t="s">
        <v>897</v>
      </c>
      <c r="B17" s="2514" t="s">
        <v>898</v>
      </c>
      <c r="C17" s="2529"/>
      <c r="D17" s="2529"/>
      <c r="E17" s="2529"/>
      <c r="F17" s="2529"/>
      <c r="G17" s="2518" t="s">
        <v>895</v>
      </c>
      <c r="H17" s="2493"/>
      <c r="I17" s="2493"/>
      <c r="J17" s="2493"/>
      <c r="K17" s="2493"/>
      <c r="L17" s="2493"/>
      <c r="M17" s="2493"/>
      <c r="N17" s="2493"/>
      <c r="O17" s="2493"/>
      <c r="P17" s="2493"/>
      <c r="Q17" s="2493"/>
      <c r="R17" s="2493"/>
      <c r="S17" s="2493"/>
      <c r="T17" s="2493"/>
      <c r="U17" s="2493"/>
      <c r="V17" s="2493"/>
      <c r="W17" s="2493"/>
      <c r="X17" s="2493"/>
      <c r="Y17" s="2493"/>
      <c r="Z17" s="2493"/>
      <c r="AA17" s="2493"/>
      <c r="AB17" s="2493"/>
      <c r="AC17" s="2493"/>
      <c r="AD17" s="2493"/>
      <c r="AE17" s="2493"/>
      <c r="AF17" s="2493"/>
      <c r="AG17" s="2493"/>
      <c r="AH17" s="2493"/>
      <c r="AI17" s="2493"/>
      <c r="AJ17" s="2493"/>
      <c r="AK17" s="2493"/>
      <c r="AL17" s="2493"/>
      <c r="AM17" s="2493"/>
      <c r="AN17" s="2493"/>
      <c r="AO17" s="2493"/>
      <c r="AP17" s="2493"/>
      <c r="AQ17" s="2493"/>
      <c r="AR17" s="2493"/>
      <c r="AS17" s="2493"/>
      <c r="AT17" s="2493"/>
      <c r="AU17" s="2493"/>
      <c r="AV17" s="2493"/>
      <c r="AW17" s="2493"/>
      <c r="AX17" s="2493"/>
      <c r="AY17" s="2493"/>
      <c r="AZ17" s="2493"/>
      <c r="BA17" s="2493"/>
      <c r="BB17" s="2493"/>
      <c r="BC17" s="2493"/>
      <c r="BD17" s="2493"/>
      <c r="BE17" s="2493"/>
      <c r="BF17" s="2493"/>
      <c r="BG17" s="2493"/>
      <c r="BH17" s="2493"/>
      <c r="BI17" s="2493"/>
      <c r="BJ17" s="2493"/>
      <c r="BK17" s="2493"/>
      <c r="BL17" s="2493"/>
      <c r="BM17" s="2493"/>
      <c r="BN17" s="2493"/>
      <c r="BO17" s="2493"/>
      <c r="BP17" s="2493"/>
      <c r="BQ17" s="2493"/>
      <c r="BR17" s="2493"/>
      <c r="BS17" s="2493"/>
      <c r="BT17" s="2493"/>
      <c r="BU17" s="2493"/>
      <c r="BV17" s="2493"/>
      <c r="BW17" s="2493"/>
      <c r="BX17" s="2493"/>
      <c r="BY17" s="2493"/>
      <c r="BZ17" s="2493"/>
      <c r="CA17" s="2493"/>
      <c r="CB17" s="2493"/>
      <c r="CC17" s="2493"/>
      <c r="CD17" s="2493"/>
      <c r="CE17" s="2493"/>
      <c r="CF17" s="2493"/>
      <c r="CG17" s="2493"/>
      <c r="CH17" s="2493"/>
      <c r="CI17" s="2493"/>
      <c r="CJ17" s="2493"/>
      <c r="CK17" s="2493"/>
      <c r="CL17" s="2493"/>
      <c r="CM17" s="2493"/>
      <c r="CN17" s="2493"/>
      <c r="CO17" s="2493"/>
      <c r="CP17" s="2493"/>
      <c r="CQ17" s="2493"/>
      <c r="CR17" s="2493"/>
      <c r="CS17" s="2493"/>
      <c r="CT17" s="2493"/>
      <c r="CU17" s="2493"/>
      <c r="CV17" s="2493"/>
      <c r="CW17" s="2493"/>
      <c r="CX17" s="2493"/>
      <c r="CY17" s="2493"/>
      <c r="CZ17" s="2493"/>
      <c r="DA17" s="2493"/>
      <c r="DB17" s="2493"/>
      <c r="DC17" s="2493"/>
      <c r="DD17" s="2493"/>
      <c r="DE17" s="2493"/>
      <c r="DF17" s="2493"/>
      <c r="DG17" s="2493"/>
      <c r="DH17" s="2493"/>
      <c r="DI17" s="2493"/>
      <c r="DJ17" s="2493"/>
      <c r="DK17" s="2493"/>
      <c r="DL17" s="2493"/>
      <c r="DM17" s="2493"/>
      <c r="DN17" s="2493"/>
      <c r="DO17" s="2493"/>
      <c r="DP17" s="2493"/>
      <c r="DQ17" s="2493"/>
      <c r="DR17" s="2493"/>
      <c r="DS17" s="2493"/>
    </row>
    <row r="18" s="2492" customFormat="1" ht="13.5" hidden="1" customHeight="1" spans="1:123">
      <c r="A18" s="2513" t="s">
        <v>899</v>
      </c>
      <c r="B18" s="2514" t="s">
        <v>900</v>
      </c>
      <c r="C18" s="2519">
        <v>0</v>
      </c>
      <c r="D18" s="2519"/>
      <c r="E18" s="2517"/>
      <c r="F18" s="2520">
        <v>0.0305</v>
      </c>
      <c r="G18" s="2518" t="s">
        <v>901</v>
      </c>
      <c r="H18" s="2493"/>
      <c r="I18" s="2493"/>
      <c r="J18" s="2493"/>
      <c r="K18" s="2493"/>
      <c r="L18" s="2493"/>
      <c r="M18" s="2493"/>
      <c r="N18" s="2493"/>
      <c r="O18" s="2493"/>
      <c r="P18" s="2493"/>
      <c r="Q18" s="2493"/>
      <c r="R18" s="2493"/>
      <c r="S18" s="2493"/>
      <c r="T18" s="2493"/>
      <c r="U18" s="2493"/>
      <c r="V18" s="2493"/>
      <c r="W18" s="2493"/>
      <c r="X18" s="2493"/>
      <c r="Y18" s="2493"/>
      <c r="Z18" s="2493"/>
      <c r="AA18" s="2493"/>
      <c r="AB18" s="2493"/>
      <c r="AC18" s="2493"/>
      <c r="AD18" s="2493"/>
      <c r="AE18" s="2493"/>
      <c r="AF18" s="2493"/>
      <c r="AG18" s="2493"/>
      <c r="AH18" s="2493"/>
      <c r="AI18" s="2493"/>
      <c r="AJ18" s="2493"/>
      <c r="AK18" s="2493"/>
      <c r="AL18" s="2493"/>
      <c r="AM18" s="2493"/>
      <c r="AN18" s="2493"/>
      <c r="AO18" s="2493"/>
      <c r="AP18" s="2493"/>
      <c r="AQ18" s="2493"/>
      <c r="AR18" s="2493"/>
      <c r="AS18" s="2493"/>
      <c r="AT18" s="2493"/>
      <c r="AU18" s="2493"/>
      <c r="AV18" s="2493"/>
      <c r="AW18" s="2493"/>
      <c r="AX18" s="2493"/>
      <c r="AY18" s="2493"/>
      <c r="AZ18" s="2493"/>
      <c r="BA18" s="2493"/>
      <c r="BB18" s="2493"/>
      <c r="BC18" s="2493"/>
      <c r="BD18" s="2493"/>
      <c r="BE18" s="2493"/>
      <c r="BF18" s="2493"/>
      <c r="BG18" s="2493"/>
      <c r="BH18" s="2493"/>
      <c r="BI18" s="2493"/>
      <c r="BJ18" s="2493"/>
      <c r="BK18" s="2493"/>
      <c r="BL18" s="2493"/>
      <c r="BM18" s="2493"/>
      <c r="BN18" s="2493"/>
      <c r="BO18" s="2493"/>
      <c r="BP18" s="2493"/>
      <c r="BQ18" s="2493"/>
      <c r="BR18" s="2493"/>
      <c r="BS18" s="2493"/>
      <c r="BT18" s="2493"/>
      <c r="BU18" s="2493"/>
      <c r="BV18" s="2493"/>
      <c r="BW18" s="2493"/>
      <c r="BX18" s="2493"/>
      <c r="BY18" s="2493"/>
      <c r="BZ18" s="2493"/>
      <c r="CA18" s="2493"/>
      <c r="CB18" s="2493"/>
      <c r="CC18" s="2493"/>
      <c r="CD18" s="2493"/>
      <c r="CE18" s="2493"/>
      <c r="CF18" s="2493"/>
      <c r="CG18" s="2493"/>
      <c r="CH18" s="2493"/>
      <c r="CI18" s="2493"/>
      <c r="CJ18" s="2493"/>
      <c r="CK18" s="2493"/>
      <c r="CL18" s="2493"/>
      <c r="CM18" s="2493"/>
      <c r="CN18" s="2493"/>
      <c r="CO18" s="2493"/>
      <c r="CP18" s="2493"/>
      <c r="CQ18" s="2493"/>
      <c r="CR18" s="2493"/>
      <c r="CS18" s="2493"/>
      <c r="CT18" s="2493"/>
      <c r="CU18" s="2493"/>
      <c r="CV18" s="2493"/>
      <c r="CW18" s="2493"/>
      <c r="CX18" s="2493"/>
      <c r="CY18" s="2493"/>
      <c r="CZ18" s="2493"/>
      <c r="DA18" s="2493"/>
      <c r="DB18" s="2493"/>
      <c r="DC18" s="2493"/>
      <c r="DD18" s="2493"/>
      <c r="DE18" s="2493"/>
      <c r="DF18" s="2493"/>
      <c r="DG18" s="2493"/>
      <c r="DH18" s="2493"/>
      <c r="DI18" s="2493"/>
      <c r="DJ18" s="2493"/>
      <c r="DK18" s="2493"/>
      <c r="DL18" s="2493"/>
      <c r="DM18" s="2493"/>
      <c r="DN18" s="2493"/>
      <c r="DO18" s="2493"/>
      <c r="DP18" s="2493"/>
      <c r="DQ18" s="2493"/>
      <c r="DR18" s="2493"/>
      <c r="DS18" s="2493"/>
    </row>
    <row r="19" s="2493" customFormat="1" ht="13.5" customHeight="1" spans="1:7">
      <c r="A19" s="2508" t="s">
        <v>902</v>
      </c>
      <c r="B19" s="2509" t="s">
        <v>903</v>
      </c>
      <c r="C19" s="2510">
        <f>IF(G19="已包含在土地取得成本中","0",ROUND(D19*E19,0))</f>
        <v>49318</v>
      </c>
      <c r="D19" s="2530">
        <f>IF(B1="仅计算典型户型",'数据-取费表'!E5,'数据-取费表'!B5)</f>
        <v>246.59</v>
      </c>
      <c r="E19" s="2510">
        <f>'数据-取费表'!E15</f>
        <v>200</v>
      </c>
      <c r="F19" s="2531"/>
      <c r="G19" s="2522"/>
    </row>
    <row r="20" s="2492" customFormat="1" ht="13.5" customHeight="1" spans="1:123">
      <c r="A20" s="2508" t="s">
        <v>904</v>
      </c>
      <c r="B20" s="2509" t="s">
        <v>905</v>
      </c>
      <c r="C20" s="2532">
        <f>ROUND((C5+C19)*F20,0)</f>
        <v>21596</v>
      </c>
      <c r="D20" s="2532"/>
      <c r="E20" s="2532"/>
      <c r="F20" s="2533">
        <f>'数据-取费表'!E25</f>
        <v>0.02</v>
      </c>
      <c r="G20" s="2534" t="s">
        <v>906</v>
      </c>
      <c r="H20" s="2493"/>
      <c r="I20" s="2493"/>
      <c r="J20" s="2493"/>
      <c r="K20" s="2493"/>
      <c r="L20" s="2493"/>
      <c r="M20" s="2493"/>
      <c r="N20" s="2493"/>
      <c r="O20" s="2493"/>
      <c r="P20" s="2493"/>
      <c r="Q20" s="2493"/>
      <c r="R20" s="2493"/>
      <c r="S20" s="2493"/>
      <c r="T20" s="2493"/>
      <c r="U20" s="2493"/>
      <c r="V20" s="2493"/>
      <c r="W20" s="2493"/>
      <c r="X20" s="2493"/>
      <c r="Y20" s="2493"/>
      <c r="Z20" s="2493"/>
      <c r="AA20" s="2493"/>
      <c r="AB20" s="2493"/>
      <c r="AC20" s="2493"/>
      <c r="AD20" s="2493"/>
      <c r="AE20" s="2493"/>
      <c r="AF20" s="2493"/>
      <c r="AG20" s="2493"/>
      <c r="AH20" s="2493"/>
      <c r="AI20" s="2493"/>
      <c r="AJ20" s="2493"/>
      <c r="AK20" s="2493"/>
      <c r="AL20" s="2493"/>
      <c r="AM20" s="2493"/>
      <c r="AN20" s="2493"/>
      <c r="AO20" s="2493"/>
      <c r="AP20" s="2493"/>
      <c r="AQ20" s="2493"/>
      <c r="AR20" s="2493"/>
      <c r="AS20" s="2493"/>
      <c r="AT20" s="2493"/>
      <c r="AU20" s="2493"/>
      <c r="AV20" s="2493"/>
      <c r="AW20" s="2493"/>
      <c r="AX20" s="2493"/>
      <c r="AY20" s="2493"/>
      <c r="AZ20" s="2493"/>
      <c r="BA20" s="2493"/>
      <c r="BB20" s="2493"/>
      <c r="BC20" s="2493"/>
      <c r="BD20" s="2493"/>
      <c r="BE20" s="2493"/>
      <c r="BF20" s="2493"/>
      <c r="BG20" s="2493"/>
      <c r="BH20" s="2493"/>
      <c r="BI20" s="2493"/>
      <c r="BJ20" s="2493"/>
      <c r="BK20" s="2493"/>
      <c r="BL20" s="2493"/>
      <c r="BM20" s="2493"/>
      <c r="BN20" s="2493"/>
      <c r="BO20" s="2493"/>
      <c r="BP20" s="2493"/>
      <c r="BQ20" s="2493"/>
      <c r="BR20" s="2493"/>
      <c r="BS20" s="2493"/>
      <c r="BT20" s="2493"/>
      <c r="BU20" s="2493"/>
      <c r="BV20" s="2493"/>
      <c r="BW20" s="2493"/>
      <c r="BX20" s="2493"/>
      <c r="BY20" s="2493"/>
      <c r="BZ20" s="2493"/>
      <c r="CA20" s="2493"/>
      <c r="CB20" s="2493"/>
      <c r="CC20" s="2493"/>
      <c r="CD20" s="2493"/>
      <c r="CE20" s="2493"/>
      <c r="CF20" s="2493"/>
      <c r="CG20" s="2493"/>
      <c r="CH20" s="2493"/>
      <c r="CI20" s="2493"/>
      <c r="CJ20" s="2493"/>
      <c r="CK20" s="2493"/>
      <c r="CL20" s="2493"/>
      <c r="CM20" s="2493"/>
      <c r="CN20" s="2493"/>
      <c r="CO20" s="2493"/>
      <c r="CP20" s="2493"/>
      <c r="CQ20" s="2493"/>
      <c r="CR20" s="2493"/>
      <c r="CS20" s="2493"/>
      <c r="CT20" s="2493"/>
      <c r="CU20" s="2493"/>
      <c r="CV20" s="2493"/>
      <c r="CW20" s="2493"/>
      <c r="CX20" s="2493"/>
      <c r="CY20" s="2493"/>
      <c r="CZ20" s="2493"/>
      <c r="DA20" s="2493"/>
      <c r="DB20" s="2493"/>
      <c r="DC20" s="2493"/>
      <c r="DD20" s="2493"/>
      <c r="DE20" s="2493"/>
      <c r="DF20" s="2493"/>
      <c r="DG20" s="2493"/>
      <c r="DH20" s="2493"/>
      <c r="DI20" s="2493"/>
      <c r="DJ20" s="2493"/>
      <c r="DK20" s="2493"/>
      <c r="DL20" s="2493"/>
      <c r="DM20" s="2493"/>
      <c r="DN20" s="2493"/>
      <c r="DO20" s="2493"/>
      <c r="DP20" s="2493"/>
      <c r="DQ20" s="2493"/>
      <c r="DR20" s="2493"/>
      <c r="DS20" s="2493"/>
    </row>
    <row r="21" s="2492" customFormat="1" ht="13.5" customHeight="1" spans="1:123">
      <c r="A21" s="2508" t="s">
        <v>907</v>
      </c>
      <c r="B21" s="2509" t="s">
        <v>908</v>
      </c>
      <c r="C21" s="2535">
        <f>F21</f>
        <v>0.02</v>
      </c>
      <c r="D21" s="2536" t="s">
        <v>909</v>
      </c>
      <c r="E21" s="2532"/>
      <c r="F21" s="2533">
        <f>'数据-取费表'!E26</f>
        <v>0.02</v>
      </c>
      <c r="G21" s="2534" t="s">
        <v>910</v>
      </c>
      <c r="H21" s="2493"/>
      <c r="I21" s="2493"/>
      <c r="J21" s="2493"/>
      <c r="K21" s="2493"/>
      <c r="L21" s="2493"/>
      <c r="M21" s="2493"/>
      <c r="N21" s="2493"/>
      <c r="O21" s="2493"/>
      <c r="P21" s="2493"/>
      <c r="Q21" s="2493"/>
      <c r="R21" s="2493"/>
      <c r="S21" s="2493"/>
      <c r="T21" s="2493"/>
      <c r="U21" s="2493"/>
      <c r="V21" s="2493"/>
      <c r="W21" s="2493"/>
      <c r="X21" s="2493"/>
      <c r="Y21" s="2493"/>
      <c r="Z21" s="2493"/>
      <c r="AA21" s="2493"/>
      <c r="AB21" s="2493"/>
      <c r="AC21" s="2493"/>
      <c r="AD21" s="2493"/>
      <c r="AE21" s="2493"/>
      <c r="AF21" s="2493"/>
      <c r="AG21" s="2493"/>
      <c r="AH21" s="2493"/>
      <c r="AI21" s="2493"/>
      <c r="AJ21" s="2493"/>
      <c r="AK21" s="2493"/>
      <c r="AL21" s="2493"/>
      <c r="AM21" s="2493"/>
      <c r="AN21" s="2493"/>
      <c r="AO21" s="2493"/>
      <c r="AP21" s="2493"/>
      <c r="AQ21" s="2493"/>
      <c r="AR21" s="2493"/>
      <c r="AS21" s="2493"/>
      <c r="AT21" s="2493"/>
      <c r="AU21" s="2493"/>
      <c r="AV21" s="2493"/>
      <c r="AW21" s="2493"/>
      <c r="AX21" s="2493"/>
      <c r="AY21" s="2493"/>
      <c r="AZ21" s="2493"/>
      <c r="BA21" s="2493"/>
      <c r="BB21" s="2493"/>
      <c r="BC21" s="2493"/>
      <c r="BD21" s="2493"/>
      <c r="BE21" s="2493"/>
      <c r="BF21" s="2493"/>
      <c r="BG21" s="2493"/>
      <c r="BH21" s="2493"/>
      <c r="BI21" s="2493"/>
      <c r="BJ21" s="2493"/>
      <c r="BK21" s="2493"/>
      <c r="BL21" s="2493"/>
      <c r="BM21" s="2493"/>
      <c r="BN21" s="2493"/>
      <c r="BO21" s="2493"/>
      <c r="BP21" s="2493"/>
      <c r="BQ21" s="2493"/>
      <c r="BR21" s="2493"/>
      <c r="BS21" s="2493"/>
      <c r="BT21" s="2493"/>
      <c r="BU21" s="2493"/>
      <c r="BV21" s="2493"/>
      <c r="BW21" s="2493"/>
      <c r="BX21" s="2493"/>
      <c r="BY21" s="2493"/>
      <c r="BZ21" s="2493"/>
      <c r="CA21" s="2493"/>
      <c r="CB21" s="2493"/>
      <c r="CC21" s="2493"/>
      <c r="CD21" s="2493"/>
      <c r="CE21" s="2493"/>
      <c r="CF21" s="2493"/>
      <c r="CG21" s="2493"/>
      <c r="CH21" s="2493"/>
      <c r="CI21" s="2493"/>
      <c r="CJ21" s="2493"/>
      <c r="CK21" s="2493"/>
      <c r="CL21" s="2493"/>
      <c r="CM21" s="2493"/>
      <c r="CN21" s="2493"/>
      <c r="CO21" s="2493"/>
      <c r="CP21" s="2493"/>
      <c r="CQ21" s="2493"/>
      <c r="CR21" s="2493"/>
      <c r="CS21" s="2493"/>
      <c r="CT21" s="2493"/>
      <c r="CU21" s="2493"/>
      <c r="CV21" s="2493"/>
      <c r="CW21" s="2493"/>
      <c r="CX21" s="2493"/>
      <c r="CY21" s="2493"/>
      <c r="CZ21" s="2493"/>
      <c r="DA21" s="2493"/>
      <c r="DB21" s="2493"/>
      <c r="DC21" s="2493"/>
      <c r="DD21" s="2493"/>
      <c r="DE21" s="2493"/>
      <c r="DF21" s="2493"/>
      <c r="DG21" s="2493"/>
      <c r="DH21" s="2493"/>
      <c r="DI21" s="2493"/>
      <c r="DJ21" s="2493"/>
      <c r="DK21" s="2493"/>
      <c r="DL21" s="2493"/>
      <c r="DM21" s="2493"/>
      <c r="DN21" s="2493"/>
      <c r="DO21" s="2493"/>
      <c r="DP21" s="2493"/>
      <c r="DQ21" s="2493"/>
      <c r="DR21" s="2493"/>
      <c r="DS21" s="2493"/>
    </row>
    <row r="22" s="2492" customFormat="1" ht="13.5" customHeight="1" spans="1:123">
      <c r="A22" s="2508" t="s">
        <v>911</v>
      </c>
      <c r="B22" s="2509" t="s">
        <v>912</v>
      </c>
      <c r="C22" s="2537">
        <f>ROUND(SUM(C23:C25),0)</f>
        <v>106045</v>
      </c>
      <c r="D22" s="2535">
        <f>C26</f>
        <v>0.001</v>
      </c>
      <c r="E22" s="2536" t="s">
        <v>909</v>
      </c>
      <c r="F22" s="2533">
        <f>'数据-取费表'!E27</f>
        <v>0.0475</v>
      </c>
      <c r="G22" s="2534" t="str">
        <f>IF('数据-取费表'!B24&lt;=1,"单利计息。","复利计息。")</f>
        <v>复利计息。</v>
      </c>
      <c r="H22" s="2493"/>
      <c r="I22" s="2493"/>
      <c r="J22" s="2493"/>
      <c r="K22" s="2493"/>
      <c r="L22" s="2493"/>
      <c r="M22" s="2493"/>
      <c r="N22" s="2493"/>
      <c r="O22" s="2493"/>
      <c r="P22" s="2493"/>
      <c r="Q22" s="2493"/>
      <c r="R22" s="2493"/>
      <c r="S22" s="2493"/>
      <c r="T22" s="2493"/>
      <c r="U22" s="2493"/>
      <c r="V22" s="2493"/>
      <c r="W22" s="2493"/>
      <c r="X22" s="2493"/>
      <c r="Y22" s="2493"/>
      <c r="Z22" s="2493"/>
      <c r="AA22" s="2493"/>
      <c r="AB22" s="2493"/>
      <c r="AC22" s="2493"/>
      <c r="AD22" s="2493"/>
      <c r="AE22" s="2493"/>
      <c r="AF22" s="2493"/>
      <c r="AG22" s="2493"/>
      <c r="AH22" s="2493"/>
      <c r="AI22" s="2493"/>
      <c r="AJ22" s="2493"/>
      <c r="AK22" s="2493"/>
      <c r="AL22" s="2493"/>
      <c r="AM22" s="2493"/>
      <c r="AN22" s="2493"/>
      <c r="AO22" s="2493"/>
      <c r="AP22" s="2493"/>
      <c r="AQ22" s="2493"/>
      <c r="AR22" s="2493"/>
      <c r="AS22" s="2493"/>
      <c r="AT22" s="2493"/>
      <c r="AU22" s="2493"/>
      <c r="AV22" s="2493"/>
      <c r="AW22" s="2493"/>
      <c r="AX22" s="2493"/>
      <c r="AY22" s="2493"/>
      <c r="AZ22" s="2493"/>
      <c r="BA22" s="2493"/>
      <c r="BB22" s="2493"/>
      <c r="BC22" s="2493"/>
      <c r="BD22" s="2493"/>
      <c r="BE22" s="2493"/>
      <c r="BF22" s="2493"/>
      <c r="BG22" s="2493"/>
      <c r="BH22" s="2493"/>
      <c r="BI22" s="2493"/>
      <c r="BJ22" s="2493"/>
      <c r="BK22" s="2493"/>
      <c r="BL22" s="2493"/>
      <c r="BM22" s="2493"/>
      <c r="BN22" s="2493"/>
      <c r="BO22" s="2493"/>
      <c r="BP22" s="2493"/>
      <c r="BQ22" s="2493"/>
      <c r="BR22" s="2493"/>
      <c r="BS22" s="2493"/>
      <c r="BT22" s="2493"/>
      <c r="BU22" s="2493"/>
      <c r="BV22" s="2493"/>
      <c r="BW22" s="2493"/>
      <c r="BX22" s="2493"/>
      <c r="BY22" s="2493"/>
      <c r="BZ22" s="2493"/>
      <c r="CA22" s="2493"/>
      <c r="CB22" s="2493"/>
      <c r="CC22" s="2493"/>
      <c r="CD22" s="2493"/>
      <c r="CE22" s="2493"/>
      <c r="CF22" s="2493"/>
      <c r="CG22" s="2493"/>
      <c r="CH22" s="2493"/>
      <c r="CI22" s="2493"/>
      <c r="CJ22" s="2493"/>
      <c r="CK22" s="2493"/>
      <c r="CL22" s="2493"/>
      <c r="CM22" s="2493"/>
      <c r="CN22" s="2493"/>
      <c r="CO22" s="2493"/>
      <c r="CP22" s="2493"/>
      <c r="CQ22" s="2493"/>
      <c r="CR22" s="2493"/>
      <c r="CS22" s="2493"/>
      <c r="CT22" s="2493"/>
      <c r="CU22" s="2493"/>
      <c r="CV22" s="2493"/>
      <c r="CW22" s="2493"/>
      <c r="CX22" s="2493"/>
      <c r="CY22" s="2493"/>
      <c r="CZ22" s="2493"/>
      <c r="DA22" s="2493"/>
      <c r="DB22" s="2493"/>
      <c r="DC22" s="2493"/>
      <c r="DD22" s="2493"/>
      <c r="DE22" s="2493"/>
      <c r="DF22" s="2493"/>
      <c r="DG22" s="2493"/>
      <c r="DH22" s="2493"/>
      <c r="DI22" s="2493"/>
      <c r="DJ22" s="2493"/>
      <c r="DK22" s="2493"/>
      <c r="DL22" s="2493"/>
      <c r="DM22" s="2493"/>
      <c r="DN22" s="2493"/>
      <c r="DO22" s="2493"/>
      <c r="DP22" s="2493"/>
      <c r="DQ22" s="2493"/>
      <c r="DR22" s="2493"/>
      <c r="DS22" s="2493"/>
    </row>
    <row r="23" s="2492" customFormat="1" ht="13.5" customHeight="1" spans="1:123">
      <c r="A23" s="2513" t="s">
        <v>876</v>
      </c>
      <c r="B23" s="2514" t="s">
        <v>913</v>
      </c>
      <c r="C23" s="2538">
        <f>ROUND(IF('数据-取费表'!B24&lt;=1,C5*F22*'数据-取费表'!B25,C5*(POWER((1+F22),'数据-取费表'!B25)-1)),0)</f>
        <v>100223</v>
      </c>
      <c r="D23" s="2188"/>
      <c r="E23" s="2188"/>
      <c r="F23" s="2539"/>
      <c r="G23" s="2540" t="s">
        <v>914</v>
      </c>
      <c r="H23" s="2493"/>
      <c r="I23" s="2493"/>
      <c r="J23" s="2493"/>
      <c r="K23" s="2493"/>
      <c r="L23" s="2493"/>
      <c r="M23" s="2493"/>
      <c r="N23" s="2493"/>
      <c r="O23" s="2493"/>
      <c r="P23" s="2493"/>
      <c r="Q23" s="2493"/>
      <c r="R23" s="2493"/>
      <c r="S23" s="2493"/>
      <c r="T23" s="2493"/>
      <c r="U23" s="2493"/>
      <c r="V23" s="2493"/>
      <c r="W23" s="2493"/>
      <c r="X23" s="2493"/>
      <c r="Y23" s="2493"/>
      <c r="Z23" s="2493"/>
      <c r="AA23" s="2493"/>
      <c r="AB23" s="2493"/>
      <c r="AC23" s="2493"/>
      <c r="AD23" s="2493"/>
      <c r="AE23" s="2493"/>
      <c r="AF23" s="2493"/>
      <c r="AG23" s="2493"/>
      <c r="AH23" s="2493"/>
      <c r="AI23" s="2493"/>
      <c r="AJ23" s="2493"/>
      <c r="AK23" s="2493"/>
      <c r="AL23" s="2493"/>
      <c r="AM23" s="2493"/>
      <c r="AN23" s="2493"/>
      <c r="AO23" s="2493"/>
      <c r="AP23" s="2493"/>
      <c r="AQ23" s="2493"/>
      <c r="AR23" s="2493"/>
      <c r="AS23" s="2493"/>
      <c r="AT23" s="2493"/>
      <c r="AU23" s="2493"/>
      <c r="AV23" s="2493"/>
      <c r="AW23" s="2493"/>
      <c r="AX23" s="2493"/>
      <c r="AY23" s="2493"/>
      <c r="AZ23" s="2493"/>
      <c r="BA23" s="2493"/>
      <c r="BB23" s="2493"/>
      <c r="BC23" s="2493"/>
      <c r="BD23" s="2493"/>
      <c r="BE23" s="2493"/>
      <c r="BF23" s="2493"/>
      <c r="BG23" s="2493"/>
      <c r="BH23" s="2493"/>
      <c r="BI23" s="2493"/>
      <c r="BJ23" s="2493"/>
      <c r="BK23" s="2493"/>
      <c r="BL23" s="2493"/>
      <c r="BM23" s="2493"/>
      <c r="BN23" s="2493"/>
      <c r="BO23" s="2493"/>
      <c r="BP23" s="2493"/>
      <c r="BQ23" s="2493"/>
      <c r="BR23" s="2493"/>
      <c r="BS23" s="2493"/>
      <c r="BT23" s="2493"/>
      <c r="BU23" s="2493"/>
      <c r="BV23" s="2493"/>
      <c r="BW23" s="2493"/>
      <c r="BX23" s="2493"/>
      <c r="BY23" s="2493"/>
      <c r="BZ23" s="2493"/>
      <c r="CA23" s="2493"/>
      <c r="CB23" s="2493"/>
      <c r="CC23" s="2493"/>
      <c r="CD23" s="2493"/>
      <c r="CE23" s="2493"/>
      <c r="CF23" s="2493"/>
      <c r="CG23" s="2493"/>
      <c r="CH23" s="2493"/>
      <c r="CI23" s="2493"/>
      <c r="CJ23" s="2493"/>
      <c r="CK23" s="2493"/>
      <c r="CL23" s="2493"/>
      <c r="CM23" s="2493"/>
      <c r="CN23" s="2493"/>
      <c r="CO23" s="2493"/>
      <c r="CP23" s="2493"/>
      <c r="CQ23" s="2493"/>
      <c r="CR23" s="2493"/>
      <c r="CS23" s="2493"/>
      <c r="CT23" s="2493"/>
      <c r="CU23" s="2493"/>
      <c r="CV23" s="2493"/>
      <c r="CW23" s="2493"/>
      <c r="CX23" s="2493"/>
      <c r="CY23" s="2493"/>
      <c r="CZ23" s="2493"/>
      <c r="DA23" s="2493"/>
      <c r="DB23" s="2493"/>
      <c r="DC23" s="2493"/>
      <c r="DD23" s="2493"/>
      <c r="DE23" s="2493"/>
      <c r="DF23" s="2493"/>
      <c r="DG23" s="2493"/>
      <c r="DH23" s="2493"/>
      <c r="DI23" s="2493"/>
      <c r="DJ23" s="2493"/>
      <c r="DK23" s="2493"/>
      <c r="DL23" s="2493"/>
      <c r="DM23" s="2493"/>
      <c r="DN23" s="2493"/>
      <c r="DO23" s="2493"/>
      <c r="DP23" s="2493"/>
      <c r="DQ23" s="2493"/>
      <c r="DR23" s="2493"/>
      <c r="DS23" s="2493"/>
    </row>
    <row r="24" s="2492" customFormat="1" ht="13.5" customHeight="1" spans="1:123">
      <c r="A24" s="2513" t="s">
        <v>878</v>
      </c>
      <c r="B24" s="2514" t="s">
        <v>915</v>
      </c>
      <c r="C24" s="2538">
        <f>ROUND(IF('数据-取费表'!B24&lt;=1,C19*F22*('数据-取费表'!B21/2+'数据-取费表'!B23),C19*(POWER((1+F22),('数据-取费表'!B21/2+'数据-取费表'!B23))-1)),0)</f>
        <v>4796</v>
      </c>
      <c r="D24" s="2188"/>
      <c r="E24" s="2188"/>
      <c r="F24" s="2539"/>
      <c r="G24" s="2540" t="s">
        <v>916</v>
      </c>
      <c r="H24" s="2493"/>
      <c r="I24" s="2493"/>
      <c r="J24" s="2493"/>
      <c r="K24" s="2493"/>
      <c r="L24" s="2493"/>
      <c r="M24" s="2493"/>
      <c r="N24" s="2493"/>
      <c r="O24" s="2493"/>
      <c r="P24" s="2493"/>
      <c r="Q24" s="2493"/>
      <c r="R24" s="2493"/>
      <c r="S24" s="2493"/>
      <c r="T24" s="2493"/>
      <c r="U24" s="2493"/>
      <c r="V24" s="2493"/>
      <c r="W24" s="2493"/>
      <c r="X24" s="2493"/>
      <c r="Y24" s="2493"/>
      <c r="Z24" s="2493"/>
      <c r="AA24" s="2493"/>
      <c r="AB24" s="2493"/>
      <c r="AC24" s="2493"/>
      <c r="AD24" s="2493"/>
      <c r="AE24" s="2493"/>
      <c r="AF24" s="2493"/>
      <c r="AG24" s="2493"/>
      <c r="AH24" s="2493"/>
      <c r="AI24" s="2493"/>
      <c r="AJ24" s="2493"/>
      <c r="AK24" s="2493"/>
      <c r="AL24" s="2493"/>
      <c r="AM24" s="2493"/>
      <c r="AN24" s="2493"/>
      <c r="AO24" s="2493"/>
      <c r="AP24" s="2493"/>
      <c r="AQ24" s="2493"/>
      <c r="AR24" s="2493"/>
      <c r="AS24" s="2493"/>
      <c r="AT24" s="2493"/>
      <c r="AU24" s="2493"/>
      <c r="AV24" s="2493"/>
      <c r="AW24" s="2493"/>
      <c r="AX24" s="2493"/>
      <c r="AY24" s="2493"/>
      <c r="AZ24" s="2493"/>
      <c r="BA24" s="2493"/>
      <c r="BB24" s="2493"/>
      <c r="BC24" s="2493"/>
      <c r="BD24" s="2493"/>
      <c r="BE24" s="2493"/>
      <c r="BF24" s="2493"/>
      <c r="BG24" s="2493"/>
      <c r="BH24" s="2493"/>
      <c r="BI24" s="2493"/>
      <c r="BJ24" s="2493"/>
      <c r="BK24" s="2493"/>
      <c r="BL24" s="2493"/>
      <c r="BM24" s="2493"/>
      <c r="BN24" s="2493"/>
      <c r="BO24" s="2493"/>
      <c r="BP24" s="2493"/>
      <c r="BQ24" s="2493"/>
      <c r="BR24" s="2493"/>
      <c r="BS24" s="2493"/>
      <c r="BT24" s="2493"/>
      <c r="BU24" s="2493"/>
      <c r="BV24" s="2493"/>
      <c r="BW24" s="2493"/>
      <c r="BX24" s="2493"/>
      <c r="BY24" s="2493"/>
      <c r="BZ24" s="2493"/>
      <c r="CA24" s="2493"/>
      <c r="CB24" s="2493"/>
      <c r="CC24" s="2493"/>
      <c r="CD24" s="2493"/>
      <c r="CE24" s="2493"/>
      <c r="CF24" s="2493"/>
      <c r="CG24" s="2493"/>
      <c r="CH24" s="2493"/>
      <c r="CI24" s="2493"/>
      <c r="CJ24" s="2493"/>
      <c r="CK24" s="2493"/>
      <c r="CL24" s="2493"/>
      <c r="CM24" s="2493"/>
      <c r="CN24" s="2493"/>
      <c r="CO24" s="2493"/>
      <c r="CP24" s="2493"/>
      <c r="CQ24" s="2493"/>
      <c r="CR24" s="2493"/>
      <c r="CS24" s="2493"/>
      <c r="CT24" s="2493"/>
      <c r="CU24" s="2493"/>
      <c r="CV24" s="2493"/>
      <c r="CW24" s="2493"/>
      <c r="CX24" s="2493"/>
      <c r="CY24" s="2493"/>
      <c r="CZ24" s="2493"/>
      <c r="DA24" s="2493"/>
      <c r="DB24" s="2493"/>
      <c r="DC24" s="2493"/>
      <c r="DD24" s="2493"/>
      <c r="DE24" s="2493"/>
      <c r="DF24" s="2493"/>
      <c r="DG24" s="2493"/>
      <c r="DH24" s="2493"/>
      <c r="DI24" s="2493"/>
      <c r="DJ24" s="2493"/>
      <c r="DK24" s="2493"/>
      <c r="DL24" s="2493"/>
      <c r="DM24" s="2493"/>
      <c r="DN24" s="2493"/>
      <c r="DO24" s="2493"/>
      <c r="DP24" s="2493"/>
      <c r="DQ24" s="2493"/>
      <c r="DR24" s="2493"/>
      <c r="DS24" s="2493"/>
    </row>
    <row r="25" s="2492" customFormat="1" ht="24" spans="1:123">
      <c r="A25" s="2513" t="s">
        <v>880</v>
      </c>
      <c r="B25" s="2514" t="s">
        <v>917</v>
      </c>
      <c r="C25" s="2538">
        <f>ROUND(IF('数据-取费表'!B24&lt;=1,C20*F22*'数据-取费表'!B25/2,C20*(POWER((1+F22),'数据-取费表'!B25/2)-1)),0)</f>
        <v>1026</v>
      </c>
      <c r="D25" s="2188"/>
      <c r="E25" s="2541"/>
      <c r="F25" s="2539"/>
      <c r="G25" s="2542" t="s">
        <v>918</v>
      </c>
      <c r="H25" s="2493"/>
      <c r="I25" s="2493"/>
      <c r="J25" s="2493"/>
      <c r="K25" s="2493"/>
      <c r="L25" s="2493"/>
      <c r="M25" s="2493"/>
      <c r="N25" s="2493"/>
      <c r="O25" s="2493"/>
      <c r="P25" s="2493"/>
      <c r="Q25" s="2493"/>
      <c r="R25" s="2493"/>
      <c r="S25" s="2493"/>
      <c r="T25" s="2493"/>
      <c r="U25" s="2493"/>
      <c r="V25" s="2493"/>
      <c r="W25" s="2493"/>
      <c r="X25" s="2493"/>
      <c r="Y25" s="2493"/>
      <c r="Z25" s="2493"/>
      <c r="AA25" s="2493"/>
      <c r="AB25" s="2493"/>
      <c r="AC25" s="2493"/>
      <c r="AD25" s="2493"/>
      <c r="AE25" s="2493"/>
      <c r="AF25" s="2493"/>
      <c r="AG25" s="2493"/>
      <c r="AH25" s="2493"/>
      <c r="AI25" s="2493"/>
      <c r="AJ25" s="2493"/>
      <c r="AK25" s="2493"/>
      <c r="AL25" s="2493"/>
      <c r="AM25" s="2493"/>
      <c r="AN25" s="2493"/>
      <c r="AO25" s="2493"/>
      <c r="AP25" s="2493"/>
      <c r="AQ25" s="2493"/>
      <c r="AR25" s="2493"/>
      <c r="AS25" s="2493"/>
      <c r="AT25" s="2493"/>
      <c r="AU25" s="2493"/>
      <c r="AV25" s="2493"/>
      <c r="AW25" s="2493"/>
      <c r="AX25" s="2493"/>
      <c r="AY25" s="2493"/>
      <c r="AZ25" s="2493"/>
      <c r="BA25" s="2493"/>
      <c r="BB25" s="2493"/>
      <c r="BC25" s="2493"/>
      <c r="BD25" s="2493"/>
      <c r="BE25" s="2493"/>
      <c r="BF25" s="2493"/>
      <c r="BG25" s="2493"/>
      <c r="BH25" s="2493"/>
      <c r="BI25" s="2493"/>
      <c r="BJ25" s="2493"/>
      <c r="BK25" s="2493"/>
      <c r="BL25" s="2493"/>
      <c r="BM25" s="2493"/>
      <c r="BN25" s="2493"/>
      <c r="BO25" s="2493"/>
      <c r="BP25" s="2493"/>
      <c r="BQ25" s="2493"/>
      <c r="BR25" s="2493"/>
      <c r="BS25" s="2493"/>
      <c r="BT25" s="2493"/>
      <c r="BU25" s="2493"/>
      <c r="BV25" s="2493"/>
      <c r="BW25" s="2493"/>
      <c r="BX25" s="2493"/>
      <c r="BY25" s="2493"/>
      <c r="BZ25" s="2493"/>
      <c r="CA25" s="2493"/>
      <c r="CB25" s="2493"/>
      <c r="CC25" s="2493"/>
      <c r="CD25" s="2493"/>
      <c r="CE25" s="2493"/>
      <c r="CF25" s="2493"/>
      <c r="CG25" s="2493"/>
      <c r="CH25" s="2493"/>
      <c r="CI25" s="2493"/>
      <c r="CJ25" s="2493"/>
      <c r="CK25" s="2493"/>
      <c r="CL25" s="2493"/>
      <c r="CM25" s="2493"/>
      <c r="CN25" s="2493"/>
      <c r="CO25" s="2493"/>
      <c r="CP25" s="2493"/>
      <c r="CQ25" s="2493"/>
      <c r="CR25" s="2493"/>
      <c r="CS25" s="2493"/>
      <c r="CT25" s="2493"/>
      <c r="CU25" s="2493"/>
      <c r="CV25" s="2493"/>
      <c r="CW25" s="2493"/>
      <c r="CX25" s="2493"/>
      <c r="CY25" s="2493"/>
      <c r="CZ25" s="2493"/>
      <c r="DA25" s="2493"/>
      <c r="DB25" s="2493"/>
      <c r="DC25" s="2493"/>
      <c r="DD25" s="2493"/>
      <c r="DE25" s="2493"/>
      <c r="DF25" s="2493"/>
      <c r="DG25" s="2493"/>
      <c r="DH25" s="2493"/>
      <c r="DI25" s="2493"/>
      <c r="DJ25" s="2493"/>
      <c r="DK25" s="2493"/>
      <c r="DL25" s="2493"/>
      <c r="DM25" s="2493"/>
      <c r="DN25" s="2493"/>
      <c r="DO25" s="2493"/>
      <c r="DP25" s="2493"/>
      <c r="DQ25" s="2493"/>
      <c r="DR25" s="2493"/>
      <c r="DS25" s="2493"/>
    </row>
    <row r="26" s="2492" customFormat="1" spans="1:123">
      <c r="A26" s="2513" t="s">
        <v>919</v>
      </c>
      <c r="B26" s="2514" t="s">
        <v>920</v>
      </c>
      <c r="C26" s="2188">
        <f>ROUND(IF('数据-取费表'!B24&lt;=1,F21*F22*'数据-取费表'!B25/2,F21*(POWER((1+F22),'数据-取费表'!B25/2)-1)),4)</f>
        <v>0.001</v>
      </c>
      <c r="D26" s="2188"/>
      <c r="E26" s="2541"/>
      <c r="F26" s="2539"/>
      <c r="G26" s="2543"/>
      <c r="H26" s="2493"/>
      <c r="I26" s="2493"/>
      <c r="J26" s="2493"/>
      <c r="K26" s="2493"/>
      <c r="L26" s="2493"/>
      <c r="M26" s="2493"/>
      <c r="N26" s="2493"/>
      <c r="O26" s="2493"/>
      <c r="P26" s="2493"/>
      <c r="Q26" s="2493"/>
      <c r="R26" s="2493"/>
      <c r="S26" s="2493"/>
      <c r="T26" s="2493"/>
      <c r="U26" s="2493"/>
      <c r="V26" s="2493"/>
      <c r="W26" s="2493"/>
      <c r="X26" s="2493"/>
      <c r="Y26" s="2493"/>
      <c r="Z26" s="2493"/>
      <c r="AA26" s="2493"/>
      <c r="AB26" s="2493"/>
      <c r="AC26" s="2493"/>
      <c r="AD26" s="2493"/>
      <c r="AE26" s="2493"/>
      <c r="AF26" s="2493"/>
      <c r="AG26" s="2493"/>
      <c r="AH26" s="2493"/>
      <c r="AI26" s="2493"/>
      <c r="AJ26" s="2493"/>
      <c r="AK26" s="2493"/>
      <c r="AL26" s="2493"/>
      <c r="AM26" s="2493"/>
      <c r="AN26" s="2493"/>
      <c r="AO26" s="2493"/>
      <c r="AP26" s="2493"/>
      <c r="AQ26" s="2493"/>
      <c r="AR26" s="2493"/>
      <c r="AS26" s="2493"/>
      <c r="AT26" s="2493"/>
      <c r="AU26" s="2493"/>
      <c r="AV26" s="2493"/>
      <c r="AW26" s="2493"/>
      <c r="AX26" s="2493"/>
      <c r="AY26" s="2493"/>
      <c r="AZ26" s="2493"/>
      <c r="BA26" s="2493"/>
      <c r="BB26" s="2493"/>
      <c r="BC26" s="2493"/>
      <c r="BD26" s="2493"/>
      <c r="BE26" s="2493"/>
      <c r="BF26" s="2493"/>
      <c r="BG26" s="2493"/>
      <c r="BH26" s="2493"/>
      <c r="BI26" s="2493"/>
      <c r="BJ26" s="2493"/>
      <c r="BK26" s="2493"/>
      <c r="BL26" s="2493"/>
      <c r="BM26" s="2493"/>
      <c r="BN26" s="2493"/>
      <c r="BO26" s="2493"/>
      <c r="BP26" s="2493"/>
      <c r="BQ26" s="2493"/>
      <c r="BR26" s="2493"/>
      <c r="BS26" s="2493"/>
      <c r="BT26" s="2493"/>
      <c r="BU26" s="2493"/>
      <c r="BV26" s="2493"/>
      <c r="BW26" s="2493"/>
      <c r="BX26" s="2493"/>
      <c r="BY26" s="2493"/>
      <c r="BZ26" s="2493"/>
      <c r="CA26" s="2493"/>
      <c r="CB26" s="2493"/>
      <c r="CC26" s="2493"/>
      <c r="CD26" s="2493"/>
      <c r="CE26" s="2493"/>
      <c r="CF26" s="2493"/>
      <c r="CG26" s="2493"/>
      <c r="CH26" s="2493"/>
      <c r="CI26" s="2493"/>
      <c r="CJ26" s="2493"/>
      <c r="CK26" s="2493"/>
      <c r="CL26" s="2493"/>
      <c r="CM26" s="2493"/>
      <c r="CN26" s="2493"/>
      <c r="CO26" s="2493"/>
      <c r="CP26" s="2493"/>
      <c r="CQ26" s="2493"/>
      <c r="CR26" s="2493"/>
      <c r="CS26" s="2493"/>
      <c r="CT26" s="2493"/>
      <c r="CU26" s="2493"/>
      <c r="CV26" s="2493"/>
      <c r="CW26" s="2493"/>
      <c r="CX26" s="2493"/>
      <c r="CY26" s="2493"/>
      <c r="CZ26" s="2493"/>
      <c r="DA26" s="2493"/>
      <c r="DB26" s="2493"/>
      <c r="DC26" s="2493"/>
      <c r="DD26" s="2493"/>
      <c r="DE26" s="2493"/>
      <c r="DF26" s="2493"/>
      <c r="DG26" s="2493"/>
      <c r="DH26" s="2493"/>
      <c r="DI26" s="2493"/>
      <c r="DJ26" s="2493"/>
      <c r="DK26" s="2493"/>
      <c r="DL26" s="2493"/>
      <c r="DM26" s="2493"/>
      <c r="DN26" s="2493"/>
      <c r="DO26" s="2493"/>
      <c r="DP26" s="2493"/>
      <c r="DQ26" s="2493"/>
      <c r="DR26" s="2493"/>
      <c r="DS26" s="2493"/>
    </row>
    <row r="27" s="2492" customFormat="1" ht="25.5" spans="1:123">
      <c r="A27" s="2544" t="s">
        <v>921</v>
      </c>
      <c r="B27" s="2545" t="s">
        <v>922</v>
      </c>
      <c r="C27" s="2510">
        <f>C28</f>
        <v>275354</v>
      </c>
      <c r="D27" s="2535">
        <f>C29</f>
        <v>0.005</v>
      </c>
      <c r="E27" s="2536" t="s">
        <v>909</v>
      </c>
      <c r="F27" s="2531">
        <f>'数据-取费表'!E28</f>
        <v>0.25</v>
      </c>
      <c r="G27" s="2546" t="s">
        <v>923</v>
      </c>
      <c r="H27" s="2493"/>
      <c r="I27" s="2493"/>
      <c r="J27" s="2493"/>
      <c r="K27" s="2493"/>
      <c r="L27" s="2493"/>
      <c r="M27" s="2493"/>
      <c r="N27" s="2493"/>
      <c r="O27" s="2493"/>
      <c r="P27" s="2493"/>
      <c r="Q27" s="2493"/>
      <c r="R27" s="2493"/>
      <c r="S27" s="2493"/>
      <c r="T27" s="2493"/>
      <c r="U27" s="2493"/>
      <c r="V27" s="2493"/>
      <c r="W27" s="2493"/>
      <c r="X27" s="2493"/>
      <c r="Y27" s="2493"/>
      <c r="Z27" s="2493"/>
      <c r="AA27" s="2493"/>
      <c r="AB27" s="2493"/>
      <c r="AC27" s="2493"/>
      <c r="AD27" s="2493"/>
      <c r="AE27" s="2493"/>
      <c r="AF27" s="2493"/>
      <c r="AG27" s="2493"/>
      <c r="AH27" s="2493"/>
      <c r="AI27" s="2493"/>
      <c r="AJ27" s="2493"/>
      <c r="AK27" s="2493"/>
      <c r="AL27" s="2493"/>
      <c r="AM27" s="2493"/>
      <c r="AN27" s="2493"/>
      <c r="AO27" s="2493"/>
      <c r="AP27" s="2493"/>
      <c r="AQ27" s="2493"/>
      <c r="AR27" s="2493"/>
      <c r="AS27" s="2493"/>
      <c r="AT27" s="2493"/>
      <c r="AU27" s="2493"/>
      <c r="AV27" s="2493"/>
      <c r="AW27" s="2493"/>
      <c r="AX27" s="2493"/>
      <c r="AY27" s="2493"/>
      <c r="AZ27" s="2493"/>
      <c r="BA27" s="2493"/>
      <c r="BB27" s="2493"/>
      <c r="BC27" s="2493"/>
      <c r="BD27" s="2493"/>
      <c r="BE27" s="2493"/>
      <c r="BF27" s="2493"/>
      <c r="BG27" s="2493"/>
      <c r="BH27" s="2493"/>
      <c r="BI27" s="2493"/>
      <c r="BJ27" s="2493"/>
      <c r="BK27" s="2493"/>
      <c r="BL27" s="2493"/>
      <c r="BM27" s="2493"/>
      <c r="BN27" s="2493"/>
      <c r="BO27" s="2493"/>
      <c r="BP27" s="2493"/>
      <c r="BQ27" s="2493"/>
      <c r="BR27" s="2493"/>
      <c r="BS27" s="2493"/>
      <c r="BT27" s="2493"/>
      <c r="BU27" s="2493"/>
      <c r="BV27" s="2493"/>
      <c r="BW27" s="2493"/>
      <c r="BX27" s="2493"/>
      <c r="BY27" s="2493"/>
      <c r="BZ27" s="2493"/>
      <c r="CA27" s="2493"/>
      <c r="CB27" s="2493"/>
      <c r="CC27" s="2493"/>
      <c r="CD27" s="2493"/>
      <c r="CE27" s="2493"/>
      <c r="CF27" s="2493"/>
      <c r="CG27" s="2493"/>
      <c r="CH27" s="2493"/>
      <c r="CI27" s="2493"/>
      <c r="CJ27" s="2493"/>
      <c r="CK27" s="2493"/>
      <c r="CL27" s="2493"/>
      <c r="CM27" s="2493"/>
      <c r="CN27" s="2493"/>
      <c r="CO27" s="2493"/>
      <c r="CP27" s="2493"/>
      <c r="CQ27" s="2493"/>
      <c r="CR27" s="2493"/>
      <c r="CS27" s="2493"/>
      <c r="CT27" s="2493"/>
      <c r="CU27" s="2493"/>
      <c r="CV27" s="2493"/>
      <c r="CW27" s="2493"/>
      <c r="CX27" s="2493"/>
      <c r="CY27" s="2493"/>
      <c r="CZ27" s="2493"/>
      <c r="DA27" s="2493"/>
      <c r="DB27" s="2493"/>
      <c r="DC27" s="2493"/>
      <c r="DD27" s="2493"/>
      <c r="DE27" s="2493"/>
      <c r="DF27" s="2493"/>
      <c r="DG27" s="2493"/>
      <c r="DH27" s="2493"/>
      <c r="DI27" s="2493"/>
      <c r="DJ27" s="2493"/>
      <c r="DK27" s="2493"/>
      <c r="DL27" s="2493"/>
      <c r="DM27" s="2493"/>
      <c r="DN27" s="2493"/>
      <c r="DO27" s="2493"/>
      <c r="DP27" s="2493"/>
      <c r="DQ27" s="2493"/>
      <c r="DR27" s="2493"/>
      <c r="DS27" s="2493"/>
    </row>
    <row r="28" s="2492" customFormat="1" ht="13.5" customHeight="1" spans="1:123">
      <c r="A28" s="2513" t="s">
        <v>876</v>
      </c>
      <c r="B28" s="2547" t="s">
        <v>924</v>
      </c>
      <c r="C28" s="2519">
        <f>ROUND((C5+C19+C20)*F27*'数据-取费表'!B23/'数据-取费表'!B22,0)</f>
        <v>275354</v>
      </c>
      <c r="D28" s="2535"/>
      <c r="E28" s="2536"/>
      <c r="F28" s="2531"/>
      <c r="G28" s="2546"/>
      <c r="H28" s="2493"/>
      <c r="I28" s="2493"/>
      <c r="J28" s="2493"/>
      <c r="K28" s="2493"/>
      <c r="L28" s="2493"/>
      <c r="M28" s="2493"/>
      <c r="N28" s="2493"/>
      <c r="O28" s="2493"/>
      <c r="P28" s="2493"/>
      <c r="Q28" s="2493"/>
      <c r="R28" s="2493"/>
      <c r="S28" s="2493"/>
      <c r="T28" s="2493"/>
      <c r="U28" s="2493"/>
      <c r="V28" s="2493"/>
      <c r="W28" s="2493"/>
      <c r="X28" s="2493"/>
      <c r="Y28" s="2493"/>
      <c r="Z28" s="2493"/>
      <c r="AA28" s="2493"/>
      <c r="AB28" s="2493"/>
      <c r="AC28" s="2493"/>
      <c r="AD28" s="2493"/>
      <c r="AE28" s="2493"/>
      <c r="AF28" s="2493"/>
      <c r="AG28" s="2493"/>
      <c r="AH28" s="2493"/>
      <c r="AI28" s="2493"/>
      <c r="AJ28" s="2493"/>
      <c r="AK28" s="2493"/>
      <c r="AL28" s="2493"/>
      <c r="AM28" s="2493"/>
      <c r="AN28" s="2493"/>
      <c r="AO28" s="2493"/>
      <c r="AP28" s="2493"/>
      <c r="AQ28" s="2493"/>
      <c r="AR28" s="2493"/>
      <c r="AS28" s="2493"/>
      <c r="AT28" s="2493"/>
      <c r="AU28" s="2493"/>
      <c r="AV28" s="2493"/>
      <c r="AW28" s="2493"/>
      <c r="AX28" s="2493"/>
      <c r="AY28" s="2493"/>
      <c r="AZ28" s="2493"/>
      <c r="BA28" s="2493"/>
      <c r="BB28" s="2493"/>
      <c r="BC28" s="2493"/>
      <c r="BD28" s="2493"/>
      <c r="BE28" s="2493"/>
      <c r="BF28" s="2493"/>
      <c r="BG28" s="2493"/>
      <c r="BH28" s="2493"/>
      <c r="BI28" s="2493"/>
      <c r="BJ28" s="2493"/>
      <c r="BK28" s="2493"/>
      <c r="BL28" s="2493"/>
      <c r="BM28" s="2493"/>
      <c r="BN28" s="2493"/>
      <c r="BO28" s="2493"/>
      <c r="BP28" s="2493"/>
      <c r="BQ28" s="2493"/>
      <c r="BR28" s="2493"/>
      <c r="BS28" s="2493"/>
      <c r="BT28" s="2493"/>
      <c r="BU28" s="2493"/>
      <c r="BV28" s="2493"/>
      <c r="BW28" s="2493"/>
      <c r="BX28" s="2493"/>
      <c r="BY28" s="2493"/>
      <c r="BZ28" s="2493"/>
      <c r="CA28" s="2493"/>
      <c r="CB28" s="2493"/>
      <c r="CC28" s="2493"/>
      <c r="CD28" s="2493"/>
      <c r="CE28" s="2493"/>
      <c r="CF28" s="2493"/>
      <c r="CG28" s="2493"/>
      <c r="CH28" s="2493"/>
      <c r="CI28" s="2493"/>
      <c r="CJ28" s="2493"/>
      <c r="CK28" s="2493"/>
      <c r="CL28" s="2493"/>
      <c r="CM28" s="2493"/>
      <c r="CN28" s="2493"/>
      <c r="CO28" s="2493"/>
      <c r="CP28" s="2493"/>
      <c r="CQ28" s="2493"/>
      <c r="CR28" s="2493"/>
      <c r="CS28" s="2493"/>
      <c r="CT28" s="2493"/>
      <c r="CU28" s="2493"/>
      <c r="CV28" s="2493"/>
      <c r="CW28" s="2493"/>
      <c r="CX28" s="2493"/>
      <c r="CY28" s="2493"/>
      <c r="CZ28" s="2493"/>
      <c r="DA28" s="2493"/>
      <c r="DB28" s="2493"/>
      <c r="DC28" s="2493"/>
      <c r="DD28" s="2493"/>
      <c r="DE28" s="2493"/>
      <c r="DF28" s="2493"/>
      <c r="DG28" s="2493"/>
      <c r="DH28" s="2493"/>
      <c r="DI28" s="2493"/>
      <c r="DJ28" s="2493"/>
      <c r="DK28" s="2493"/>
      <c r="DL28" s="2493"/>
      <c r="DM28" s="2493"/>
      <c r="DN28" s="2493"/>
      <c r="DO28" s="2493"/>
      <c r="DP28" s="2493"/>
      <c r="DQ28" s="2493"/>
      <c r="DR28" s="2493"/>
      <c r="DS28" s="2493"/>
    </row>
    <row r="29" s="2492" customFormat="1" ht="13.5" customHeight="1" spans="1:123">
      <c r="A29" s="2513" t="s">
        <v>878</v>
      </c>
      <c r="B29" s="2547" t="s">
        <v>925</v>
      </c>
      <c r="C29" s="2188">
        <f>ROUND(C21*F27*'数据-取费表'!B23/'数据-取费表'!B22,4)</f>
        <v>0.005</v>
      </c>
      <c r="D29" s="2535"/>
      <c r="E29" s="2536"/>
      <c r="F29" s="2531"/>
      <c r="G29" s="2546"/>
      <c r="H29" s="2493"/>
      <c r="I29" s="2493"/>
      <c r="J29" s="2493"/>
      <c r="K29" s="2493"/>
      <c r="L29" s="2493"/>
      <c r="M29" s="2493"/>
      <c r="N29" s="2493"/>
      <c r="O29" s="2493"/>
      <c r="P29" s="2493"/>
      <c r="Q29" s="2493"/>
      <c r="R29" s="2493"/>
      <c r="S29" s="2493"/>
      <c r="T29" s="2493"/>
      <c r="U29" s="2493"/>
      <c r="V29" s="2493"/>
      <c r="W29" s="2493"/>
      <c r="X29" s="2493"/>
      <c r="Y29" s="2493"/>
      <c r="Z29" s="2493"/>
      <c r="AA29" s="2493"/>
      <c r="AB29" s="2493"/>
      <c r="AC29" s="2493"/>
      <c r="AD29" s="2493"/>
      <c r="AE29" s="2493"/>
      <c r="AF29" s="2493"/>
      <c r="AG29" s="2493"/>
      <c r="AH29" s="2493"/>
      <c r="AI29" s="2493"/>
      <c r="AJ29" s="2493"/>
      <c r="AK29" s="2493"/>
      <c r="AL29" s="2493"/>
      <c r="AM29" s="2493"/>
      <c r="AN29" s="2493"/>
      <c r="AO29" s="2493"/>
      <c r="AP29" s="2493"/>
      <c r="AQ29" s="2493"/>
      <c r="AR29" s="2493"/>
      <c r="AS29" s="2493"/>
      <c r="AT29" s="2493"/>
      <c r="AU29" s="2493"/>
      <c r="AV29" s="2493"/>
      <c r="AW29" s="2493"/>
      <c r="AX29" s="2493"/>
      <c r="AY29" s="2493"/>
      <c r="AZ29" s="2493"/>
      <c r="BA29" s="2493"/>
      <c r="BB29" s="2493"/>
      <c r="BC29" s="2493"/>
      <c r="BD29" s="2493"/>
      <c r="BE29" s="2493"/>
      <c r="BF29" s="2493"/>
      <c r="BG29" s="2493"/>
      <c r="BH29" s="2493"/>
      <c r="BI29" s="2493"/>
      <c r="BJ29" s="2493"/>
      <c r="BK29" s="2493"/>
      <c r="BL29" s="2493"/>
      <c r="BM29" s="2493"/>
      <c r="BN29" s="2493"/>
      <c r="BO29" s="2493"/>
      <c r="BP29" s="2493"/>
      <c r="BQ29" s="2493"/>
      <c r="BR29" s="2493"/>
      <c r="BS29" s="2493"/>
      <c r="BT29" s="2493"/>
      <c r="BU29" s="2493"/>
      <c r="BV29" s="2493"/>
      <c r="BW29" s="2493"/>
      <c r="BX29" s="2493"/>
      <c r="BY29" s="2493"/>
      <c r="BZ29" s="2493"/>
      <c r="CA29" s="2493"/>
      <c r="CB29" s="2493"/>
      <c r="CC29" s="2493"/>
      <c r="CD29" s="2493"/>
      <c r="CE29" s="2493"/>
      <c r="CF29" s="2493"/>
      <c r="CG29" s="2493"/>
      <c r="CH29" s="2493"/>
      <c r="CI29" s="2493"/>
      <c r="CJ29" s="2493"/>
      <c r="CK29" s="2493"/>
      <c r="CL29" s="2493"/>
      <c r="CM29" s="2493"/>
      <c r="CN29" s="2493"/>
      <c r="CO29" s="2493"/>
      <c r="CP29" s="2493"/>
      <c r="CQ29" s="2493"/>
      <c r="CR29" s="2493"/>
      <c r="CS29" s="2493"/>
      <c r="CT29" s="2493"/>
      <c r="CU29" s="2493"/>
      <c r="CV29" s="2493"/>
      <c r="CW29" s="2493"/>
      <c r="CX29" s="2493"/>
      <c r="CY29" s="2493"/>
      <c r="CZ29" s="2493"/>
      <c r="DA29" s="2493"/>
      <c r="DB29" s="2493"/>
      <c r="DC29" s="2493"/>
      <c r="DD29" s="2493"/>
      <c r="DE29" s="2493"/>
      <c r="DF29" s="2493"/>
      <c r="DG29" s="2493"/>
      <c r="DH29" s="2493"/>
      <c r="DI29" s="2493"/>
      <c r="DJ29" s="2493"/>
      <c r="DK29" s="2493"/>
      <c r="DL29" s="2493"/>
      <c r="DM29" s="2493"/>
      <c r="DN29" s="2493"/>
      <c r="DO29" s="2493"/>
      <c r="DP29" s="2493"/>
      <c r="DQ29" s="2493"/>
      <c r="DR29" s="2493"/>
      <c r="DS29" s="2493"/>
    </row>
    <row r="30" s="2492" customFormat="1" ht="13.5" customHeight="1" spans="1:123">
      <c r="A30" s="2544" t="s">
        <v>926</v>
      </c>
      <c r="B30" s="2509" t="s">
        <v>927</v>
      </c>
      <c r="C30" s="2535">
        <f>ROUND(F30/(1+'数据-取费表'!F30),4)</f>
        <v>0.0533</v>
      </c>
      <c r="D30" s="2536" t="s">
        <v>909</v>
      </c>
      <c r="E30" s="2541"/>
      <c r="F30" s="2533">
        <f>'数据-取费表'!E29</f>
        <v>0.056</v>
      </c>
      <c r="G30" s="2534" t="s">
        <v>928</v>
      </c>
      <c r="H30" s="2493"/>
      <c r="I30" s="2493"/>
      <c r="J30" s="2493"/>
      <c r="K30" s="2493"/>
      <c r="L30" s="2493"/>
      <c r="M30" s="2493"/>
      <c r="N30" s="2493"/>
      <c r="O30" s="2493"/>
      <c r="P30" s="2493"/>
      <c r="Q30" s="2493"/>
      <c r="R30" s="2493"/>
      <c r="S30" s="2493"/>
      <c r="T30" s="2493"/>
      <c r="U30" s="2493"/>
      <c r="V30" s="2493"/>
      <c r="W30" s="2493"/>
      <c r="X30" s="2493"/>
      <c r="Y30" s="2493"/>
      <c r="Z30" s="2493"/>
      <c r="AA30" s="2493"/>
      <c r="AB30" s="2493"/>
      <c r="AC30" s="2493"/>
      <c r="AD30" s="2493"/>
      <c r="AE30" s="2493"/>
      <c r="AF30" s="2493"/>
      <c r="AG30" s="2493"/>
      <c r="AH30" s="2493"/>
      <c r="AI30" s="2493"/>
      <c r="AJ30" s="2493"/>
      <c r="AK30" s="2493"/>
      <c r="AL30" s="2493"/>
      <c r="AM30" s="2493"/>
      <c r="AN30" s="2493"/>
      <c r="AO30" s="2493"/>
      <c r="AP30" s="2493"/>
      <c r="AQ30" s="2493"/>
      <c r="AR30" s="2493"/>
      <c r="AS30" s="2493"/>
      <c r="AT30" s="2493"/>
      <c r="AU30" s="2493"/>
      <c r="AV30" s="2493"/>
      <c r="AW30" s="2493"/>
      <c r="AX30" s="2493"/>
      <c r="AY30" s="2493"/>
      <c r="AZ30" s="2493"/>
      <c r="BA30" s="2493"/>
      <c r="BB30" s="2493"/>
      <c r="BC30" s="2493"/>
      <c r="BD30" s="2493"/>
      <c r="BE30" s="2493"/>
      <c r="BF30" s="2493"/>
      <c r="BG30" s="2493"/>
      <c r="BH30" s="2493"/>
      <c r="BI30" s="2493"/>
      <c r="BJ30" s="2493"/>
      <c r="BK30" s="2493"/>
      <c r="BL30" s="2493"/>
      <c r="BM30" s="2493"/>
      <c r="BN30" s="2493"/>
      <c r="BO30" s="2493"/>
      <c r="BP30" s="2493"/>
      <c r="BQ30" s="2493"/>
      <c r="BR30" s="2493"/>
      <c r="BS30" s="2493"/>
      <c r="BT30" s="2493"/>
      <c r="BU30" s="2493"/>
      <c r="BV30" s="2493"/>
      <c r="BW30" s="2493"/>
      <c r="BX30" s="2493"/>
      <c r="BY30" s="2493"/>
      <c r="BZ30" s="2493"/>
      <c r="CA30" s="2493"/>
      <c r="CB30" s="2493"/>
      <c r="CC30" s="2493"/>
      <c r="CD30" s="2493"/>
      <c r="CE30" s="2493"/>
      <c r="CF30" s="2493"/>
      <c r="CG30" s="2493"/>
      <c r="CH30" s="2493"/>
      <c r="CI30" s="2493"/>
      <c r="CJ30" s="2493"/>
      <c r="CK30" s="2493"/>
      <c r="CL30" s="2493"/>
      <c r="CM30" s="2493"/>
      <c r="CN30" s="2493"/>
      <c r="CO30" s="2493"/>
      <c r="CP30" s="2493"/>
      <c r="CQ30" s="2493"/>
      <c r="CR30" s="2493"/>
      <c r="CS30" s="2493"/>
      <c r="CT30" s="2493"/>
      <c r="CU30" s="2493"/>
      <c r="CV30" s="2493"/>
      <c r="CW30" s="2493"/>
      <c r="CX30" s="2493"/>
      <c r="CY30" s="2493"/>
      <c r="CZ30" s="2493"/>
      <c r="DA30" s="2493"/>
      <c r="DB30" s="2493"/>
      <c r="DC30" s="2493"/>
      <c r="DD30" s="2493"/>
      <c r="DE30" s="2493"/>
      <c r="DF30" s="2493"/>
      <c r="DG30" s="2493"/>
      <c r="DH30" s="2493"/>
      <c r="DI30" s="2493"/>
      <c r="DJ30" s="2493"/>
      <c r="DK30" s="2493"/>
      <c r="DL30" s="2493"/>
      <c r="DM30" s="2493"/>
      <c r="DN30" s="2493"/>
      <c r="DO30" s="2493"/>
      <c r="DP30" s="2493"/>
      <c r="DQ30" s="2493"/>
      <c r="DR30" s="2493"/>
      <c r="DS30" s="2493"/>
    </row>
    <row r="31" ht="16.5" customHeight="1" spans="1:7">
      <c r="A31" s="2508">
        <v>1</v>
      </c>
      <c r="B31" s="2509" t="s">
        <v>929</v>
      </c>
      <c r="C31" s="2510">
        <f>ROUND((C5+C19+C20+C22+C27)/(1-C21-D22-D27-C30),0)</f>
        <v>1610528</v>
      </c>
      <c r="D31" s="2530"/>
      <c r="E31" s="2510"/>
      <c r="F31" s="2548"/>
      <c r="G31" s="2534" t="s">
        <v>930</v>
      </c>
    </row>
    <row r="32" s="2491" customFormat="1" ht="15.75" spans="1:123">
      <c r="A32" s="2549" t="s">
        <v>931</v>
      </c>
      <c r="B32" s="2550"/>
      <c r="C32" s="2551"/>
      <c r="D32" s="2551"/>
      <c r="E32" s="2551"/>
      <c r="F32" s="2551"/>
      <c r="G32" s="2552"/>
      <c r="H32" s="2507"/>
      <c r="I32" s="2507"/>
      <c r="J32" s="2507"/>
      <c r="K32" s="2507"/>
      <c r="L32" s="2507"/>
      <c r="M32" s="2507"/>
      <c r="N32" s="2507"/>
      <c r="O32" s="2507"/>
      <c r="P32" s="2507"/>
      <c r="Q32" s="2507"/>
      <c r="R32" s="2507"/>
      <c r="S32" s="2507"/>
      <c r="T32" s="2507"/>
      <c r="U32" s="2507"/>
      <c r="V32" s="2507"/>
      <c r="W32" s="2507"/>
      <c r="X32" s="2507"/>
      <c r="Y32" s="2507"/>
      <c r="Z32" s="2507"/>
      <c r="AA32" s="2507"/>
      <c r="AB32" s="2507"/>
      <c r="AC32" s="2507"/>
      <c r="AD32" s="2507"/>
      <c r="AE32" s="2507"/>
      <c r="AF32" s="2507"/>
      <c r="AG32" s="2507"/>
      <c r="AH32" s="2507"/>
      <c r="AI32" s="2507"/>
      <c r="AJ32" s="2507"/>
      <c r="AK32" s="2507"/>
      <c r="AL32" s="2507"/>
      <c r="AM32" s="2507"/>
      <c r="AN32" s="2507"/>
      <c r="AO32" s="2507"/>
      <c r="AP32" s="2507"/>
      <c r="AQ32" s="2507"/>
      <c r="AR32" s="2507"/>
      <c r="AS32" s="2507"/>
      <c r="AT32" s="2507"/>
      <c r="AU32" s="2507"/>
      <c r="AV32" s="2507"/>
      <c r="AW32" s="2507"/>
      <c r="AX32" s="2507"/>
      <c r="AY32" s="2507"/>
      <c r="AZ32" s="2507"/>
      <c r="BA32" s="2507"/>
      <c r="BB32" s="2507"/>
      <c r="BC32" s="2507"/>
      <c r="BD32" s="2507"/>
      <c r="BE32" s="2507"/>
      <c r="BF32" s="2507"/>
      <c r="BG32" s="2507"/>
      <c r="BH32" s="2507"/>
      <c r="BI32" s="2507"/>
      <c r="BJ32" s="2507"/>
      <c r="BK32" s="2507"/>
      <c r="BL32" s="2507"/>
      <c r="BM32" s="2507"/>
      <c r="BN32" s="2507"/>
      <c r="BO32" s="2507"/>
      <c r="BP32" s="2507"/>
      <c r="BQ32" s="2507"/>
      <c r="BR32" s="2507"/>
      <c r="BS32" s="2507"/>
      <c r="BT32" s="2507"/>
      <c r="BU32" s="2507"/>
      <c r="BV32" s="2507"/>
      <c r="BW32" s="2507"/>
      <c r="BX32" s="2507"/>
      <c r="BY32" s="2507"/>
      <c r="BZ32" s="2507"/>
      <c r="CA32" s="2507"/>
      <c r="CB32" s="2507"/>
      <c r="CC32" s="2507"/>
      <c r="CD32" s="2507"/>
      <c r="CE32" s="2507"/>
      <c r="CF32" s="2507"/>
      <c r="CG32" s="2507"/>
      <c r="CH32" s="2507"/>
      <c r="CI32" s="2507"/>
      <c r="CJ32" s="2507"/>
      <c r="CK32" s="2507"/>
      <c r="CL32" s="2507"/>
      <c r="CM32" s="2507"/>
      <c r="CN32" s="2507"/>
      <c r="CO32" s="2507"/>
      <c r="CP32" s="2507"/>
      <c r="CQ32" s="2507"/>
      <c r="CR32" s="2507"/>
      <c r="CS32" s="2507"/>
      <c r="CT32" s="2507"/>
      <c r="CU32" s="2507"/>
      <c r="CV32" s="2507"/>
      <c r="CW32" s="2507"/>
      <c r="CX32" s="2507"/>
      <c r="CY32" s="2507"/>
      <c r="CZ32" s="2507"/>
      <c r="DA32" s="2507"/>
      <c r="DB32" s="2507"/>
      <c r="DC32" s="2507"/>
      <c r="DD32" s="2507"/>
      <c r="DE32" s="2507"/>
      <c r="DF32" s="2507"/>
      <c r="DG32" s="2507"/>
      <c r="DH32" s="2507"/>
      <c r="DI32" s="2507"/>
      <c r="DJ32" s="2507"/>
      <c r="DK32" s="2507"/>
      <c r="DL32" s="2507"/>
      <c r="DM32" s="2507"/>
      <c r="DN32" s="2507"/>
      <c r="DO32" s="2507"/>
      <c r="DP32" s="2507"/>
      <c r="DQ32" s="2507"/>
      <c r="DR32" s="2507"/>
      <c r="DS32" s="2507"/>
    </row>
    <row r="33" s="2492" customFormat="1" ht="13.5" customHeight="1" spans="1:123">
      <c r="A33" s="2508" t="s">
        <v>872</v>
      </c>
      <c r="B33" s="2509" t="s">
        <v>932</v>
      </c>
      <c r="C33" s="2537">
        <f>SUM(C34:C38)</f>
        <v>859367</v>
      </c>
      <c r="D33" s="2532"/>
      <c r="E33" s="2511"/>
      <c r="F33" s="2541"/>
      <c r="G33" s="2534"/>
      <c r="H33" s="2493"/>
      <c r="I33" s="2493"/>
      <c r="J33" s="2493"/>
      <c r="K33" s="2493"/>
      <c r="L33" s="2493"/>
      <c r="M33" s="2493"/>
      <c r="N33" s="2493"/>
      <c r="O33" s="2493"/>
      <c r="P33" s="2493"/>
      <c r="Q33" s="2493"/>
      <c r="R33" s="2493"/>
      <c r="S33" s="2493"/>
      <c r="T33" s="2493"/>
      <c r="U33" s="2493"/>
      <c r="V33" s="2493"/>
      <c r="W33" s="2493"/>
      <c r="X33" s="2493"/>
      <c r="Y33" s="2493"/>
      <c r="Z33" s="2493"/>
      <c r="AA33" s="2493"/>
      <c r="AB33" s="2493"/>
      <c r="AC33" s="2493"/>
      <c r="AD33" s="2493"/>
      <c r="AE33" s="2493"/>
      <c r="AF33" s="2493"/>
      <c r="AG33" s="2493"/>
      <c r="AH33" s="2493"/>
      <c r="AI33" s="2493"/>
      <c r="AJ33" s="2493"/>
      <c r="AK33" s="2493"/>
      <c r="AL33" s="2493"/>
      <c r="AM33" s="2493"/>
      <c r="AN33" s="2493"/>
      <c r="AO33" s="2493"/>
      <c r="AP33" s="2493"/>
      <c r="AQ33" s="2493"/>
      <c r="AR33" s="2493"/>
      <c r="AS33" s="2493"/>
      <c r="AT33" s="2493"/>
      <c r="AU33" s="2493"/>
      <c r="AV33" s="2493"/>
      <c r="AW33" s="2493"/>
      <c r="AX33" s="2493"/>
      <c r="AY33" s="2493"/>
      <c r="AZ33" s="2493"/>
      <c r="BA33" s="2493"/>
      <c r="BB33" s="2493"/>
      <c r="BC33" s="2493"/>
      <c r="BD33" s="2493"/>
      <c r="BE33" s="2493"/>
      <c r="BF33" s="2493"/>
      <c r="BG33" s="2493"/>
      <c r="BH33" s="2493"/>
      <c r="BI33" s="2493"/>
      <c r="BJ33" s="2493"/>
      <c r="BK33" s="2493"/>
      <c r="BL33" s="2493"/>
      <c r="BM33" s="2493"/>
      <c r="BN33" s="2493"/>
      <c r="BO33" s="2493"/>
      <c r="BP33" s="2493"/>
      <c r="BQ33" s="2493"/>
      <c r="BR33" s="2493"/>
      <c r="BS33" s="2493"/>
      <c r="BT33" s="2493"/>
      <c r="BU33" s="2493"/>
      <c r="BV33" s="2493"/>
      <c r="BW33" s="2493"/>
      <c r="BX33" s="2493"/>
      <c r="BY33" s="2493"/>
      <c r="BZ33" s="2493"/>
      <c r="CA33" s="2493"/>
      <c r="CB33" s="2493"/>
      <c r="CC33" s="2493"/>
      <c r="CD33" s="2493"/>
      <c r="CE33" s="2493"/>
      <c r="CF33" s="2493"/>
      <c r="CG33" s="2493"/>
      <c r="CH33" s="2493"/>
      <c r="CI33" s="2493"/>
      <c r="CJ33" s="2493"/>
      <c r="CK33" s="2493"/>
      <c r="CL33" s="2493"/>
      <c r="CM33" s="2493"/>
      <c r="CN33" s="2493"/>
      <c r="CO33" s="2493"/>
      <c r="CP33" s="2493"/>
      <c r="CQ33" s="2493"/>
      <c r="CR33" s="2493"/>
      <c r="CS33" s="2493"/>
      <c r="CT33" s="2493"/>
      <c r="CU33" s="2493"/>
      <c r="CV33" s="2493"/>
      <c r="CW33" s="2493"/>
      <c r="CX33" s="2493"/>
      <c r="CY33" s="2493"/>
      <c r="CZ33" s="2493"/>
      <c r="DA33" s="2493"/>
      <c r="DB33" s="2493"/>
      <c r="DC33" s="2493"/>
      <c r="DD33" s="2493"/>
      <c r="DE33" s="2493"/>
      <c r="DF33" s="2493"/>
      <c r="DG33" s="2493"/>
      <c r="DH33" s="2493"/>
      <c r="DI33" s="2493"/>
      <c r="DJ33" s="2493"/>
      <c r="DK33" s="2493"/>
      <c r="DL33" s="2493"/>
      <c r="DM33" s="2493"/>
      <c r="DN33" s="2493"/>
      <c r="DO33" s="2493"/>
      <c r="DP33" s="2493"/>
      <c r="DQ33" s="2493"/>
      <c r="DR33" s="2493"/>
      <c r="DS33" s="2493"/>
    </row>
    <row r="34" s="2494" customFormat="1" ht="13.5" customHeight="1" spans="1:7">
      <c r="A34" s="2513" t="s">
        <v>876</v>
      </c>
      <c r="B34" s="2514" t="s">
        <v>933</v>
      </c>
      <c r="C34" s="2519">
        <f>IF(B1="仅计算典型户型",'数据-取费表'!F18,'数据-取费表'!E18)</f>
        <v>739770</v>
      </c>
      <c r="D34" s="2516"/>
      <c r="E34" s="2519"/>
      <c r="F34" s="2553" t="str">
        <f>IF('数据-取费表'!B26=0,"",'数据-取费表'!E20)</f>
        <v/>
      </c>
      <c r="G34" s="2518"/>
    </row>
    <row r="35" ht="13.5" customHeight="1" spans="1:7">
      <c r="A35" s="2513" t="s">
        <v>878</v>
      </c>
      <c r="B35" s="2514" t="s">
        <v>934</v>
      </c>
      <c r="C35" s="2519">
        <f>ROUND(C34*F35,0)</f>
        <v>22193</v>
      </c>
      <c r="D35" s="2519"/>
      <c r="E35" s="2519"/>
      <c r="F35" s="2554">
        <f>'数据-取费表'!E21</f>
        <v>0.03</v>
      </c>
      <c r="G35" s="2518" t="s">
        <v>935</v>
      </c>
    </row>
    <row r="36" ht="24" spans="1:7">
      <c r="A36" s="2513" t="s">
        <v>880</v>
      </c>
      <c r="B36" s="2514" t="s">
        <v>936</v>
      </c>
      <c r="C36" s="2519">
        <f>ROUND(IF('数据-取费表'!B10="住宅",C34*F36,0),0)</f>
        <v>36989</v>
      </c>
      <c r="D36" s="2519"/>
      <c r="E36" s="2519"/>
      <c r="F36" s="2554">
        <f>'数据-取费表'!E22</f>
        <v>0.05</v>
      </c>
      <c r="G36" s="2555" t="s">
        <v>937</v>
      </c>
    </row>
    <row r="37" s="2494" customFormat="1" ht="13.5" customHeight="1" spans="1:7">
      <c r="A37" s="2513" t="s">
        <v>919</v>
      </c>
      <c r="B37" s="2514" t="s">
        <v>938</v>
      </c>
      <c r="C37" s="2519">
        <f>ROUND(E37*D37,0)</f>
        <v>49318</v>
      </c>
      <c r="D37" s="2516">
        <f>IF(B1="仅计算典型户型",'数据-取费表'!E5,'数据-取费表'!B5)</f>
        <v>246.59</v>
      </c>
      <c r="E37" s="2519">
        <f>'数据-取费表'!E23</f>
        <v>200</v>
      </c>
      <c r="F37" s="2554"/>
      <c r="G37" s="2556" t="s">
        <v>939</v>
      </c>
    </row>
    <row r="38" ht="13.5" customHeight="1" spans="1:7">
      <c r="A38" s="2513" t="s">
        <v>940</v>
      </c>
      <c r="B38" s="2514" t="s">
        <v>760</v>
      </c>
      <c r="C38" s="2519">
        <f>ROUND(C34*F38,0)</f>
        <v>11097</v>
      </c>
      <c r="D38" s="2519"/>
      <c r="E38" s="2519"/>
      <c r="F38" s="2554">
        <f>'数据-取费表'!E24</f>
        <v>0.015</v>
      </c>
      <c r="G38" s="2518" t="s">
        <v>935</v>
      </c>
    </row>
    <row r="39" s="2492" customFormat="1" ht="13.5" customHeight="1" spans="1:123">
      <c r="A39" s="2508" t="s">
        <v>902</v>
      </c>
      <c r="B39" s="2509" t="s">
        <v>905</v>
      </c>
      <c r="C39" s="2532">
        <f>ROUND(C33*F20,0)</f>
        <v>17187</v>
      </c>
      <c r="D39" s="2532"/>
      <c r="E39" s="2532"/>
      <c r="F39" s="2557">
        <f>F20</f>
        <v>0.02</v>
      </c>
      <c r="G39" s="2534" t="s">
        <v>941</v>
      </c>
      <c r="H39" s="2493"/>
      <c r="I39" s="2493"/>
      <c r="J39" s="2493"/>
      <c r="K39" s="2493"/>
      <c r="L39" s="2493"/>
      <c r="M39" s="2493"/>
      <c r="N39" s="2493"/>
      <c r="O39" s="2493"/>
      <c r="P39" s="2493"/>
      <c r="Q39" s="2493"/>
      <c r="R39" s="2493"/>
      <c r="S39" s="2493"/>
      <c r="T39" s="2493"/>
      <c r="U39" s="2493"/>
      <c r="V39" s="2493"/>
      <c r="W39" s="2493"/>
      <c r="X39" s="2493"/>
      <c r="Y39" s="2493"/>
      <c r="Z39" s="2493"/>
      <c r="AA39" s="2493"/>
      <c r="AB39" s="2493"/>
      <c r="AC39" s="2493"/>
      <c r="AD39" s="2493"/>
      <c r="AE39" s="2493"/>
      <c r="AF39" s="2493"/>
      <c r="AG39" s="2493"/>
      <c r="AH39" s="2493"/>
      <c r="AI39" s="2493"/>
      <c r="AJ39" s="2493"/>
      <c r="AK39" s="2493"/>
      <c r="AL39" s="2493"/>
      <c r="AM39" s="2493"/>
      <c r="AN39" s="2493"/>
      <c r="AO39" s="2493"/>
      <c r="AP39" s="2493"/>
      <c r="AQ39" s="2493"/>
      <c r="AR39" s="2493"/>
      <c r="AS39" s="2493"/>
      <c r="AT39" s="2493"/>
      <c r="AU39" s="2493"/>
      <c r="AV39" s="2493"/>
      <c r="AW39" s="2493"/>
      <c r="AX39" s="2493"/>
      <c r="AY39" s="2493"/>
      <c r="AZ39" s="2493"/>
      <c r="BA39" s="2493"/>
      <c r="BB39" s="2493"/>
      <c r="BC39" s="2493"/>
      <c r="BD39" s="2493"/>
      <c r="BE39" s="2493"/>
      <c r="BF39" s="2493"/>
      <c r="BG39" s="2493"/>
      <c r="BH39" s="2493"/>
      <c r="BI39" s="2493"/>
      <c r="BJ39" s="2493"/>
      <c r="BK39" s="2493"/>
      <c r="BL39" s="2493"/>
      <c r="BM39" s="2493"/>
      <c r="BN39" s="2493"/>
      <c r="BO39" s="2493"/>
      <c r="BP39" s="2493"/>
      <c r="BQ39" s="2493"/>
      <c r="BR39" s="2493"/>
      <c r="BS39" s="2493"/>
      <c r="BT39" s="2493"/>
      <c r="BU39" s="2493"/>
      <c r="BV39" s="2493"/>
      <c r="BW39" s="2493"/>
      <c r="BX39" s="2493"/>
      <c r="BY39" s="2493"/>
      <c r="BZ39" s="2493"/>
      <c r="CA39" s="2493"/>
      <c r="CB39" s="2493"/>
      <c r="CC39" s="2493"/>
      <c r="CD39" s="2493"/>
      <c r="CE39" s="2493"/>
      <c r="CF39" s="2493"/>
      <c r="CG39" s="2493"/>
      <c r="CH39" s="2493"/>
      <c r="CI39" s="2493"/>
      <c r="CJ39" s="2493"/>
      <c r="CK39" s="2493"/>
      <c r="CL39" s="2493"/>
      <c r="CM39" s="2493"/>
      <c r="CN39" s="2493"/>
      <c r="CO39" s="2493"/>
      <c r="CP39" s="2493"/>
      <c r="CQ39" s="2493"/>
      <c r="CR39" s="2493"/>
      <c r="CS39" s="2493"/>
      <c r="CT39" s="2493"/>
      <c r="CU39" s="2493"/>
      <c r="CV39" s="2493"/>
      <c r="CW39" s="2493"/>
      <c r="CX39" s="2493"/>
      <c r="CY39" s="2493"/>
      <c r="CZ39" s="2493"/>
      <c r="DA39" s="2493"/>
      <c r="DB39" s="2493"/>
      <c r="DC39" s="2493"/>
      <c r="DD39" s="2493"/>
      <c r="DE39" s="2493"/>
      <c r="DF39" s="2493"/>
      <c r="DG39" s="2493"/>
      <c r="DH39" s="2493"/>
      <c r="DI39" s="2493"/>
      <c r="DJ39" s="2493"/>
      <c r="DK39" s="2493"/>
      <c r="DL39" s="2493"/>
      <c r="DM39" s="2493"/>
      <c r="DN39" s="2493"/>
      <c r="DO39" s="2493"/>
      <c r="DP39" s="2493"/>
      <c r="DQ39" s="2493"/>
      <c r="DR39" s="2493"/>
      <c r="DS39" s="2493"/>
    </row>
    <row r="40" s="2492" customFormat="1" ht="13.5" customHeight="1" spans="1:123">
      <c r="A40" s="2508" t="s">
        <v>904</v>
      </c>
      <c r="B40" s="2509" t="s">
        <v>908</v>
      </c>
      <c r="C40" s="2558">
        <f>F21</f>
        <v>0.02</v>
      </c>
      <c r="D40" s="2536" t="s">
        <v>942</v>
      </c>
      <c r="E40" s="2532"/>
      <c r="F40" s="2557">
        <f>F21</f>
        <v>0.02</v>
      </c>
      <c r="G40" s="2534" t="s">
        <v>943</v>
      </c>
      <c r="H40" s="2493"/>
      <c r="I40" s="2493"/>
      <c r="J40" s="2493"/>
      <c r="K40" s="2493"/>
      <c r="L40" s="2493"/>
      <c r="M40" s="2493"/>
      <c r="N40" s="2493"/>
      <c r="O40" s="2493"/>
      <c r="P40" s="2493"/>
      <c r="Q40" s="2493"/>
      <c r="R40" s="2493"/>
      <c r="S40" s="2493"/>
      <c r="T40" s="2493"/>
      <c r="U40" s="2493"/>
      <c r="V40" s="2493"/>
      <c r="W40" s="2493"/>
      <c r="X40" s="2493"/>
      <c r="Y40" s="2493"/>
      <c r="Z40" s="2493"/>
      <c r="AA40" s="2493"/>
      <c r="AB40" s="2493"/>
      <c r="AC40" s="2493"/>
      <c r="AD40" s="2493"/>
      <c r="AE40" s="2493"/>
      <c r="AF40" s="2493"/>
      <c r="AG40" s="2493"/>
      <c r="AH40" s="2493"/>
      <c r="AI40" s="2493"/>
      <c r="AJ40" s="2493"/>
      <c r="AK40" s="2493"/>
      <c r="AL40" s="2493"/>
      <c r="AM40" s="2493"/>
      <c r="AN40" s="2493"/>
      <c r="AO40" s="2493"/>
      <c r="AP40" s="2493"/>
      <c r="AQ40" s="2493"/>
      <c r="AR40" s="2493"/>
      <c r="AS40" s="2493"/>
      <c r="AT40" s="2493"/>
      <c r="AU40" s="2493"/>
      <c r="AV40" s="2493"/>
      <c r="AW40" s="2493"/>
      <c r="AX40" s="2493"/>
      <c r="AY40" s="2493"/>
      <c r="AZ40" s="2493"/>
      <c r="BA40" s="2493"/>
      <c r="BB40" s="2493"/>
      <c r="BC40" s="2493"/>
      <c r="BD40" s="2493"/>
      <c r="BE40" s="2493"/>
      <c r="BF40" s="2493"/>
      <c r="BG40" s="2493"/>
      <c r="BH40" s="2493"/>
      <c r="BI40" s="2493"/>
      <c r="BJ40" s="2493"/>
      <c r="BK40" s="2493"/>
      <c r="BL40" s="2493"/>
      <c r="BM40" s="2493"/>
      <c r="BN40" s="2493"/>
      <c r="BO40" s="2493"/>
      <c r="BP40" s="2493"/>
      <c r="BQ40" s="2493"/>
      <c r="BR40" s="2493"/>
      <c r="BS40" s="2493"/>
      <c r="BT40" s="2493"/>
      <c r="BU40" s="2493"/>
      <c r="BV40" s="2493"/>
      <c r="BW40" s="2493"/>
      <c r="BX40" s="2493"/>
      <c r="BY40" s="2493"/>
      <c r="BZ40" s="2493"/>
      <c r="CA40" s="2493"/>
      <c r="CB40" s="2493"/>
      <c r="CC40" s="2493"/>
      <c r="CD40" s="2493"/>
      <c r="CE40" s="2493"/>
      <c r="CF40" s="2493"/>
      <c r="CG40" s="2493"/>
      <c r="CH40" s="2493"/>
      <c r="CI40" s="2493"/>
      <c r="CJ40" s="2493"/>
      <c r="CK40" s="2493"/>
      <c r="CL40" s="2493"/>
      <c r="CM40" s="2493"/>
      <c r="CN40" s="2493"/>
      <c r="CO40" s="2493"/>
      <c r="CP40" s="2493"/>
      <c r="CQ40" s="2493"/>
      <c r="CR40" s="2493"/>
      <c r="CS40" s="2493"/>
      <c r="CT40" s="2493"/>
      <c r="CU40" s="2493"/>
      <c r="CV40" s="2493"/>
      <c r="CW40" s="2493"/>
      <c r="CX40" s="2493"/>
      <c r="CY40" s="2493"/>
      <c r="CZ40" s="2493"/>
      <c r="DA40" s="2493"/>
      <c r="DB40" s="2493"/>
      <c r="DC40" s="2493"/>
      <c r="DD40" s="2493"/>
      <c r="DE40" s="2493"/>
      <c r="DF40" s="2493"/>
      <c r="DG40" s="2493"/>
      <c r="DH40" s="2493"/>
      <c r="DI40" s="2493"/>
      <c r="DJ40" s="2493"/>
      <c r="DK40" s="2493"/>
      <c r="DL40" s="2493"/>
      <c r="DM40" s="2493"/>
      <c r="DN40" s="2493"/>
      <c r="DO40" s="2493"/>
      <c r="DP40" s="2493"/>
      <c r="DQ40" s="2493"/>
      <c r="DR40" s="2493"/>
      <c r="DS40" s="2493"/>
    </row>
    <row r="41" s="2492" customFormat="1" ht="13.5" customHeight="1" spans="1:123">
      <c r="A41" s="2508" t="s">
        <v>907</v>
      </c>
      <c r="B41" s="2509" t="s">
        <v>912</v>
      </c>
      <c r="C41" s="2532">
        <f>ROUND(SUM(C42:C43),0)</f>
        <v>41636</v>
      </c>
      <c r="D41" s="2535">
        <f>C44</f>
        <v>0.001</v>
      </c>
      <c r="E41" s="2536" t="s">
        <v>942</v>
      </c>
      <c r="F41" s="2557">
        <f>F22</f>
        <v>0.0475</v>
      </c>
      <c r="G41" s="2534" t="str">
        <f>IF('数据-取费表'!B24&lt;=1,"单利计息。","复利计息。")</f>
        <v>复利计息。</v>
      </c>
      <c r="H41" s="2493"/>
      <c r="I41" s="2493"/>
      <c r="J41" s="2493"/>
      <c r="K41" s="2493"/>
      <c r="L41" s="2493"/>
      <c r="M41" s="2493"/>
      <c r="N41" s="2493"/>
      <c r="O41" s="2493"/>
      <c r="P41" s="2493"/>
      <c r="Q41" s="2493"/>
      <c r="R41" s="2493"/>
      <c r="S41" s="2493"/>
      <c r="T41" s="2493"/>
      <c r="U41" s="2493"/>
      <c r="V41" s="2493"/>
      <c r="W41" s="2493"/>
      <c r="X41" s="2493"/>
      <c r="Y41" s="2493"/>
      <c r="Z41" s="2493"/>
      <c r="AA41" s="2493"/>
      <c r="AB41" s="2493"/>
      <c r="AC41" s="2493"/>
      <c r="AD41" s="2493"/>
      <c r="AE41" s="2493"/>
      <c r="AF41" s="2493"/>
      <c r="AG41" s="2493"/>
      <c r="AH41" s="2493"/>
      <c r="AI41" s="2493"/>
      <c r="AJ41" s="2493"/>
      <c r="AK41" s="2493"/>
      <c r="AL41" s="2493"/>
      <c r="AM41" s="2493"/>
      <c r="AN41" s="2493"/>
      <c r="AO41" s="2493"/>
      <c r="AP41" s="2493"/>
      <c r="AQ41" s="2493"/>
      <c r="AR41" s="2493"/>
      <c r="AS41" s="2493"/>
      <c r="AT41" s="2493"/>
      <c r="AU41" s="2493"/>
      <c r="AV41" s="2493"/>
      <c r="AW41" s="2493"/>
      <c r="AX41" s="2493"/>
      <c r="AY41" s="2493"/>
      <c r="AZ41" s="2493"/>
      <c r="BA41" s="2493"/>
      <c r="BB41" s="2493"/>
      <c r="BC41" s="2493"/>
      <c r="BD41" s="2493"/>
      <c r="BE41" s="2493"/>
      <c r="BF41" s="2493"/>
      <c r="BG41" s="2493"/>
      <c r="BH41" s="2493"/>
      <c r="BI41" s="2493"/>
      <c r="BJ41" s="2493"/>
      <c r="BK41" s="2493"/>
      <c r="BL41" s="2493"/>
      <c r="BM41" s="2493"/>
      <c r="BN41" s="2493"/>
      <c r="BO41" s="2493"/>
      <c r="BP41" s="2493"/>
      <c r="BQ41" s="2493"/>
      <c r="BR41" s="2493"/>
      <c r="BS41" s="2493"/>
      <c r="BT41" s="2493"/>
      <c r="BU41" s="2493"/>
      <c r="BV41" s="2493"/>
      <c r="BW41" s="2493"/>
      <c r="BX41" s="2493"/>
      <c r="BY41" s="2493"/>
      <c r="BZ41" s="2493"/>
      <c r="CA41" s="2493"/>
      <c r="CB41" s="2493"/>
      <c r="CC41" s="2493"/>
      <c r="CD41" s="2493"/>
      <c r="CE41" s="2493"/>
      <c r="CF41" s="2493"/>
      <c r="CG41" s="2493"/>
      <c r="CH41" s="2493"/>
      <c r="CI41" s="2493"/>
      <c r="CJ41" s="2493"/>
      <c r="CK41" s="2493"/>
      <c r="CL41" s="2493"/>
      <c r="CM41" s="2493"/>
      <c r="CN41" s="2493"/>
      <c r="CO41" s="2493"/>
      <c r="CP41" s="2493"/>
      <c r="CQ41" s="2493"/>
      <c r="CR41" s="2493"/>
      <c r="CS41" s="2493"/>
      <c r="CT41" s="2493"/>
      <c r="CU41" s="2493"/>
      <c r="CV41" s="2493"/>
      <c r="CW41" s="2493"/>
      <c r="CX41" s="2493"/>
      <c r="CY41" s="2493"/>
      <c r="CZ41" s="2493"/>
      <c r="DA41" s="2493"/>
      <c r="DB41" s="2493"/>
      <c r="DC41" s="2493"/>
      <c r="DD41" s="2493"/>
      <c r="DE41" s="2493"/>
      <c r="DF41" s="2493"/>
      <c r="DG41" s="2493"/>
      <c r="DH41" s="2493"/>
      <c r="DI41" s="2493"/>
      <c r="DJ41" s="2493"/>
      <c r="DK41" s="2493"/>
      <c r="DL41" s="2493"/>
      <c r="DM41" s="2493"/>
      <c r="DN41" s="2493"/>
      <c r="DO41" s="2493"/>
      <c r="DP41" s="2493"/>
      <c r="DQ41" s="2493"/>
      <c r="DR41" s="2493"/>
      <c r="DS41" s="2493"/>
    </row>
    <row r="42" ht="13.5" customHeight="1" spans="1:7">
      <c r="A42" s="2513" t="s">
        <v>876</v>
      </c>
      <c r="B42" s="2514" t="s">
        <v>913</v>
      </c>
      <c r="C42" s="2188">
        <f>ROUND(IF('数据-取费表'!B24&lt;=1,C33*F22*'数据-取费表'!B23/2,C33*(POWER((1+F22),'数据-取费表'!B23/2)-1)),0)</f>
        <v>40820</v>
      </c>
      <c r="D42" s="2188"/>
      <c r="E42" s="2188"/>
      <c r="F42" s="2539"/>
      <c r="G42" s="2559" t="s">
        <v>944</v>
      </c>
    </row>
    <row r="43" ht="13.5" customHeight="1" spans="1:7">
      <c r="A43" s="2513" t="s">
        <v>878</v>
      </c>
      <c r="B43" s="2514" t="s">
        <v>915</v>
      </c>
      <c r="C43" s="2188">
        <f>ROUND(IF('数据-取费表'!B24&lt;=1,C39*F22*'数据-取费表'!B23/2,C39*(POWER((1+F22),'数据-取费表'!B23/2)-1)),0)</f>
        <v>816</v>
      </c>
      <c r="D43" s="2188"/>
      <c r="E43" s="2188"/>
      <c r="F43" s="2539"/>
      <c r="G43" s="2560"/>
    </row>
    <row r="44" ht="13.5" customHeight="1" spans="1:7">
      <c r="A44" s="2513" t="s">
        <v>880</v>
      </c>
      <c r="B44" s="2514" t="s">
        <v>917</v>
      </c>
      <c r="C44" s="2188">
        <f>ROUND(IF('数据-取费表'!B24&lt;=1,C40*F22*'数据-取费表'!B23/2,C40*(POWER((1+F22),'数据-取费表'!B23/2)-1)),4)</f>
        <v>0.001</v>
      </c>
      <c r="D44" s="2188"/>
      <c r="E44" s="2188"/>
      <c r="F44" s="2539"/>
      <c r="G44" s="635"/>
    </row>
    <row r="45" s="2492" customFormat="1" ht="13.5" customHeight="1" spans="1:123">
      <c r="A45" s="2508" t="s">
        <v>911</v>
      </c>
      <c r="B45" s="2545" t="s">
        <v>922</v>
      </c>
      <c r="C45" s="2510">
        <f>C46</f>
        <v>219139</v>
      </c>
      <c r="D45" s="2535">
        <f>C47</f>
        <v>0.005</v>
      </c>
      <c r="E45" s="2536" t="s">
        <v>942</v>
      </c>
      <c r="F45" s="2561">
        <f>F27</f>
        <v>0.25</v>
      </c>
      <c r="G45" s="2546" t="s">
        <v>945</v>
      </c>
      <c r="H45" s="2493"/>
      <c r="I45" s="2493"/>
      <c r="J45" s="2493"/>
      <c r="K45" s="2493"/>
      <c r="L45" s="2493"/>
      <c r="M45" s="2493"/>
      <c r="N45" s="2493"/>
      <c r="O45" s="2493"/>
      <c r="P45" s="2493"/>
      <c r="Q45" s="2493"/>
      <c r="R45" s="2493"/>
      <c r="S45" s="2493"/>
      <c r="T45" s="2493"/>
      <c r="U45" s="2493"/>
      <c r="V45" s="2493"/>
      <c r="W45" s="2493"/>
      <c r="X45" s="2493"/>
      <c r="Y45" s="2493"/>
      <c r="Z45" s="2493"/>
      <c r="AA45" s="2493"/>
      <c r="AB45" s="2493"/>
      <c r="AC45" s="2493"/>
      <c r="AD45" s="2493"/>
      <c r="AE45" s="2493"/>
      <c r="AF45" s="2493"/>
      <c r="AG45" s="2493"/>
      <c r="AH45" s="2493"/>
      <c r="AI45" s="2493"/>
      <c r="AJ45" s="2493"/>
      <c r="AK45" s="2493"/>
      <c r="AL45" s="2493"/>
      <c r="AM45" s="2493"/>
      <c r="AN45" s="2493"/>
      <c r="AO45" s="2493"/>
      <c r="AP45" s="2493"/>
      <c r="AQ45" s="2493"/>
      <c r="AR45" s="2493"/>
      <c r="AS45" s="2493"/>
      <c r="AT45" s="2493"/>
      <c r="AU45" s="2493"/>
      <c r="AV45" s="2493"/>
      <c r="AW45" s="2493"/>
      <c r="AX45" s="2493"/>
      <c r="AY45" s="2493"/>
      <c r="AZ45" s="2493"/>
      <c r="BA45" s="2493"/>
      <c r="BB45" s="2493"/>
      <c r="BC45" s="2493"/>
      <c r="BD45" s="2493"/>
      <c r="BE45" s="2493"/>
      <c r="BF45" s="2493"/>
      <c r="BG45" s="2493"/>
      <c r="BH45" s="2493"/>
      <c r="BI45" s="2493"/>
      <c r="BJ45" s="2493"/>
      <c r="BK45" s="2493"/>
      <c r="BL45" s="2493"/>
      <c r="BM45" s="2493"/>
      <c r="BN45" s="2493"/>
      <c r="BO45" s="2493"/>
      <c r="BP45" s="2493"/>
      <c r="BQ45" s="2493"/>
      <c r="BR45" s="2493"/>
      <c r="BS45" s="2493"/>
      <c r="BT45" s="2493"/>
      <c r="BU45" s="2493"/>
      <c r="BV45" s="2493"/>
      <c r="BW45" s="2493"/>
      <c r="BX45" s="2493"/>
      <c r="BY45" s="2493"/>
      <c r="BZ45" s="2493"/>
      <c r="CA45" s="2493"/>
      <c r="CB45" s="2493"/>
      <c r="CC45" s="2493"/>
      <c r="CD45" s="2493"/>
      <c r="CE45" s="2493"/>
      <c r="CF45" s="2493"/>
      <c r="CG45" s="2493"/>
      <c r="CH45" s="2493"/>
      <c r="CI45" s="2493"/>
      <c r="CJ45" s="2493"/>
      <c r="CK45" s="2493"/>
      <c r="CL45" s="2493"/>
      <c r="CM45" s="2493"/>
      <c r="CN45" s="2493"/>
      <c r="CO45" s="2493"/>
      <c r="CP45" s="2493"/>
      <c r="CQ45" s="2493"/>
      <c r="CR45" s="2493"/>
      <c r="CS45" s="2493"/>
      <c r="CT45" s="2493"/>
      <c r="CU45" s="2493"/>
      <c r="CV45" s="2493"/>
      <c r="CW45" s="2493"/>
      <c r="CX45" s="2493"/>
      <c r="CY45" s="2493"/>
      <c r="CZ45" s="2493"/>
      <c r="DA45" s="2493"/>
      <c r="DB45" s="2493"/>
      <c r="DC45" s="2493"/>
      <c r="DD45" s="2493"/>
      <c r="DE45" s="2493"/>
      <c r="DF45" s="2493"/>
      <c r="DG45" s="2493"/>
      <c r="DH45" s="2493"/>
      <c r="DI45" s="2493"/>
      <c r="DJ45" s="2493"/>
      <c r="DK45" s="2493"/>
      <c r="DL45" s="2493"/>
      <c r="DM45" s="2493"/>
      <c r="DN45" s="2493"/>
      <c r="DO45" s="2493"/>
      <c r="DP45" s="2493"/>
      <c r="DQ45" s="2493"/>
      <c r="DR45" s="2493"/>
      <c r="DS45" s="2493"/>
    </row>
    <row r="46" s="2492" customFormat="1" ht="13.5" customHeight="1" spans="1:123">
      <c r="A46" s="2513" t="s">
        <v>876</v>
      </c>
      <c r="B46" s="2547" t="s">
        <v>946</v>
      </c>
      <c r="C46" s="2519">
        <f>ROUND((C33+C39)*F27,0)</f>
        <v>219139</v>
      </c>
      <c r="D46" s="2562"/>
      <c r="E46" s="2536"/>
      <c r="F46" s="2531"/>
      <c r="G46" s="2546"/>
      <c r="H46" s="2493"/>
      <c r="I46" s="2493"/>
      <c r="J46" s="2493"/>
      <c r="K46" s="2493"/>
      <c r="L46" s="2493"/>
      <c r="M46" s="2493"/>
      <c r="N46" s="2493"/>
      <c r="O46" s="2493"/>
      <c r="P46" s="2493"/>
      <c r="Q46" s="2493"/>
      <c r="R46" s="2493"/>
      <c r="S46" s="2493"/>
      <c r="T46" s="2493"/>
      <c r="U46" s="2493"/>
      <c r="V46" s="2493"/>
      <c r="W46" s="2493"/>
      <c r="X46" s="2493"/>
      <c r="Y46" s="2493"/>
      <c r="Z46" s="2493"/>
      <c r="AA46" s="2493"/>
      <c r="AB46" s="2493"/>
      <c r="AC46" s="2493"/>
      <c r="AD46" s="2493"/>
      <c r="AE46" s="2493"/>
      <c r="AF46" s="2493"/>
      <c r="AG46" s="2493"/>
      <c r="AH46" s="2493"/>
      <c r="AI46" s="2493"/>
      <c r="AJ46" s="2493"/>
      <c r="AK46" s="2493"/>
      <c r="AL46" s="2493"/>
      <c r="AM46" s="2493"/>
      <c r="AN46" s="2493"/>
      <c r="AO46" s="2493"/>
      <c r="AP46" s="2493"/>
      <c r="AQ46" s="2493"/>
      <c r="AR46" s="2493"/>
      <c r="AS46" s="2493"/>
      <c r="AT46" s="2493"/>
      <c r="AU46" s="2493"/>
      <c r="AV46" s="2493"/>
      <c r="AW46" s="2493"/>
      <c r="AX46" s="2493"/>
      <c r="AY46" s="2493"/>
      <c r="AZ46" s="2493"/>
      <c r="BA46" s="2493"/>
      <c r="BB46" s="2493"/>
      <c r="BC46" s="2493"/>
      <c r="BD46" s="2493"/>
      <c r="BE46" s="2493"/>
      <c r="BF46" s="2493"/>
      <c r="BG46" s="2493"/>
      <c r="BH46" s="2493"/>
      <c r="BI46" s="2493"/>
      <c r="BJ46" s="2493"/>
      <c r="BK46" s="2493"/>
      <c r="BL46" s="2493"/>
      <c r="BM46" s="2493"/>
      <c r="BN46" s="2493"/>
      <c r="BO46" s="2493"/>
      <c r="BP46" s="2493"/>
      <c r="BQ46" s="2493"/>
      <c r="BR46" s="2493"/>
      <c r="BS46" s="2493"/>
      <c r="BT46" s="2493"/>
      <c r="BU46" s="2493"/>
      <c r="BV46" s="2493"/>
      <c r="BW46" s="2493"/>
      <c r="BX46" s="2493"/>
      <c r="BY46" s="2493"/>
      <c r="BZ46" s="2493"/>
      <c r="CA46" s="2493"/>
      <c r="CB46" s="2493"/>
      <c r="CC46" s="2493"/>
      <c r="CD46" s="2493"/>
      <c r="CE46" s="2493"/>
      <c r="CF46" s="2493"/>
      <c r="CG46" s="2493"/>
      <c r="CH46" s="2493"/>
      <c r="CI46" s="2493"/>
      <c r="CJ46" s="2493"/>
      <c r="CK46" s="2493"/>
      <c r="CL46" s="2493"/>
      <c r="CM46" s="2493"/>
      <c r="CN46" s="2493"/>
      <c r="CO46" s="2493"/>
      <c r="CP46" s="2493"/>
      <c r="CQ46" s="2493"/>
      <c r="CR46" s="2493"/>
      <c r="CS46" s="2493"/>
      <c r="CT46" s="2493"/>
      <c r="CU46" s="2493"/>
      <c r="CV46" s="2493"/>
      <c r="CW46" s="2493"/>
      <c r="CX46" s="2493"/>
      <c r="CY46" s="2493"/>
      <c r="CZ46" s="2493"/>
      <c r="DA46" s="2493"/>
      <c r="DB46" s="2493"/>
      <c r="DC46" s="2493"/>
      <c r="DD46" s="2493"/>
      <c r="DE46" s="2493"/>
      <c r="DF46" s="2493"/>
      <c r="DG46" s="2493"/>
      <c r="DH46" s="2493"/>
      <c r="DI46" s="2493"/>
      <c r="DJ46" s="2493"/>
      <c r="DK46" s="2493"/>
      <c r="DL46" s="2493"/>
      <c r="DM46" s="2493"/>
      <c r="DN46" s="2493"/>
      <c r="DO46" s="2493"/>
      <c r="DP46" s="2493"/>
      <c r="DQ46" s="2493"/>
      <c r="DR46" s="2493"/>
      <c r="DS46" s="2493"/>
    </row>
    <row r="47" s="2492" customFormat="1" ht="13.5" customHeight="1" spans="1:123">
      <c r="A47" s="2513" t="s">
        <v>878</v>
      </c>
      <c r="B47" s="2547" t="s">
        <v>947</v>
      </c>
      <c r="C47" s="2188">
        <f>ROUND(C40*F27,4)</f>
        <v>0.005</v>
      </c>
      <c r="D47" s="2562"/>
      <c r="E47" s="2536"/>
      <c r="F47" s="2531"/>
      <c r="G47" s="2546"/>
      <c r="H47" s="2493"/>
      <c r="I47" s="2493"/>
      <c r="J47" s="2493"/>
      <c r="K47" s="2493"/>
      <c r="L47" s="2493"/>
      <c r="M47" s="2493"/>
      <c r="N47" s="2493"/>
      <c r="O47" s="2493"/>
      <c r="P47" s="2493"/>
      <c r="Q47" s="2493"/>
      <c r="R47" s="2493"/>
      <c r="S47" s="2493"/>
      <c r="T47" s="2493"/>
      <c r="U47" s="2493"/>
      <c r="V47" s="2493"/>
      <c r="W47" s="2493"/>
      <c r="X47" s="2493"/>
      <c r="Y47" s="2493"/>
      <c r="Z47" s="2493"/>
      <c r="AA47" s="2493"/>
      <c r="AB47" s="2493"/>
      <c r="AC47" s="2493"/>
      <c r="AD47" s="2493"/>
      <c r="AE47" s="2493"/>
      <c r="AF47" s="2493"/>
      <c r="AG47" s="2493"/>
      <c r="AH47" s="2493"/>
      <c r="AI47" s="2493"/>
      <c r="AJ47" s="2493"/>
      <c r="AK47" s="2493"/>
      <c r="AL47" s="2493"/>
      <c r="AM47" s="2493"/>
      <c r="AN47" s="2493"/>
      <c r="AO47" s="2493"/>
      <c r="AP47" s="2493"/>
      <c r="AQ47" s="2493"/>
      <c r="AR47" s="2493"/>
      <c r="AS47" s="2493"/>
      <c r="AT47" s="2493"/>
      <c r="AU47" s="2493"/>
      <c r="AV47" s="2493"/>
      <c r="AW47" s="2493"/>
      <c r="AX47" s="2493"/>
      <c r="AY47" s="2493"/>
      <c r="AZ47" s="2493"/>
      <c r="BA47" s="2493"/>
      <c r="BB47" s="2493"/>
      <c r="BC47" s="2493"/>
      <c r="BD47" s="2493"/>
      <c r="BE47" s="2493"/>
      <c r="BF47" s="2493"/>
      <c r="BG47" s="2493"/>
      <c r="BH47" s="2493"/>
      <c r="BI47" s="2493"/>
      <c r="BJ47" s="2493"/>
      <c r="BK47" s="2493"/>
      <c r="BL47" s="2493"/>
      <c r="BM47" s="2493"/>
      <c r="BN47" s="2493"/>
      <c r="BO47" s="2493"/>
      <c r="BP47" s="2493"/>
      <c r="BQ47" s="2493"/>
      <c r="BR47" s="2493"/>
      <c r="BS47" s="2493"/>
      <c r="BT47" s="2493"/>
      <c r="BU47" s="2493"/>
      <c r="BV47" s="2493"/>
      <c r="BW47" s="2493"/>
      <c r="BX47" s="2493"/>
      <c r="BY47" s="2493"/>
      <c r="BZ47" s="2493"/>
      <c r="CA47" s="2493"/>
      <c r="CB47" s="2493"/>
      <c r="CC47" s="2493"/>
      <c r="CD47" s="2493"/>
      <c r="CE47" s="2493"/>
      <c r="CF47" s="2493"/>
      <c r="CG47" s="2493"/>
      <c r="CH47" s="2493"/>
      <c r="CI47" s="2493"/>
      <c r="CJ47" s="2493"/>
      <c r="CK47" s="2493"/>
      <c r="CL47" s="2493"/>
      <c r="CM47" s="2493"/>
      <c r="CN47" s="2493"/>
      <c r="CO47" s="2493"/>
      <c r="CP47" s="2493"/>
      <c r="CQ47" s="2493"/>
      <c r="CR47" s="2493"/>
      <c r="CS47" s="2493"/>
      <c r="CT47" s="2493"/>
      <c r="CU47" s="2493"/>
      <c r="CV47" s="2493"/>
      <c r="CW47" s="2493"/>
      <c r="CX47" s="2493"/>
      <c r="CY47" s="2493"/>
      <c r="CZ47" s="2493"/>
      <c r="DA47" s="2493"/>
      <c r="DB47" s="2493"/>
      <c r="DC47" s="2493"/>
      <c r="DD47" s="2493"/>
      <c r="DE47" s="2493"/>
      <c r="DF47" s="2493"/>
      <c r="DG47" s="2493"/>
      <c r="DH47" s="2493"/>
      <c r="DI47" s="2493"/>
      <c r="DJ47" s="2493"/>
      <c r="DK47" s="2493"/>
      <c r="DL47" s="2493"/>
      <c r="DM47" s="2493"/>
      <c r="DN47" s="2493"/>
      <c r="DO47" s="2493"/>
      <c r="DP47" s="2493"/>
      <c r="DQ47" s="2493"/>
      <c r="DR47" s="2493"/>
      <c r="DS47" s="2493"/>
    </row>
    <row r="48" s="2492" customFormat="1" ht="13.5" customHeight="1" spans="1:123">
      <c r="A48" s="2544" t="s">
        <v>921</v>
      </c>
      <c r="B48" s="2509" t="s">
        <v>927</v>
      </c>
      <c r="C48" s="2558">
        <f>ROUND(F30/(1+'数据-取费表'!F30),4)</f>
        <v>0.0533</v>
      </c>
      <c r="D48" s="2536" t="s">
        <v>942</v>
      </c>
      <c r="E48" s="2532"/>
      <c r="F48" s="2557">
        <f>F30</f>
        <v>0.056</v>
      </c>
      <c r="G48" s="2534" t="s">
        <v>948</v>
      </c>
      <c r="H48" s="2493"/>
      <c r="I48" s="2493"/>
      <c r="J48" s="2493"/>
      <c r="K48" s="2493"/>
      <c r="L48" s="2493"/>
      <c r="M48" s="2493"/>
      <c r="N48" s="2493"/>
      <c r="O48" s="2493"/>
      <c r="P48" s="2493"/>
      <c r="Q48" s="2493"/>
      <c r="R48" s="2493"/>
      <c r="S48" s="2493"/>
      <c r="T48" s="2493"/>
      <c r="U48" s="2493"/>
      <c r="V48" s="2493"/>
      <c r="W48" s="2493"/>
      <c r="X48" s="2493"/>
      <c r="Y48" s="2493"/>
      <c r="Z48" s="2493"/>
      <c r="AA48" s="2493"/>
      <c r="AB48" s="2493"/>
      <c r="AC48" s="2493"/>
      <c r="AD48" s="2493"/>
      <c r="AE48" s="2493"/>
      <c r="AF48" s="2493"/>
      <c r="AG48" s="2493"/>
      <c r="AH48" s="2493"/>
      <c r="AI48" s="2493"/>
      <c r="AJ48" s="2493"/>
      <c r="AK48" s="2493"/>
      <c r="AL48" s="2493"/>
      <c r="AM48" s="2493"/>
      <c r="AN48" s="2493"/>
      <c r="AO48" s="2493"/>
      <c r="AP48" s="2493"/>
      <c r="AQ48" s="2493"/>
      <c r="AR48" s="2493"/>
      <c r="AS48" s="2493"/>
      <c r="AT48" s="2493"/>
      <c r="AU48" s="2493"/>
      <c r="AV48" s="2493"/>
      <c r="AW48" s="2493"/>
      <c r="AX48" s="2493"/>
      <c r="AY48" s="2493"/>
      <c r="AZ48" s="2493"/>
      <c r="BA48" s="2493"/>
      <c r="BB48" s="2493"/>
      <c r="BC48" s="2493"/>
      <c r="BD48" s="2493"/>
      <c r="BE48" s="2493"/>
      <c r="BF48" s="2493"/>
      <c r="BG48" s="2493"/>
      <c r="BH48" s="2493"/>
      <c r="BI48" s="2493"/>
      <c r="BJ48" s="2493"/>
      <c r="BK48" s="2493"/>
      <c r="BL48" s="2493"/>
      <c r="BM48" s="2493"/>
      <c r="BN48" s="2493"/>
      <c r="BO48" s="2493"/>
      <c r="BP48" s="2493"/>
      <c r="BQ48" s="2493"/>
      <c r="BR48" s="2493"/>
      <c r="BS48" s="2493"/>
      <c r="BT48" s="2493"/>
      <c r="BU48" s="2493"/>
      <c r="BV48" s="2493"/>
      <c r="BW48" s="2493"/>
      <c r="BX48" s="2493"/>
      <c r="BY48" s="2493"/>
      <c r="BZ48" s="2493"/>
      <c r="CA48" s="2493"/>
      <c r="CB48" s="2493"/>
      <c r="CC48" s="2493"/>
      <c r="CD48" s="2493"/>
      <c r="CE48" s="2493"/>
      <c r="CF48" s="2493"/>
      <c r="CG48" s="2493"/>
      <c r="CH48" s="2493"/>
      <c r="CI48" s="2493"/>
      <c r="CJ48" s="2493"/>
      <c r="CK48" s="2493"/>
      <c r="CL48" s="2493"/>
      <c r="CM48" s="2493"/>
      <c r="CN48" s="2493"/>
      <c r="CO48" s="2493"/>
      <c r="CP48" s="2493"/>
      <c r="CQ48" s="2493"/>
      <c r="CR48" s="2493"/>
      <c r="CS48" s="2493"/>
      <c r="CT48" s="2493"/>
      <c r="CU48" s="2493"/>
      <c r="CV48" s="2493"/>
      <c r="CW48" s="2493"/>
      <c r="CX48" s="2493"/>
      <c r="CY48" s="2493"/>
      <c r="CZ48" s="2493"/>
      <c r="DA48" s="2493"/>
      <c r="DB48" s="2493"/>
      <c r="DC48" s="2493"/>
      <c r="DD48" s="2493"/>
      <c r="DE48" s="2493"/>
      <c r="DF48" s="2493"/>
      <c r="DG48" s="2493"/>
      <c r="DH48" s="2493"/>
      <c r="DI48" s="2493"/>
      <c r="DJ48" s="2493"/>
      <c r="DK48" s="2493"/>
      <c r="DL48" s="2493"/>
      <c r="DM48" s="2493"/>
      <c r="DN48" s="2493"/>
      <c r="DO48" s="2493"/>
      <c r="DP48" s="2493"/>
      <c r="DQ48" s="2493"/>
      <c r="DR48" s="2493"/>
      <c r="DS48" s="2493"/>
    </row>
    <row r="49" ht="16.5" customHeight="1" spans="1:7">
      <c r="A49" s="2544" t="s">
        <v>926</v>
      </c>
      <c r="B49" s="2509" t="s">
        <v>949</v>
      </c>
      <c r="C49" s="2532">
        <f>ROUND((C33+C39+C41+C45)/(1-C40-D41-D45-C48),0)</f>
        <v>1235287</v>
      </c>
      <c r="D49" s="2532"/>
      <c r="E49" s="2532"/>
      <c r="F49" s="2563"/>
      <c r="G49" s="2534" t="s">
        <v>950</v>
      </c>
    </row>
    <row r="50" s="2494" customFormat="1" ht="24" spans="1:7">
      <c r="A50" s="2544" t="s">
        <v>951</v>
      </c>
      <c r="B50" s="2509" t="s">
        <v>952</v>
      </c>
      <c r="C50" s="2532"/>
      <c r="D50" s="2532"/>
      <c r="E50" s="2532"/>
      <c r="F50" s="2563">
        <f>IF('数据-取费表'!B26=0,'数据-取费表'!E20,1)</f>
        <v>0.76</v>
      </c>
      <c r="G50" s="2546" t="s">
        <v>953</v>
      </c>
    </row>
    <row r="51" ht="16.5" customHeight="1" spans="1:7">
      <c r="A51" s="2544" t="s">
        <v>954</v>
      </c>
      <c r="B51" s="2509" t="s">
        <v>955</v>
      </c>
      <c r="C51" s="2532">
        <f>ROUND(C49*F50,0)</f>
        <v>938818</v>
      </c>
      <c r="D51" s="2532"/>
      <c r="E51" s="2532"/>
      <c r="F51" s="2563"/>
      <c r="G51" s="2534" t="s">
        <v>956</v>
      </c>
    </row>
    <row r="52" s="2491" customFormat="1" ht="16.5" spans="1:123">
      <c r="A52" s="2564" t="s">
        <v>957</v>
      </c>
      <c r="B52" s="2565"/>
      <c r="C52" s="2566">
        <f>C31+C51</f>
        <v>2549346</v>
      </c>
      <c r="D52" s="2565"/>
      <c r="E52" s="2565"/>
      <c r="F52" s="2565"/>
      <c r="G52" s="2567"/>
      <c r="H52" s="2507"/>
      <c r="I52" s="2507"/>
      <c r="J52" s="2507"/>
      <c r="K52" s="2507"/>
      <c r="L52" s="2507"/>
      <c r="M52" s="2507"/>
      <c r="N52" s="2507"/>
      <c r="O52" s="2507"/>
      <c r="P52" s="2507"/>
      <c r="Q52" s="2507"/>
      <c r="R52" s="2507"/>
      <c r="S52" s="2507"/>
      <c r="T52" s="2507"/>
      <c r="U52" s="2507"/>
      <c r="V52" s="2507"/>
      <c r="W52" s="2507"/>
      <c r="X52" s="2507"/>
      <c r="Y52" s="2507"/>
      <c r="Z52" s="2507"/>
      <c r="AA52" s="2507"/>
      <c r="AB52" s="2507"/>
      <c r="AC52" s="2507"/>
      <c r="AD52" s="2507"/>
      <c r="AE52" s="2507"/>
      <c r="AF52" s="2507"/>
      <c r="AG52" s="2507"/>
      <c r="AH52" s="2507"/>
      <c r="AI52" s="2507"/>
      <c r="AJ52" s="2507"/>
      <c r="AK52" s="2507"/>
      <c r="AL52" s="2507"/>
      <c r="AM52" s="2507"/>
      <c r="AN52" s="2507"/>
      <c r="AO52" s="2507"/>
      <c r="AP52" s="2507"/>
      <c r="AQ52" s="2507"/>
      <c r="AR52" s="2507"/>
      <c r="AS52" s="2507"/>
      <c r="AT52" s="2507"/>
      <c r="AU52" s="2507"/>
      <c r="AV52" s="2507"/>
      <c r="AW52" s="2507"/>
      <c r="AX52" s="2507"/>
      <c r="AY52" s="2507"/>
      <c r="AZ52" s="2507"/>
      <c r="BA52" s="2507"/>
      <c r="BB52" s="2507"/>
      <c r="BC52" s="2507"/>
      <c r="BD52" s="2507"/>
      <c r="BE52" s="2507"/>
      <c r="BF52" s="2507"/>
      <c r="BG52" s="2507"/>
      <c r="BH52" s="2507"/>
      <c r="BI52" s="2507"/>
      <c r="BJ52" s="2507"/>
      <c r="BK52" s="2507"/>
      <c r="BL52" s="2507"/>
      <c r="BM52" s="2507"/>
      <c r="BN52" s="2507"/>
      <c r="BO52" s="2507"/>
      <c r="BP52" s="2507"/>
      <c r="BQ52" s="2507"/>
      <c r="BR52" s="2507"/>
      <c r="BS52" s="2507"/>
      <c r="BT52" s="2507"/>
      <c r="BU52" s="2507"/>
      <c r="BV52" s="2507"/>
      <c r="BW52" s="2507"/>
      <c r="BX52" s="2507"/>
      <c r="BY52" s="2507"/>
      <c r="BZ52" s="2507"/>
      <c r="CA52" s="2507"/>
      <c r="CB52" s="2507"/>
      <c r="CC52" s="2507"/>
      <c r="CD52" s="2507"/>
      <c r="CE52" s="2507"/>
      <c r="CF52" s="2507"/>
      <c r="CG52" s="2507"/>
      <c r="CH52" s="2507"/>
      <c r="CI52" s="2507"/>
      <c r="CJ52" s="2507"/>
      <c r="CK52" s="2507"/>
      <c r="CL52" s="2507"/>
      <c r="CM52" s="2507"/>
      <c r="CN52" s="2507"/>
      <c r="CO52" s="2507"/>
      <c r="CP52" s="2507"/>
      <c r="CQ52" s="2507"/>
      <c r="CR52" s="2507"/>
      <c r="CS52" s="2507"/>
      <c r="CT52" s="2507"/>
      <c r="CU52" s="2507"/>
      <c r="CV52" s="2507"/>
      <c r="CW52" s="2507"/>
      <c r="CX52" s="2507"/>
      <c r="CY52" s="2507"/>
      <c r="CZ52" s="2507"/>
      <c r="DA52" s="2507"/>
      <c r="DB52" s="2507"/>
      <c r="DC52" s="2507"/>
      <c r="DD52" s="2507"/>
      <c r="DE52" s="2507"/>
      <c r="DF52" s="2507"/>
      <c r="DG52" s="2507"/>
      <c r="DH52" s="2507"/>
      <c r="DI52" s="2507"/>
      <c r="DJ52" s="2507"/>
      <c r="DK52" s="2507"/>
      <c r="DL52" s="2507"/>
      <c r="DM52" s="2507"/>
      <c r="DN52" s="2507"/>
      <c r="DO52" s="2507"/>
      <c r="DP52" s="2507"/>
      <c r="DQ52" s="2507"/>
      <c r="DR52" s="2507"/>
      <c r="DS52" s="2507"/>
    </row>
    <row r="55" ht="15" spans="2:3">
      <c r="B55" s="2230" t="s">
        <v>958</v>
      </c>
      <c r="C55" s="2234"/>
    </row>
    <row r="56" spans="2:3">
      <c r="B56" s="2235" t="s">
        <v>959</v>
      </c>
      <c r="C56" s="2232">
        <f>ROUND(C51/C52,3)</f>
        <v>0.368</v>
      </c>
    </row>
    <row r="57" spans="2:3">
      <c r="B57" s="2235" t="s">
        <v>960</v>
      </c>
      <c r="C57" s="2236">
        <f>1-C56</f>
        <v>0.632</v>
      </c>
    </row>
  </sheetData>
  <sheetProtection password="CEE9" sheet="1" formatCells="0" formatColumns="0" formatRows="0" objects="1" scenarios="1"/>
  <mergeCells count="1">
    <mergeCell ref="G42:G44"/>
  </mergeCells>
  <dataValidations count="5">
    <dataValidation type="list" allowBlank="1" showInputMessage="1" showErrorMessage="1" sqref="G8">
      <formula1>"已包含在土地购买价格中,未包含在土地购买价格中"</formula1>
    </dataValidation>
    <dataValidation type="list" allowBlank="1" showInputMessage="1" showErrorMessage="1" sqref="B1">
      <formula1>"估价对象,仅计算典型户型"</formula1>
    </dataValidation>
    <dataValidation type="list" allowBlank="1" showInputMessage="1" showErrorMessage="1" sqref="D2">
      <formula1>"需扣减承租人权益,——"</formula1>
    </dataValidation>
    <dataValidation type="list" allowBlank="1" showInputMessage="1" showErrorMessage="1" sqref="G2">
      <formula1>估价方法</formula1>
    </dataValidation>
    <dataValidation type="list" allowBlank="1" showInputMessage="1" showErrorMessage="1" sqref="G19">
      <formula1>"已包含在土地取得成本中,未包含在土地取得成本中"</formula1>
    </dataValidation>
  </dataValidations>
  <pageMargins left="0.7" right="0.7" top="0.75" bottom="0.75" header="0.3" footer="0.3"/>
  <pageSetup paperSize="9" scale="77" orientation="portrait"/>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
    <tabColor rgb="FF92D050"/>
    <pageSetUpPr fitToPage="1"/>
  </sheetPr>
  <dimension ref="A1:AG34"/>
  <sheetViews>
    <sheetView workbookViewId="0">
      <selection activeCell="A1" sqref="$A1:$XFD1048576"/>
    </sheetView>
  </sheetViews>
  <sheetFormatPr defaultColWidth="6.625" defaultRowHeight="12.75"/>
  <cols>
    <col min="1" max="1" width="9.75" style="2400" customWidth="1"/>
    <col min="2" max="2" width="25.75" style="2401" customWidth="1"/>
    <col min="3" max="3" width="10.375" style="2402" customWidth="1"/>
    <col min="4" max="4" width="9.875" style="2401" customWidth="1"/>
    <col min="5" max="5" width="9.5" style="2400" customWidth="1"/>
    <col min="6" max="6" width="10.125" style="2401" customWidth="1"/>
    <col min="7" max="7" width="9.5" style="2401" customWidth="1"/>
    <col min="8" max="8" width="10" style="2401" customWidth="1"/>
    <col min="9" max="11" width="9.5" style="2401" customWidth="1"/>
    <col min="12" max="12" width="9" style="2401" customWidth="1"/>
    <col min="13" max="13" width="10.5" style="2401" customWidth="1"/>
    <col min="14" max="254" width="9" style="2401" customWidth="1"/>
    <col min="255" max="16384" width="6.625" style="2401"/>
  </cols>
  <sheetData>
    <row r="1" s="2389" customFormat="1" ht="20.25" spans="1:11">
      <c r="A1" s="2403" t="s">
        <v>961</v>
      </c>
      <c r="B1" s="2404"/>
      <c r="C1" s="2405" t="s">
        <v>962</v>
      </c>
      <c r="D1" s="2406"/>
      <c r="E1" s="2407"/>
      <c r="F1" s="2407"/>
      <c r="G1" s="2407"/>
      <c r="H1" s="2407"/>
      <c r="I1" s="2407"/>
      <c r="J1" s="2407"/>
      <c r="K1" s="2407"/>
    </row>
    <row r="2" s="2389" customFormat="1" ht="18" customHeight="1" spans="1:11">
      <c r="A2" s="721" t="s">
        <v>868</v>
      </c>
      <c r="B2" s="2408">
        <f>IF(C2="元",C32,ROUND(C32/10000,0))</f>
        <v>5457792</v>
      </c>
      <c r="C2" s="2409" t="str">
        <f>'数据-取费表'!B3</f>
        <v>元</v>
      </c>
      <c r="D2" s="2407"/>
      <c r="E2" s="2407"/>
      <c r="F2" s="2407"/>
      <c r="G2" s="2407"/>
      <c r="H2" s="2407"/>
      <c r="I2" s="2407"/>
      <c r="J2" s="2407"/>
      <c r="K2" s="2407"/>
    </row>
    <row r="3" s="2389" customFormat="1" ht="18" customHeight="1" spans="1:11">
      <c r="A3" s="726" t="s">
        <v>869</v>
      </c>
      <c r="B3" s="2408">
        <f>ROUND(C32/IF(C1="仅计算典型户型",'数据-取费表'!E5,'数据-取费表'!B5),0)</f>
        <v>22133</v>
      </c>
      <c r="C3" s="2409" t="s">
        <v>963</v>
      </c>
      <c r="D3" s="2407"/>
      <c r="E3" s="2407"/>
      <c r="F3" s="2407"/>
      <c r="G3" s="2407"/>
      <c r="H3" s="2407"/>
      <c r="I3" s="2407"/>
      <c r="J3" s="2407"/>
      <c r="K3" s="2407"/>
    </row>
    <row r="4" s="2390" customFormat="1" ht="16.5" customHeight="1" spans="1:33">
      <c r="A4" s="2410" t="s">
        <v>964</v>
      </c>
      <c r="B4" s="2411"/>
      <c r="C4" s="2412">
        <f>SUM(C8:K8)</f>
        <v>8630650</v>
      </c>
      <c r="D4" s="2411"/>
      <c r="E4" s="2411"/>
      <c r="F4" s="2411"/>
      <c r="G4" s="2411"/>
      <c r="H4" s="2411"/>
      <c r="I4" s="2411"/>
      <c r="J4" s="2411"/>
      <c r="K4" s="2476"/>
      <c r="L4" s="2477"/>
      <c r="M4" s="2477"/>
      <c r="N4" s="2477"/>
      <c r="O4" s="2477"/>
      <c r="P4" s="2477"/>
      <c r="Q4" s="2477"/>
      <c r="R4" s="2477"/>
      <c r="S4" s="2477"/>
      <c r="T4" s="2477"/>
      <c r="U4" s="2477"/>
      <c r="V4" s="2477"/>
      <c r="W4" s="2477"/>
      <c r="X4" s="2477"/>
      <c r="Y4" s="2477"/>
      <c r="Z4" s="2477"/>
      <c r="AA4" s="2477"/>
      <c r="AB4" s="2477"/>
      <c r="AC4" s="2477"/>
      <c r="AD4" s="2477"/>
      <c r="AE4" s="2477"/>
      <c r="AF4" s="2477"/>
      <c r="AG4" s="2477"/>
    </row>
    <row r="5" s="2391" customFormat="1" ht="15.75" spans="1:33">
      <c r="A5" s="2413" t="s">
        <v>965</v>
      </c>
      <c r="B5" s="2414" t="s">
        <v>966</v>
      </c>
      <c r="C5" s="2415"/>
      <c r="D5" s="2415"/>
      <c r="E5" s="2415"/>
      <c r="F5" s="2415"/>
      <c r="G5" s="2415"/>
      <c r="H5" s="2415"/>
      <c r="I5" s="2415"/>
      <c r="J5" s="2415"/>
      <c r="K5" s="2478"/>
      <c r="L5" s="2479"/>
      <c r="M5" s="2479"/>
      <c r="N5" s="2479"/>
      <c r="O5" s="2479"/>
      <c r="P5" s="2479"/>
      <c r="Q5" s="2479"/>
      <c r="R5" s="2479"/>
      <c r="S5" s="2479"/>
      <c r="T5" s="2479"/>
      <c r="U5" s="2479"/>
      <c r="V5" s="2479"/>
      <c r="W5" s="2479"/>
      <c r="X5" s="2479"/>
      <c r="Y5" s="2479"/>
      <c r="Z5" s="2479"/>
      <c r="AA5" s="2479"/>
      <c r="AB5" s="2479"/>
      <c r="AC5" s="2479"/>
      <c r="AD5" s="2479"/>
      <c r="AE5" s="2479"/>
      <c r="AF5" s="2479"/>
      <c r="AG5" s="2479"/>
    </row>
    <row r="6" s="2392" customFormat="1" ht="13.5" customHeight="1" spans="1:33">
      <c r="A6" s="2416" t="s">
        <v>967</v>
      </c>
      <c r="B6" s="2417" t="s">
        <v>813</v>
      </c>
      <c r="C6" s="2418">
        <v>35000</v>
      </c>
      <c r="D6" s="2419"/>
      <c r="E6" s="2419"/>
      <c r="F6" s="2419"/>
      <c r="G6" s="2419"/>
      <c r="H6" s="2419"/>
      <c r="I6" s="2419"/>
      <c r="J6" s="2419"/>
      <c r="K6" s="2480"/>
      <c r="L6" s="2481"/>
      <c r="M6" s="2481"/>
      <c r="N6" s="2481"/>
      <c r="O6" s="2481"/>
      <c r="P6" s="2481"/>
      <c r="Q6" s="2481"/>
      <c r="R6" s="2481"/>
      <c r="S6" s="2481"/>
      <c r="T6" s="2481"/>
      <c r="U6" s="2481"/>
      <c r="V6" s="2481"/>
      <c r="W6" s="2481"/>
      <c r="X6" s="2481"/>
      <c r="Y6" s="2481"/>
      <c r="Z6" s="2481"/>
      <c r="AA6" s="2481"/>
      <c r="AB6" s="2481"/>
      <c r="AC6" s="2481"/>
      <c r="AD6" s="2481"/>
      <c r="AE6" s="2481"/>
      <c r="AF6" s="2481"/>
      <c r="AG6" s="2481"/>
    </row>
    <row r="7" s="2392" customFormat="1" ht="13.5" customHeight="1" spans="1:33">
      <c r="A7" s="2416" t="s">
        <v>968</v>
      </c>
      <c r="B7" s="2417" t="s">
        <v>357</v>
      </c>
      <c r="C7" s="2420">
        <f>IF(C1="仅计算典型户型",'数据-取费表'!E5,'数据-取费表'!B5)</f>
        <v>246.59</v>
      </c>
      <c r="D7" s="2420"/>
      <c r="E7" s="2420"/>
      <c r="F7" s="2420"/>
      <c r="G7" s="2420"/>
      <c r="H7" s="2420"/>
      <c r="I7" s="2420"/>
      <c r="J7" s="2420"/>
      <c r="K7" s="2482"/>
      <c r="L7" s="2481"/>
      <c r="M7" s="2481"/>
      <c r="N7" s="2481"/>
      <c r="O7" s="2481"/>
      <c r="P7" s="2481"/>
      <c r="Q7" s="2481"/>
      <c r="R7" s="2481"/>
      <c r="S7" s="2481"/>
      <c r="T7" s="2481"/>
      <c r="U7" s="2481"/>
      <c r="V7" s="2481"/>
      <c r="W7" s="2481"/>
      <c r="X7" s="2481"/>
      <c r="Y7" s="2481"/>
      <c r="Z7" s="2481"/>
      <c r="AA7" s="2481"/>
      <c r="AB7" s="2481"/>
      <c r="AC7" s="2481"/>
      <c r="AD7" s="2481"/>
      <c r="AE7" s="2481"/>
      <c r="AF7" s="2481"/>
      <c r="AG7" s="2481"/>
    </row>
    <row r="8" s="2392" customFormat="1" ht="13.5" customHeight="1" spans="1:33">
      <c r="A8" s="2421" t="s">
        <v>969</v>
      </c>
      <c r="B8" s="2417" t="s">
        <v>970</v>
      </c>
      <c r="C8" s="2422">
        <f>C6*C7</f>
        <v>8630650</v>
      </c>
      <c r="D8" s="2423"/>
      <c r="E8" s="2423"/>
      <c r="F8" s="2419"/>
      <c r="G8" s="2419"/>
      <c r="H8" s="2419"/>
      <c r="I8" s="2419"/>
      <c r="J8" s="2419"/>
      <c r="K8" s="2480"/>
      <c r="L8" s="2481"/>
      <c r="M8" s="2481"/>
      <c r="N8" s="2481"/>
      <c r="O8" s="2481"/>
      <c r="P8" s="2481"/>
      <c r="Q8" s="2481"/>
      <c r="R8" s="2481"/>
      <c r="S8" s="2481"/>
      <c r="T8" s="2481"/>
      <c r="U8" s="2481"/>
      <c r="V8" s="2481"/>
      <c r="W8" s="2481"/>
      <c r="X8" s="2481"/>
      <c r="Y8" s="2481"/>
      <c r="Z8" s="2481"/>
      <c r="AA8" s="2481"/>
      <c r="AB8" s="2481"/>
      <c r="AC8" s="2481"/>
      <c r="AD8" s="2481"/>
      <c r="AE8" s="2481"/>
      <c r="AF8" s="2481"/>
      <c r="AG8" s="2481"/>
    </row>
    <row r="9" s="2390" customFormat="1" ht="16.5" customHeight="1" spans="1:33">
      <c r="A9" s="2424" t="s">
        <v>971</v>
      </c>
      <c r="B9" s="2415"/>
      <c r="C9" s="2415"/>
      <c r="D9" s="2415"/>
      <c r="E9" s="2415"/>
      <c r="F9" s="2415"/>
      <c r="G9" s="2415"/>
      <c r="H9" s="2415"/>
      <c r="I9" s="2415"/>
      <c r="J9" s="2415"/>
      <c r="K9" s="2478"/>
      <c r="L9" s="2477"/>
      <c r="M9" s="2477"/>
      <c r="N9" s="2477"/>
      <c r="O9" s="2477"/>
      <c r="P9" s="2477"/>
      <c r="Q9" s="2477"/>
      <c r="R9" s="2477"/>
      <c r="S9" s="2477"/>
      <c r="T9" s="2477"/>
      <c r="U9" s="2477"/>
      <c r="V9" s="2477"/>
      <c r="W9" s="2477"/>
      <c r="X9" s="2477"/>
      <c r="Y9" s="2477"/>
      <c r="Z9" s="2477"/>
      <c r="AA9" s="2477"/>
      <c r="AB9" s="2477"/>
      <c r="AC9" s="2477"/>
      <c r="AD9" s="2477"/>
      <c r="AE9" s="2477"/>
      <c r="AF9" s="2477"/>
      <c r="AG9" s="2477"/>
    </row>
    <row r="10" s="2393" customFormat="1" ht="13.5" customHeight="1" spans="1:33">
      <c r="A10" s="2413" t="s">
        <v>965</v>
      </c>
      <c r="B10" s="2425" t="s">
        <v>966</v>
      </c>
      <c r="C10" s="2426" t="s">
        <v>972</v>
      </c>
      <c r="D10" s="2427" t="s">
        <v>973</v>
      </c>
      <c r="E10" s="2427" t="s">
        <v>974</v>
      </c>
      <c r="F10" s="2427" t="s">
        <v>975</v>
      </c>
      <c r="G10" s="2425"/>
      <c r="H10" s="2428"/>
      <c r="I10" s="2428"/>
      <c r="J10" s="2428"/>
      <c r="K10" s="2483"/>
      <c r="L10" s="2159"/>
      <c r="M10" s="2159"/>
      <c r="N10" s="2159"/>
      <c r="O10" s="2159"/>
      <c r="P10" s="2159"/>
      <c r="Q10" s="2159"/>
      <c r="R10" s="2159"/>
      <c r="S10" s="2159"/>
      <c r="T10" s="2159"/>
      <c r="U10" s="2159"/>
      <c r="V10" s="2159"/>
      <c r="W10" s="2159"/>
      <c r="X10" s="2159"/>
      <c r="Y10" s="2159"/>
      <c r="Z10" s="2159"/>
      <c r="AA10" s="2159"/>
      <c r="AB10" s="2159"/>
      <c r="AC10" s="2159"/>
      <c r="AD10" s="2159"/>
      <c r="AE10" s="2159"/>
      <c r="AF10" s="2159"/>
      <c r="AG10" s="2159"/>
    </row>
    <row r="11" s="2394" customFormat="1" ht="13.5" customHeight="1" spans="1:33">
      <c r="A11" s="2429" t="s">
        <v>976</v>
      </c>
      <c r="B11" s="2430" t="s">
        <v>977</v>
      </c>
      <c r="C11" s="2431">
        <f>IF(C1="仅计算典型户型",'数据-取费表'!F18,'数据-取费表'!E18)</f>
        <v>739770</v>
      </c>
      <c r="D11" s="2432"/>
      <c r="E11" s="1718"/>
      <c r="F11" s="2433">
        <f>1-'数据-取费表'!E20</f>
        <v>0.24</v>
      </c>
      <c r="G11" s="2425"/>
      <c r="H11" s="2428"/>
      <c r="I11" s="2428"/>
      <c r="J11" s="2428"/>
      <c r="K11" s="2483"/>
      <c r="L11" s="2484"/>
      <c r="M11" s="2484"/>
      <c r="N11" s="2484"/>
      <c r="O11" s="2484"/>
      <c r="P11" s="2484"/>
      <c r="Q11" s="2484"/>
      <c r="R11" s="2484"/>
      <c r="S11" s="2484"/>
      <c r="T11" s="2484"/>
      <c r="U11" s="2484"/>
      <c r="V11" s="2484"/>
      <c r="W11" s="2484"/>
      <c r="X11" s="2484"/>
      <c r="Y11" s="2484"/>
      <c r="Z11" s="2484"/>
      <c r="AA11" s="2484"/>
      <c r="AB11" s="2484"/>
      <c r="AC11" s="2484"/>
      <c r="AD11" s="2484"/>
      <c r="AE11" s="2484"/>
      <c r="AF11" s="2484"/>
      <c r="AG11" s="2484"/>
    </row>
    <row r="12" s="2394" customFormat="1" ht="13.5" customHeight="1" spans="1:33">
      <c r="A12" s="2429" t="s">
        <v>978</v>
      </c>
      <c r="B12" s="2430" t="s">
        <v>979</v>
      </c>
      <c r="C12" s="1762">
        <f>ROUND(C11*F12,0)</f>
        <v>22193</v>
      </c>
      <c r="D12" s="2432"/>
      <c r="E12" s="1718"/>
      <c r="F12" s="2434">
        <f>'数据-取费表'!E21</f>
        <v>0.03</v>
      </c>
      <c r="G12" s="2425" t="s">
        <v>980</v>
      </c>
      <c r="H12" s="2428"/>
      <c r="I12" s="2428"/>
      <c r="J12" s="2428"/>
      <c r="K12" s="2483"/>
      <c r="L12" s="2484"/>
      <c r="M12" s="2484"/>
      <c r="N12" s="2484"/>
      <c r="O12" s="2484"/>
      <c r="P12" s="2484"/>
      <c r="Q12" s="2484"/>
      <c r="R12" s="2484"/>
      <c r="S12" s="2484"/>
      <c r="T12" s="2484"/>
      <c r="U12" s="2484"/>
      <c r="V12" s="2484"/>
      <c r="W12" s="2484"/>
      <c r="X12" s="2484"/>
      <c r="Y12" s="2484"/>
      <c r="Z12" s="2484"/>
      <c r="AA12" s="2484"/>
      <c r="AB12" s="2484"/>
      <c r="AC12" s="2484"/>
      <c r="AD12" s="2484"/>
      <c r="AE12" s="2484"/>
      <c r="AF12" s="2484"/>
      <c r="AG12" s="2484"/>
    </row>
    <row r="13" s="2394" customFormat="1" ht="13.5" customHeight="1" spans="1:33">
      <c r="A13" s="2429" t="s">
        <v>981</v>
      </c>
      <c r="B13" s="2430" t="s">
        <v>982</v>
      </c>
      <c r="C13" s="1762">
        <f>ROUND(IF('数据-取费表'!B10="住宅",C11*F13,0),0)</f>
        <v>36989</v>
      </c>
      <c r="D13" s="2432"/>
      <c r="E13" s="1718"/>
      <c r="F13" s="2434">
        <f>'数据-取费表'!E22</f>
        <v>0.05</v>
      </c>
      <c r="G13" s="2425" t="s">
        <v>983</v>
      </c>
      <c r="H13" s="2428"/>
      <c r="I13" s="2428"/>
      <c r="J13" s="2428"/>
      <c r="K13" s="2483"/>
      <c r="L13" s="2484"/>
      <c r="M13" s="2484"/>
      <c r="N13" s="2484"/>
      <c r="O13" s="2484"/>
      <c r="P13" s="2484"/>
      <c r="Q13" s="2484"/>
      <c r="R13" s="2484"/>
      <c r="S13" s="2484"/>
      <c r="T13" s="2484"/>
      <c r="U13" s="2484"/>
      <c r="V13" s="2484"/>
      <c r="W13" s="2484"/>
      <c r="X13" s="2484"/>
      <c r="Y13" s="2484"/>
      <c r="Z13" s="2484"/>
      <c r="AA13" s="2484"/>
      <c r="AB13" s="2484"/>
      <c r="AC13" s="2484"/>
      <c r="AD13" s="2484"/>
      <c r="AE13" s="2484"/>
      <c r="AF13" s="2484"/>
      <c r="AG13" s="2484"/>
    </row>
    <row r="14" s="2395" customFormat="1" ht="13.5" customHeight="1" spans="1:33">
      <c r="A14" s="2429" t="s">
        <v>984</v>
      </c>
      <c r="B14" s="2430" t="s">
        <v>985</v>
      </c>
      <c r="C14" s="1762">
        <f>ROUND(D14*E14*F11,0)</f>
        <v>11836</v>
      </c>
      <c r="D14" s="2432">
        <f>IF(C1="仅计算典型户型",'数据-取费表'!E5,'数据-取费表'!B5)</f>
        <v>246.59</v>
      </c>
      <c r="E14" s="1762">
        <f>'数据-取费表'!E23</f>
        <v>200</v>
      </c>
      <c r="F14" s="2434"/>
      <c r="G14" s="2425" t="s">
        <v>986</v>
      </c>
      <c r="H14" s="2428"/>
      <c r="I14" s="2428"/>
      <c r="J14" s="2428"/>
      <c r="K14" s="2483"/>
      <c r="L14" s="2484"/>
      <c r="M14" s="2484"/>
      <c r="N14" s="2484"/>
      <c r="O14" s="2484"/>
      <c r="P14" s="2484"/>
      <c r="Q14" s="2484"/>
      <c r="R14" s="2484"/>
      <c r="S14" s="2484"/>
      <c r="T14" s="2484"/>
      <c r="U14" s="2484"/>
      <c r="V14" s="2484"/>
      <c r="W14" s="2484"/>
      <c r="X14" s="2484"/>
      <c r="Y14" s="2484"/>
      <c r="Z14" s="2484"/>
      <c r="AA14" s="2484"/>
      <c r="AB14" s="2484"/>
      <c r="AC14" s="2484"/>
      <c r="AD14" s="2484"/>
      <c r="AE14" s="2484"/>
      <c r="AF14" s="2484"/>
      <c r="AG14" s="2484"/>
    </row>
    <row r="15" s="2395" customFormat="1" ht="13.5" customHeight="1" spans="1:33">
      <c r="A15" s="2429" t="s">
        <v>987</v>
      </c>
      <c r="B15" s="2430" t="s">
        <v>988</v>
      </c>
      <c r="C15" s="2435">
        <f>ROUND(C11*F15,0)</f>
        <v>11097</v>
      </c>
      <c r="D15" s="2436"/>
      <c r="E15" s="2435"/>
      <c r="F15" s="2437">
        <f>'数据-取费表'!E24</f>
        <v>0.015</v>
      </c>
      <c r="G15" s="2417" t="s">
        <v>989</v>
      </c>
      <c r="H15" s="2438"/>
      <c r="I15" s="2438"/>
      <c r="J15" s="2438"/>
      <c r="K15" s="2485"/>
      <c r="L15" s="2484"/>
      <c r="M15" s="2484"/>
      <c r="N15" s="2484"/>
      <c r="O15" s="2484"/>
      <c r="P15" s="2484"/>
      <c r="Q15" s="2484"/>
      <c r="R15" s="2484"/>
      <c r="S15" s="2484"/>
      <c r="T15" s="2484"/>
      <c r="U15" s="2484"/>
      <c r="V15" s="2484"/>
      <c r="W15" s="2484"/>
      <c r="X15" s="2484"/>
      <c r="Y15" s="2484"/>
      <c r="Z15" s="2484"/>
      <c r="AA15" s="2484"/>
      <c r="AB15" s="2484"/>
      <c r="AC15" s="2484"/>
      <c r="AD15" s="2484"/>
      <c r="AE15" s="2484"/>
      <c r="AF15" s="2484"/>
      <c r="AG15" s="2484"/>
    </row>
    <row r="16" s="2395" customFormat="1" ht="13.5" customHeight="1" spans="1:33">
      <c r="A16" s="2429" t="s">
        <v>990</v>
      </c>
      <c r="B16" s="2430" t="s">
        <v>991</v>
      </c>
      <c r="C16" s="2431">
        <f>SUM(C11:C15)</f>
        <v>821885</v>
      </c>
      <c r="D16" s="2432"/>
      <c r="E16" s="1762"/>
      <c r="F16" s="2434"/>
      <c r="G16" s="2425"/>
      <c r="H16" s="2428"/>
      <c r="I16" s="2428"/>
      <c r="J16" s="2428"/>
      <c r="K16" s="2483"/>
      <c r="L16" s="2484"/>
      <c r="M16" s="2484"/>
      <c r="N16" s="2484"/>
      <c r="O16" s="2484"/>
      <c r="P16" s="2484"/>
      <c r="Q16" s="2484"/>
      <c r="R16" s="2484"/>
      <c r="S16" s="2484"/>
      <c r="T16" s="2484"/>
      <c r="U16" s="2484"/>
      <c r="V16" s="2484"/>
      <c r="W16" s="2484"/>
      <c r="X16" s="2484"/>
      <c r="Y16" s="2484"/>
      <c r="Z16" s="2484"/>
      <c r="AA16" s="2484"/>
      <c r="AB16" s="2484"/>
      <c r="AC16" s="2484"/>
      <c r="AD16" s="2484"/>
      <c r="AE16" s="2484"/>
      <c r="AF16" s="2484"/>
      <c r="AG16" s="2484"/>
    </row>
    <row r="17" s="2395" customFormat="1" ht="13.5" customHeight="1" spans="1:33">
      <c r="A17" s="2429" t="s">
        <v>992</v>
      </c>
      <c r="B17" s="2430" t="s">
        <v>993</v>
      </c>
      <c r="C17" s="1762">
        <f>ROUND(D17*E17,0)</f>
        <v>0</v>
      </c>
      <c r="D17" s="2432">
        <f>IF(C1="仅计算典型户型",'数据-取费表'!E5,'数据-取费表'!B5)</f>
        <v>246.59</v>
      </c>
      <c r="E17" s="1762">
        <f>'数据-取费表'!E16</f>
        <v>0</v>
      </c>
      <c r="F17" s="2436"/>
      <c r="G17" s="2417" t="s">
        <v>994</v>
      </c>
      <c r="H17" s="2438"/>
      <c r="I17" s="2438"/>
      <c r="J17" s="2438"/>
      <c r="K17" s="2485"/>
      <c r="L17" s="2484"/>
      <c r="M17" s="2484"/>
      <c r="N17" s="2484"/>
      <c r="O17" s="2484"/>
      <c r="P17" s="2484"/>
      <c r="Q17" s="2484"/>
      <c r="R17" s="2484"/>
      <c r="S17" s="2484"/>
      <c r="T17" s="2484"/>
      <c r="U17" s="2484"/>
      <c r="V17" s="2484"/>
      <c r="W17" s="2484"/>
      <c r="X17" s="2484"/>
      <c r="Y17" s="2484"/>
      <c r="Z17" s="2484"/>
      <c r="AA17" s="2484"/>
      <c r="AB17" s="2484"/>
      <c r="AC17" s="2484"/>
      <c r="AD17" s="2484"/>
      <c r="AE17" s="2484"/>
      <c r="AF17" s="2484"/>
      <c r="AG17" s="2484"/>
    </row>
    <row r="18" s="2394" customFormat="1" ht="13.5" customHeight="1" spans="1:33">
      <c r="A18" s="2429" t="s">
        <v>995</v>
      </c>
      <c r="B18" s="2430" t="s">
        <v>996</v>
      </c>
      <c r="C18" s="1762">
        <f>C19+C20-'数据-取费表'!E13</f>
        <v>39454</v>
      </c>
      <c r="D18" s="2432"/>
      <c r="E18" s="1762"/>
      <c r="F18" s="2434"/>
      <c r="G18" s="2417" t="s">
        <v>997</v>
      </c>
      <c r="H18" s="2438"/>
      <c r="I18" s="2438"/>
      <c r="J18" s="2438"/>
      <c r="K18" s="2485"/>
      <c r="L18" s="2484"/>
      <c r="M18" s="2484"/>
      <c r="N18" s="2484"/>
      <c r="O18" s="2484"/>
      <c r="P18" s="2484"/>
      <c r="Q18" s="2484"/>
      <c r="R18" s="2484"/>
      <c r="S18" s="2484"/>
      <c r="T18" s="2484"/>
      <c r="U18" s="2484"/>
      <c r="V18" s="2484"/>
      <c r="W18" s="2484"/>
      <c r="X18" s="2484"/>
      <c r="Y18" s="2484"/>
      <c r="Z18" s="2484"/>
      <c r="AA18" s="2484"/>
      <c r="AB18" s="2484"/>
      <c r="AC18" s="2484"/>
      <c r="AD18" s="2484"/>
      <c r="AE18" s="2484"/>
      <c r="AF18" s="2484"/>
      <c r="AG18" s="2484"/>
    </row>
    <row r="19" s="2394" customFormat="1" ht="13.5" customHeight="1" spans="1:33">
      <c r="A19" s="2429" t="s">
        <v>976</v>
      </c>
      <c r="B19" s="2430" t="s">
        <v>998</v>
      </c>
      <c r="C19" s="1762">
        <f>ROUND(D19*E19,0)</f>
        <v>39454</v>
      </c>
      <c r="D19" s="2432">
        <f>IF('数据-取费表'!B10="住宅",IF(C1="仅计算典型户型",'数据-取费表'!E5,'数据-取费表'!B5),0)</f>
        <v>246.59</v>
      </c>
      <c r="E19" s="1762">
        <f>'数据-取费表'!E11</f>
        <v>160</v>
      </c>
      <c r="F19" s="2434"/>
      <c r="G19" s="2439"/>
      <c r="H19" s="2440"/>
      <c r="I19" s="2440"/>
      <c r="J19" s="2440"/>
      <c r="K19" s="2486"/>
      <c r="L19" s="2484"/>
      <c r="M19" s="2484"/>
      <c r="N19" s="2484"/>
      <c r="O19" s="2484"/>
      <c r="P19" s="2484"/>
      <c r="Q19" s="2484"/>
      <c r="R19" s="2484"/>
      <c r="S19" s="2484"/>
      <c r="T19" s="2484"/>
      <c r="U19" s="2484"/>
      <c r="V19" s="2484"/>
      <c r="W19" s="2484"/>
      <c r="X19" s="2484"/>
      <c r="Y19" s="2484"/>
      <c r="Z19" s="2484"/>
      <c r="AA19" s="2484"/>
      <c r="AB19" s="2484"/>
      <c r="AC19" s="2484"/>
      <c r="AD19" s="2484"/>
      <c r="AE19" s="2484"/>
      <c r="AF19" s="2484"/>
      <c r="AG19" s="2484"/>
    </row>
    <row r="20" s="2394" customFormat="1" ht="13.5" customHeight="1" spans="1:33">
      <c r="A20" s="2429" t="s">
        <v>978</v>
      </c>
      <c r="B20" s="2430" t="s">
        <v>999</v>
      </c>
      <c r="C20" s="1762">
        <f>ROUND(D20*E20,0)</f>
        <v>0</v>
      </c>
      <c r="D20" s="2432">
        <f>IF('数据-取费表'!B10&lt;&gt;"住宅",IF(C1="仅计算典型户型",'数据-取费表'!E5,'数据-取费表'!B5),0)</f>
        <v>0</v>
      </c>
      <c r="E20" s="1762">
        <f>'数据-取费表'!E12</f>
        <v>200</v>
      </c>
      <c r="F20" s="2434"/>
      <c r="G20" s="2439"/>
      <c r="H20" s="2440"/>
      <c r="I20" s="2440"/>
      <c r="J20" s="2440"/>
      <c r="K20" s="2486"/>
      <c r="L20" s="2484"/>
      <c r="M20" s="2484"/>
      <c r="N20" s="2484"/>
      <c r="O20" s="2484"/>
      <c r="P20" s="2484"/>
      <c r="Q20" s="2484"/>
      <c r="R20" s="2484"/>
      <c r="S20" s="2484"/>
      <c r="T20" s="2484"/>
      <c r="U20" s="2484"/>
      <c r="V20" s="2484"/>
      <c r="W20" s="2484"/>
      <c r="X20" s="2484"/>
      <c r="Y20" s="2484"/>
      <c r="Z20" s="2484"/>
      <c r="AA20" s="2484"/>
      <c r="AB20" s="2484"/>
      <c r="AC20" s="2484"/>
      <c r="AD20" s="2484"/>
      <c r="AE20" s="2484"/>
      <c r="AF20" s="2484"/>
      <c r="AG20" s="2484"/>
    </row>
    <row r="21" s="2394" customFormat="1" ht="13.5" customHeight="1" spans="1:33">
      <c r="A21" s="2416" t="s">
        <v>967</v>
      </c>
      <c r="B21" s="2441" t="s">
        <v>1000</v>
      </c>
      <c r="C21" s="2442">
        <f>C16+C17+C18</f>
        <v>861339</v>
      </c>
      <c r="D21" s="2443"/>
      <c r="E21" s="2444"/>
      <c r="F21" s="2444"/>
      <c r="G21" s="2417" t="s">
        <v>1001</v>
      </c>
      <c r="H21" s="2438"/>
      <c r="I21" s="2438"/>
      <c r="J21" s="2438"/>
      <c r="K21" s="2485"/>
      <c r="L21" s="2484"/>
      <c r="M21" s="2484"/>
      <c r="N21" s="2484"/>
      <c r="O21" s="2484"/>
      <c r="P21" s="2484"/>
      <c r="Q21" s="2484"/>
      <c r="R21" s="2484"/>
      <c r="S21" s="2484"/>
      <c r="T21" s="2484"/>
      <c r="U21" s="2484"/>
      <c r="V21" s="2484"/>
      <c r="W21" s="2484"/>
      <c r="X21" s="2484"/>
      <c r="Y21" s="2484"/>
      <c r="Z21" s="2484"/>
      <c r="AA21" s="2484"/>
      <c r="AB21" s="2484"/>
      <c r="AC21" s="2484"/>
      <c r="AD21" s="2484"/>
      <c r="AE21" s="2484"/>
      <c r="AF21" s="2484"/>
      <c r="AG21" s="2484"/>
    </row>
    <row r="22" s="2394" customFormat="1" ht="13.5" customHeight="1" spans="1:14">
      <c r="A22" s="2416" t="s">
        <v>968</v>
      </c>
      <c r="B22" s="2441" t="s">
        <v>1002</v>
      </c>
      <c r="C22" s="2442">
        <f>ROUND(C21*F22,0)</f>
        <v>17227</v>
      </c>
      <c r="D22" s="2444"/>
      <c r="E22" s="2444"/>
      <c r="F22" s="2445">
        <f>'数据-取费表'!E25</f>
        <v>0.02</v>
      </c>
      <c r="G22" s="2425" t="s">
        <v>1003</v>
      </c>
      <c r="H22" s="2428"/>
      <c r="I22" s="2428"/>
      <c r="J22" s="2428"/>
      <c r="K22" s="2483"/>
      <c r="L22" s="2396"/>
      <c r="M22" s="2396"/>
      <c r="N22" s="2396"/>
    </row>
    <row r="23" s="2394" customFormat="1" ht="13.5" customHeight="1" spans="1:11">
      <c r="A23" s="2416" t="s">
        <v>969</v>
      </c>
      <c r="B23" s="2441" t="s">
        <v>1004</v>
      </c>
      <c r="C23" s="2442">
        <f>ROUND(C4*F23*F11,0)</f>
        <v>41427</v>
      </c>
      <c r="D23" s="2444"/>
      <c r="E23" s="2444"/>
      <c r="F23" s="2445">
        <f>'数据-取费表'!E26</f>
        <v>0.02</v>
      </c>
      <c r="G23" s="2425" t="s">
        <v>1005</v>
      </c>
      <c r="H23" s="2428"/>
      <c r="I23" s="2428"/>
      <c r="J23" s="2428"/>
      <c r="K23" s="2483"/>
    </row>
    <row r="24" s="2394" customFormat="1" ht="13.5" customHeight="1" spans="1:11">
      <c r="A24" s="2416" t="s">
        <v>1006</v>
      </c>
      <c r="B24" s="2441" t="s">
        <v>1007</v>
      </c>
      <c r="C24" s="2446">
        <f>ROUND(F24/(1+'数据-取费表'!F30),4)</f>
        <v>0.029</v>
      </c>
      <c r="D24" s="2447" t="s">
        <v>1008</v>
      </c>
      <c r="E24" s="2447"/>
      <c r="F24" s="2445">
        <f>'数据-取费表'!E36+'数据-取费表'!E37</f>
        <v>0.0305</v>
      </c>
      <c r="G24" s="2425" t="s">
        <v>1009</v>
      </c>
      <c r="H24" s="2448"/>
      <c r="I24" s="2448"/>
      <c r="J24" s="2448"/>
      <c r="K24" s="2487"/>
    </row>
    <row r="25" s="2396" customFormat="1" ht="13.5" customHeight="1" spans="1:11">
      <c r="A25" s="2416" t="s">
        <v>1010</v>
      </c>
      <c r="B25" s="2443" t="s">
        <v>1011</v>
      </c>
      <c r="C25" s="2449">
        <f>C27</f>
        <v>0</v>
      </c>
      <c r="D25" s="2446">
        <f>C26</f>
        <v>0</v>
      </c>
      <c r="E25" s="2450" t="s">
        <v>1008</v>
      </c>
      <c r="F25" s="2451">
        <f>'数据-取费表'!E27</f>
        <v>0.0475</v>
      </c>
      <c r="G25" s="2417" t="s">
        <v>1012</v>
      </c>
      <c r="H25" s="2448"/>
      <c r="I25" s="2448"/>
      <c r="J25" s="2448"/>
      <c r="K25" s="2487"/>
    </row>
    <row r="26" s="2397" customFormat="1" ht="13.5" customHeight="1" spans="1:11">
      <c r="A26" s="2429" t="s">
        <v>990</v>
      </c>
      <c r="B26" s="2452" t="s">
        <v>1013</v>
      </c>
      <c r="C26" s="2453">
        <f>ROUND(IF('数据-取费表'!B24&lt;=1,(1+C24)*F25*'数据-取费表'!B26,(1+C24)*(POWER((1+F25),'数据-取费表'!B26)-1)),4)</f>
        <v>0</v>
      </c>
      <c r="D26" s="2454"/>
      <c r="E26" s="2455"/>
      <c r="F26" s="2456"/>
      <c r="G26" s="2417"/>
      <c r="H26" s="2438"/>
      <c r="I26" s="2438"/>
      <c r="J26" s="2438"/>
      <c r="K26" s="2485"/>
    </row>
    <row r="27" s="2397" customFormat="1" ht="13.5" customHeight="1" spans="1:11">
      <c r="A27" s="2429" t="s">
        <v>992</v>
      </c>
      <c r="B27" s="2452" t="s">
        <v>1014</v>
      </c>
      <c r="C27" s="2457">
        <f>ROUND(IF('数据-取费表'!B24&lt;=1,(C21+C22+C23)*F25*'数据-取费表'!B26/2,(C21+C22+C23)*(POWER((1+F25),'数据-取费表'!B26/2)-1)),0)</f>
        <v>0</v>
      </c>
      <c r="D27" s="2454"/>
      <c r="E27" s="2455"/>
      <c r="F27" s="2456"/>
      <c r="G27" s="2417" t="s">
        <v>1015</v>
      </c>
      <c r="H27" s="2438"/>
      <c r="I27" s="2438"/>
      <c r="J27" s="2438"/>
      <c r="K27" s="2485"/>
    </row>
    <row r="28" s="2398" customFormat="1" ht="13.5" customHeight="1" spans="1:11">
      <c r="A28" s="2416" t="s">
        <v>1016</v>
      </c>
      <c r="B28" s="2458" t="s">
        <v>1017</v>
      </c>
      <c r="C28" s="2459">
        <f>C30</f>
        <v>229998</v>
      </c>
      <c r="D28" s="2446">
        <f>C29</f>
        <v>0.2573</v>
      </c>
      <c r="E28" s="2450" t="s">
        <v>1008</v>
      </c>
      <c r="F28" s="970">
        <f>'数据-取费表'!E28</f>
        <v>0.25</v>
      </c>
      <c r="G28" s="2460"/>
      <c r="H28" s="2448"/>
      <c r="I28" s="2448"/>
      <c r="J28" s="2448"/>
      <c r="K28" s="2487"/>
    </row>
    <row r="29" s="2399" customFormat="1" ht="13.5" customHeight="1" spans="1:11">
      <c r="A29" s="2429" t="s">
        <v>990</v>
      </c>
      <c r="B29" s="2461" t="s">
        <v>1018</v>
      </c>
      <c r="C29" s="2454">
        <f>ROUND((1+C24)*F28,4)</f>
        <v>0.2573</v>
      </c>
      <c r="D29" s="2454"/>
      <c r="E29" s="2455"/>
      <c r="F29" s="2462"/>
      <c r="G29" s="2417" t="s">
        <v>1019</v>
      </c>
      <c r="H29" s="2438"/>
      <c r="I29" s="2438"/>
      <c r="J29" s="2438"/>
      <c r="K29" s="2485"/>
    </row>
    <row r="30" s="2399" customFormat="1" ht="13.5" customHeight="1" spans="1:11">
      <c r="A30" s="2429" t="s">
        <v>992</v>
      </c>
      <c r="B30" s="2461" t="s">
        <v>1020</v>
      </c>
      <c r="C30" s="2463">
        <f>ROUND((C21+C22+C23)*F28,0)</f>
        <v>229998</v>
      </c>
      <c r="D30" s="2454"/>
      <c r="E30" s="2464"/>
      <c r="F30" s="2462"/>
      <c r="G30" s="2417"/>
      <c r="H30" s="2438"/>
      <c r="I30" s="2438"/>
      <c r="J30" s="2438"/>
      <c r="K30" s="2485"/>
    </row>
    <row r="31" s="2396" customFormat="1" ht="13.5" customHeight="1" spans="1:11">
      <c r="A31" s="2465" t="s">
        <v>1021</v>
      </c>
      <c r="B31" s="2441" t="s">
        <v>1022</v>
      </c>
      <c r="C31" s="2466">
        <f>ROUND(C4*F31/(1+'数据-取费表'!F30),0)</f>
        <v>460301</v>
      </c>
      <c r="D31" s="2467"/>
      <c r="E31" s="2468"/>
      <c r="F31" s="2469">
        <f>'数据-取费表'!E29</f>
        <v>0.056</v>
      </c>
      <c r="G31" s="2470" t="s">
        <v>1023</v>
      </c>
      <c r="H31" s="2471"/>
      <c r="I31" s="2471"/>
      <c r="J31" s="2471"/>
      <c r="K31" s="2488"/>
    </row>
    <row r="32" s="2393" customFormat="1" ht="13.5" customHeight="1" spans="1:11">
      <c r="A32" s="2472" t="s">
        <v>1024</v>
      </c>
      <c r="B32" s="2473"/>
      <c r="C32" s="2474">
        <f>ROUND((C4-C21-C22-C23-C25-C28-C31)/(1+C24+D25+D28),0)</f>
        <v>5457792</v>
      </c>
      <c r="D32" s="2473"/>
      <c r="E32" s="2473"/>
      <c r="F32" s="2473"/>
      <c r="G32" s="2475" t="s">
        <v>1025</v>
      </c>
      <c r="H32" s="2473"/>
      <c r="I32" s="2473"/>
      <c r="J32" s="2473"/>
      <c r="K32" s="2489"/>
    </row>
    <row r="34" customHeight="1"/>
  </sheetData>
  <sheetProtection password="C66D" sheet="1" formatCells="0" formatColumns="0" formatRows="0" objects="1" scenarios="1"/>
  <dataValidations count="1">
    <dataValidation type="list" allowBlank="1" showInputMessage="1" showErrorMessage="1" sqref="C1">
      <formula1>"估价对象,仅计算典型户型"</formula1>
    </dataValidation>
  </dataValidations>
  <pageMargins left="0.7" right="0.7" top="0.75" bottom="0.75" header="0.3" footer="0.3"/>
  <pageSetup paperSize="9" scale="58" fitToHeight="0" orientation="portrait"/>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3">
    <tabColor rgb="FF92D050"/>
    <pageSetUpPr fitToPage="1"/>
  </sheetPr>
  <dimension ref="A1:AC148"/>
  <sheetViews>
    <sheetView view="pageBreakPreview" zoomScale="70" zoomScaleNormal="70" topLeftCell="A28" workbookViewId="0">
      <selection activeCell="W40" sqref="W40"/>
    </sheetView>
  </sheetViews>
  <sheetFormatPr defaultColWidth="9" defaultRowHeight="14.25"/>
  <cols>
    <col min="1" max="1" width="10.5" style="581" customWidth="1"/>
    <col min="2" max="2" width="15.75" style="581" customWidth="1"/>
    <col min="3" max="3" width="15.125" style="581" customWidth="1"/>
    <col min="4" max="4" width="12.25" style="581" customWidth="1"/>
    <col min="5" max="5" width="14.375" style="581" customWidth="1"/>
    <col min="6" max="6" width="12.25" style="581" customWidth="1"/>
    <col min="7" max="7" width="14.5" style="581" customWidth="1"/>
    <col min="8" max="8" width="12.25" style="581" customWidth="1"/>
    <col min="9" max="9" width="14.5" style="581" customWidth="1"/>
    <col min="10" max="10" width="12.25" style="581" customWidth="1"/>
    <col min="11" max="11" width="12.25" style="1087" customWidth="1"/>
    <col min="12" max="12" width="12.25" style="1088" customWidth="1"/>
    <col min="13" max="15" width="12.25" style="581" customWidth="1"/>
    <col min="16" max="16" width="4.75" style="1662" customWidth="1"/>
    <col min="17" max="17" width="19.5" style="581" customWidth="1"/>
    <col min="18" max="22" width="6.125" style="581" customWidth="1"/>
    <col min="23" max="23" width="5.75" style="581" customWidth="1"/>
    <col min="24" max="24" width="4.25" style="581" customWidth="1"/>
    <col min="25" max="25" width="3.5" style="581" customWidth="1"/>
    <col min="26" max="26" width="19.75" style="581" customWidth="1"/>
    <col min="27" max="28" width="9.375" style="581" customWidth="1"/>
    <col min="29" max="16384" width="9" style="581"/>
  </cols>
  <sheetData>
    <row r="1" s="1574" customFormat="1" ht="28.5" customHeight="1" spans="1:29">
      <c r="A1" s="1576" t="s">
        <v>1026</v>
      </c>
      <c r="B1" s="1577" t="s">
        <v>1027</v>
      </c>
      <c r="C1" s="1578" t="s">
        <v>1028</v>
      </c>
      <c r="D1" s="2301"/>
      <c r="E1" s="1579" t="s">
        <v>1029</v>
      </c>
      <c r="F1" s="1580" t="s">
        <v>1030</v>
      </c>
      <c r="G1" s="1577"/>
      <c r="H1" s="1577"/>
      <c r="I1" s="1577"/>
      <c r="J1" s="1577"/>
      <c r="K1" s="1634"/>
      <c r="L1" s="1635"/>
      <c r="M1" s="1577"/>
      <c r="N1" s="1577"/>
      <c r="O1" s="1577"/>
      <c r="P1" s="1684"/>
      <c r="Q1" s="1698"/>
      <c r="R1" s="1698"/>
      <c r="S1" s="1698"/>
      <c r="T1" s="1698"/>
      <c r="U1" s="1698"/>
      <c r="V1" s="1698"/>
      <c r="W1" s="1698"/>
      <c r="X1" s="1698"/>
      <c r="Y1" s="1698"/>
      <c r="Z1" s="1698"/>
      <c r="AA1" s="1698"/>
      <c r="AB1" s="1698"/>
      <c r="AC1" s="1649"/>
    </row>
    <row r="2" s="2046" customFormat="1" ht="28.5" customHeight="1" spans="1:29">
      <c r="A2" s="1581" t="s">
        <v>868</v>
      </c>
      <c r="B2" s="1582">
        <f ca="1">IF(D2="——",IF(C2="元",ROUND(C49*D3,0),ROUND(C49*D3/10000,0)),IF(C2="元",ROUND(C49*D3,0),ROUND(C49*D3/10000,0))-E2)</f>
        <v>21634327</v>
      </c>
      <c r="C2" s="1583" t="str">
        <f>'数据-取费表'!B3</f>
        <v>元</v>
      </c>
      <c r="D2" s="1584" t="s">
        <v>121</v>
      </c>
      <c r="E2" s="2302" t="e">
        <f ca="1">SUMIF(INDIRECT("'"&amp;G2&amp;"'"&amp;"!A:A"),"承租人权益价值",INDIRECT("'"&amp;G2&amp;"'"&amp;"!c:c"))</f>
        <v>#REF!</v>
      </c>
      <c r="F2" s="1586" t="str">
        <f>C2</f>
        <v>元</v>
      </c>
      <c r="G2" s="1587"/>
      <c r="H2" s="2303"/>
      <c r="I2" s="2303"/>
      <c r="J2" s="2303"/>
      <c r="K2" s="2315"/>
      <c r="L2" s="2316"/>
      <c r="M2" s="2303"/>
      <c r="N2" s="2303"/>
      <c r="O2" s="2303"/>
      <c r="P2" s="2317"/>
      <c r="Q2" s="1094"/>
      <c r="R2" s="1094"/>
      <c r="S2" s="1094"/>
      <c r="T2" s="1094"/>
      <c r="U2" s="1094"/>
      <c r="V2" s="1094"/>
      <c r="W2" s="1094"/>
      <c r="X2" s="1094"/>
      <c r="Y2" s="1094"/>
      <c r="Z2" s="1094"/>
      <c r="AA2" s="1094"/>
      <c r="AB2" s="1094"/>
      <c r="AC2" s="2338"/>
    </row>
    <row r="3" s="2046" customFormat="1" ht="28.5" customHeight="1" spans="1:29">
      <c r="A3" s="402" t="s">
        <v>869</v>
      </c>
      <c r="B3" s="1588">
        <f ca="1">ROUND(IF(D2="——",C49,IF(C2="万元",B2*10000/D3,B2/D3)),0)</f>
        <v>87734</v>
      </c>
      <c r="C3" s="1588" t="s">
        <v>1031</v>
      </c>
      <c r="D3" s="1588">
        <f>IF(C1="仅计算典型户型",'数据-取费表'!E5,'数据-取费表'!B5)</f>
        <v>246.59</v>
      </c>
      <c r="E3" s="2303"/>
      <c r="F3" s="2304"/>
      <c r="G3" s="2303"/>
      <c r="H3" s="2303"/>
      <c r="I3" s="2303"/>
      <c r="J3" s="2303"/>
      <c r="K3" s="2315"/>
      <c r="L3" s="2316"/>
      <c r="M3" s="2303"/>
      <c r="N3" s="2303"/>
      <c r="O3" s="2303"/>
      <c r="P3" s="2318"/>
      <c r="Q3" s="1094"/>
      <c r="R3" s="1094"/>
      <c r="S3" s="1094"/>
      <c r="T3" s="1094"/>
      <c r="U3" s="1094"/>
      <c r="V3" s="1094"/>
      <c r="W3" s="1094"/>
      <c r="X3" s="1094"/>
      <c r="Y3" s="1094"/>
      <c r="Z3" s="1094"/>
      <c r="AA3" s="1094"/>
      <c r="AB3" s="1094"/>
      <c r="AC3" s="2339"/>
    </row>
    <row r="4" ht="15" spans="1:29">
      <c r="A4" s="1098" t="s">
        <v>1032</v>
      </c>
      <c r="B4" s="1099"/>
      <c r="C4" s="602" t="s">
        <v>1033</v>
      </c>
      <c r="D4" s="612"/>
      <c r="E4" s="1100" t="s">
        <v>1034</v>
      </c>
      <c r="F4" s="1101"/>
      <c r="G4" s="602" t="s">
        <v>1035</v>
      </c>
      <c r="H4" s="612"/>
      <c r="I4" s="602" t="s">
        <v>1036</v>
      </c>
      <c r="J4" s="612"/>
      <c r="K4" s="2319" t="s">
        <v>1037</v>
      </c>
      <c r="L4" s="1235"/>
      <c r="M4" s="1236"/>
      <c r="N4" s="1236"/>
      <c r="O4" s="1236"/>
      <c r="P4" s="1237" t="s">
        <v>1038</v>
      </c>
      <c r="Q4" s="580"/>
      <c r="R4" s="1279" t="s">
        <v>1034</v>
      </c>
      <c r="S4" s="1280"/>
      <c r="T4" s="1279" t="s">
        <v>1035</v>
      </c>
      <c r="U4" s="1280"/>
      <c r="V4" s="1281" t="s">
        <v>1036</v>
      </c>
      <c r="W4" s="1281"/>
      <c r="X4" s="1282"/>
      <c r="Y4" s="1279" t="s">
        <v>1038</v>
      </c>
      <c r="Z4" s="1280"/>
      <c r="AA4" s="1308" t="s">
        <v>1034</v>
      </c>
      <c r="AB4" s="1308" t="s">
        <v>1035</v>
      </c>
      <c r="AC4" s="1308" t="s">
        <v>1036</v>
      </c>
    </row>
    <row r="5" ht="15" spans="1:29">
      <c r="A5" s="1102"/>
      <c r="B5" s="1103"/>
      <c r="C5" s="1104" t="s">
        <v>1039</v>
      </c>
      <c r="D5" s="1105"/>
      <c r="E5" s="2305" t="s">
        <v>1040</v>
      </c>
      <c r="F5" s="1107"/>
      <c r="G5" s="1104" t="str">
        <f>E5</f>
        <v>倚林佳园</v>
      </c>
      <c r="H5" s="1105"/>
      <c r="I5" s="1104" t="str">
        <f>E5</f>
        <v>倚林佳园</v>
      </c>
      <c r="J5" s="1105"/>
      <c r="K5" s="2320"/>
      <c r="L5" s="1235"/>
      <c r="M5" s="1236"/>
      <c r="N5" s="1236"/>
      <c r="O5" s="1236"/>
      <c r="P5" s="1238"/>
      <c r="Q5" s="1283"/>
      <c r="R5" s="1284"/>
      <c r="S5" s="1285"/>
      <c r="T5" s="1284"/>
      <c r="U5" s="1285"/>
      <c r="V5" s="1281"/>
      <c r="W5" s="1281"/>
      <c r="X5" s="1282"/>
      <c r="Y5" s="1284"/>
      <c r="Z5" s="1285"/>
      <c r="AA5" s="1282"/>
      <c r="AB5" s="1282"/>
      <c r="AC5" s="1282"/>
    </row>
    <row r="6" ht="15.75" spans="1:29">
      <c r="A6" s="1108"/>
      <c r="B6" s="1109"/>
      <c r="C6" s="1110" t="s">
        <v>1041</v>
      </c>
      <c r="D6" s="1111"/>
      <c r="E6" s="1112" t="s">
        <v>1041</v>
      </c>
      <c r="F6" s="1113"/>
      <c r="G6" s="1110" t="s">
        <v>1041</v>
      </c>
      <c r="H6" s="1111"/>
      <c r="I6" s="1110" t="s">
        <v>1041</v>
      </c>
      <c r="J6" s="1111"/>
      <c r="K6" s="2320" t="s">
        <v>1042</v>
      </c>
      <c r="L6" s="1235"/>
      <c r="M6" s="1236"/>
      <c r="N6" s="1236"/>
      <c r="O6" s="1236"/>
      <c r="P6" s="1239"/>
      <c r="Q6" s="1286"/>
      <c r="R6" s="1284"/>
      <c r="S6" s="1285"/>
      <c r="T6" s="1287"/>
      <c r="U6" s="1288"/>
      <c r="V6" s="1281"/>
      <c r="W6" s="1281"/>
      <c r="X6" s="1282"/>
      <c r="Y6" s="1287"/>
      <c r="Z6" s="1288"/>
      <c r="AA6" s="1309"/>
      <c r="AB6" s="1309"/>
      <c r="AC6" s="1309"/>
    </row>
    <row r="7" s="1080" customFormat="1" ht="15.75" spans="1:29">
      <c r="A7" s="1114" t="s">
        <v>1043</v>
      </c>
      <c r="B7" s="1115"/>
      <c r="C7" s="1116">
        <f>'数据-取费表'!B2</f>
        <v>44567</v>
      </c>
      <c r="D7" s="1117">
        <v>100</v>
      </c>
      <c r="E7" s="1118">
        <v>44510</v>
      </c>
      <c r="F7" s="1119">
        <f>SUMIF(58:58,YEAR(E7)&amp;"-"&amp;MONTH(E7),59:59)</f>
        <v>100</v>
      </c>
      <c r="G7" s="1118">
        <v>44342</v>
      </c>
      <c r="H7" s="1117">
        <f>SUMIF(58:58,YEAR(G7)&amp;"-"&amp;MONTH(G7),59:59)</f>
        <v>99</v>
      </c>
      <c r="I7" s="1118">
        <v>44265</v>
      </c>
      <c r="J7" s="1117">
        <f>SUMIF(58:58,YEAR(I7)&amp;"-"&amp;MONTH(I7),59:59)</f>
        <v>98.5</v>
      </c>
      <c r="K7" s="2321"/>
      <c r="L7" s="1235"/>
      <c r="M7" s="1241"/>
      <c r="N7" s="1241"/>
      <c r="O7" s="1241"/>
      <c r="P7" s="1242" t="s">
        <v>1044</v>
      </c>
      <c r="Q7" s="1289"/>
      <c r="R7" s="1290" t="s">
        <v>1045</v>
      </c>
      <c r="S7" s="1291">
        <f t="shared" ref="S7:S15" si="0">F7</f>
        <v>100</v>
      </c>
      <c r="T7" s="1290" t="s">
        <v>1045</v>
      </c>
      <c r="U7" s="1291">
        <f t="shared" ref="U7:U15" si="1">H7</f>
        <v>99</v>
      </c>
      <c r="V7" s="1290" t="s">
        <v>1045</v>
      </c>
      <c r="W7" s="1291">
        <f t="shared" ref="W7:W15" si="2">J7</f>
        <v>98.5</v>
      </c>
      <c r="X7" s="1292"/>
      <c r="Y7" s="1242" t="s">
        <v>1044</v>
      </c>
      <c r="Z7" s="1293"/>
      <c r="AA7" s="1310">
        <f>D7/F7</f>
        <v>1</v>
      </c>
      <c r="AB7" s="1310">
        <f>D7/H7</f>
        <v>1.01010101010101</v>
      </c>
      <c r="AC7" s="1310">
        <f>D7/J7</f>
        <v>1.01522842639594</v>
      </c>
    </row>
    <row r="8" s="1080" customFormat="1" ht="15.75" spans="1:29">
      <c r="A8" s="1114" t="s">
        <v>1046</v>
      </c>
      <c r="B8" s="1115"/>
      <c r="C8" s="1121" t="s">
        <v>1047</v>
      </c>
      <c r="D8" s="1117">
        <v>100</v>
      </c>
      <c r="E8" s="2306" t="s">
        <v>1048</v>
      </c>
      <c r="F8" s="1119">
        <f>SUMIF(61:61,E8,62:62)-SUMIF(61:61,C8,62:62)+100</f>
        <v>100</v>
      </c>
      <c r="G8" s="1121" t="s">
        <v>1048</v>
      </c>
      <c r="H8" s="1117">
        <f>SUMIF(61:61,G8,62:62)-SUMIF(61:61,C8,62:62)+100</f>
        <v>100</v>
      </c>
      <c r="I8" s="2306" t="s">
        <v>1048</v>
      </c>
      <c r="J8" s="1117">
        <f>SUMIF(61:61,I8,62:62)-SUMIF(61:61,C8,62:62)+100</f>
        <v>100</v>
      </c>
      <c r="K8" s="2321"/>
      <c r="L8" s="1235"/>
      <c r="M8" s="1241"/>
      <c r="N8" s="1241"/>
      <c r="O8" s="1241"/>
      <c r="P8" s="1242" t="s">
        <v>1049</v>
      </c>
      <c r="Q8" s="1293"/>
      <c r="R8" s="1290" t="s">
        <v>1045</v>
      </c>
      <c r="S8" s="1291">
        <f t="shared" si="0"/>
        <v>100</v>
      </c>
      <c r="T8" s="1290" t="s">
        <v>1045</v>
      </c>
      <c r="U8" s="1291">
        <f t="shared" si="1"/>
        <v>100</v>
      </c>
      <c r="V8" s="1290" t="s">
        <v>1045</v>
      </c>
      <c r="W8" s="1291">
        <f t="shared" si="2"/>
        <v>100</v>
      </c>
      <c r="X8" s="1292"/>
      <c r="Y8" s="1242" t="s">
        <v>1049</v>
      </c>
      <c r="Z8" s="1293"/>
      <c r="AA8" s="1310">
        <f t="shared" ref="AA8:AA46" si="3">D8/F8</f>
        <v>1</v>
      </c>
      <c r="AB8" s="1310">
        <f t="shared" ref="AB8:AB46" si="4">D8/H8</f>
        <v>1</v>
      </c>
      <c r="AC8" s="1310">
        <f t="shared" ref="AC8:AC46" si="5">D8/J8</f>
        <v>1</v>
      </c>
    </row>
    <row r="9" s="1080" customFormat="1" spans="1:29">
      <c r="A9" s="1122" t="s">
        <v>1050</v>
      </c>
      <c r="B9" s="1123" t="s">
        <v>1051</v>
      </c>
      <c r="C9" s="2307" t="s">
        <v>461</v>
      </c>
      <c r="D9" s="1125">
        <v>100</v>
      </c>
      <c r="E9" s="1591" t="s">
        <v>461</v>
      </c>
      <c r="F9" s="1665">
        <f>SUMIF(63:63,E9,64:64)-SUMIF(63:63,C9,64:64)+100</f>
        <v>100</v>
      </c>
      <c r="G9" s="1590" t="s">
        <v>461</v>
      </c>
      <c r="H9" s="1125">
        <f>SUMIF(63:63,G9,64:64)-SUMIF(63:63,C9,64:64)+100</f>
        <v>100</v>
      </c>
      <c r="I9" s="1590" t="s">
        <v>461</v>
      </c>
      <c r="J9" s="1125">
        <f>SUMIF(63:63,I9,64:64)-SUMIF(63:63,C9,64:64)+100</f>
        <v>100</v>
      </c>
      <c r="K9" s="2321"/>
      <c r="L9" s="1235"/>
      <c r="M9" s="1241"/>
      <c r="N9" s="1241"/>
      <c r="O9" s="1241"/>
      <c r="P9" s="1686" t="s">
        <v>1052</v>
      </c>
      <c r="Q9" s="1294" t="str">
        <f t="shared" ref="Q9:Q15" si="6">B9</f>
        <v>用途</v>
      </c>
      <c r="R9" s="1290" t="s">
        <v>1045</v>
      </c>
      <c r="S9" s="1291">
        <f t="shared" si="0"/>
        <v>100</v>
      </c>
      <c r="T9" s="1290" t="s">
        <v>1045</v>
      </c>
      <c r="U9" s="1291">
        <f t="shared" si="1"/>
        <v>100</v>
      </c>
      <c r="V9" s="1290" t="s">
        <v>1045</v>
      </c>
      <c r="W9" s="1291">
        <f t="shared" si="2"/>
        <v>100</v>
      </c>
      <c r="X9" s="1292"/>
      <c r="Y9" s="1294" t="s">
        <v>1053</v>
      </c>
      <c r="Z9" s="1311" t="str">
        <f t="shared" ref="Z9:Z15" si="7">Q9</f>
        <v>用途</v>
      </c>
      <c r="AA9" s="1310">
        <f t="shared" si="3"/>
        <v>1</v>
      </c>
      <c r="AB9" s="1310">
        <f t="shared" si="4"/>
        <v>1</v>
      </c>
      <c r="AC9" s="1310">
        <f t="shared" si="5"/>
        <v>1</v>
      </c>
    </row>
    <row r="10" s="1081" customFormat="1" ht="27" spans="1:29">
      <c r="A10" s="1126"/>
      <c r="B10" s="1127" t="s">
        <v>1054</v>
      </c>
      <c r="C10" s="1592" t="s">
        <v>1055</v>
      </c>
      <c r="D10" s="1129">
        <v>100</v>
      </c>
      <c r="E10" s="1593" t="s">
        <v>1055</v>
      </c>
      <c r="F10" s="1611">
        <f>SUMIF(65:65,E10,66:66)-SUMIF(65:65,C10,66:66)+100</f>
        <v>100</v>
      </c>
      <c r="G10" s="1592" t="s">
        <v>1055</v>
      </c>
      <c r="H10" s="1129">
        <f>SUMIF(65:65,G10,66:66)-SUMIF(65:65,C10,66:66)+100</f>
        <v>100</v>
      </c>
      <c r="I10" s="1592" t="s">
        <v>1055</v>
      </c>
      <c r="J10" s="1129">
        <f>SUMIF(65:65,I10,66:66)-SUMIF(65:65,C10,66:66)+100</f>
        <v>100</v>
      </c>
      <c r="K10" s="2322"/>
      <c r="L10" s="1245"/>
      <c r="M10" s="1246"/>
      <c r="N10" s="1246"/>
      <c r="O10" s="1246"/>
      <c r="P10" s="1686"/>
      <c r="Q10" s="1294" t="str">
        <f t="shared" si="6"/>
        <v>土地使用年限（年）</v>
      </c>
      <c r="R10" s="1290" t="s">
        <v>1045</v>
      </c>
      <c r="S10" s="1291">
        <f t="shared" si="0"/>
        <v>100</v>
      </c>
      <c r="T10" s="1290" t="s">
        <v>1045</v>
      </c>
      <c r="U10" s="1291">
        <f t="shared" si="1"/>
        <v>100</v>
      </c>
      <c r="V10" s="1290" t="s">
        <v>1045</v>
      </c>
      <c r="W10" s="1291">
        <f t="shared" si="2"/>
        <v>100</v>
      </c>
      <c r="X10" s="1292"/>
      <c r="Y10" s="1294"/>
      <c r="Z10" s="1311" t="str">
        <f t="shared" si="7"/>
        <v>土地使用年限（年）</v>
      </c>
      <c r="AA10" s="1310">
        <f t="shared" si="3"/>
        <v>1</v>
      </c>
      <c r="AB10" s="1310">
        <f t="shared" si="4"/>
        <v>1</v>
      </c>
      <c r="AC10" s="1310">
        <f t="shared" si="5"/>
        <v>1</v>
      </c>
    </row>
    <row r="11" ht="15" spans="1:29">
      <c r="A11" s="504"/>
      <c r="B11" s="1127" t="s">
        <v>1056</v>
      </c>
      <c r="C11" s="1132"/>
      <c r="D11" s="1129">
        <v>100</v>
      </c>
      <c r="E11" s="1133"/>
      <c r="F11" s="1611">
        <f>LOOKUP(E11,68:68,69:69)-LOOKUP(C11,68:68,69:69)+100</f>
        <v>100</v>
      </c>
      <c r="G11" s="1132"/>
      <c r="H11" s="1129">
        <f>LOOKUP(G11,68:68,69:69)-LOOKUP(C11,68:68,69:69)+100</f>
        <v>100</v>
      </c>
      <c r="I11" s="1132"/>
      <c r="J11" s="1129">
        <f>LOOKUP(I11,68:68,69:69)-LOOKUP(C11,68:68,69:69)+100</f>
        <v>100</v>
      </c>
      <c r="K11" s="2322"/>
      <c r="L11" s="1249"/>
      <c r="M11" s="1236"/>
      <c r="N11" s="1236"/>
      <c r="O11" s="1236"/>
      <c r="P11" s="1686"/>
      <c r="Q11" s="1294" t="str">
        <f t="shared" si="6"/>
        <v>容积率</v>
      </c>
      <c r="R11" s="1290" t="s">
        <v>1045</v>
      </c>
      <c r="S11" s="1291">
        <f t="shared" si="0"/>
        <v>100</v>
      </c>
      <c r="T11" s="1290" t="s">
        <v>1045</v>
      </c>
      <c r="U11" s="1291">
        <f t="shared" si="1"/>
        <v>100</v>
      </c>
      <c r="V11" s="1290" t="s">
        <v>1045</v>
      </c>
      <c r="W11" s="1291">
        <f t="shared" si="2"/>
        <v>100</v>
      </c>
      <c r="X11" s="1292"/>
      <c r="Y11" s="1294"/>
      <c r="Z11" s="1311" t="str">
        <f t="shared" si="7"/>
        <v>容积率</v>
      </c>
      <c r="AA11" s="1310">
        <f t="shared" si="3"/>
        <v>1</v>
      </c>
      <c r="AB11" s="1310">
        <f t="shared" si="4"/>
        <v>1</v>
      </c>
      <c r="AC11" s="1310">
        <f t="shared" si="5"/>
        <v>1</v>
      </c>
    </row>
    <row r="12" s="1080" customFormat="1" ht="15" spans="1:29">
      <c r="A12" s="1134"/>
      <c r="B12" s="1135">
        <v>111</v>
      </c>
      <c r="C12" s="1128"/>
      <c r="D12" s="1136">
        <v>100</v>
      </c>
      <c r="E12" s="1128"/>
      <c r="F12" s="1611">
        <f>SUMIF(70:70,E12,71:71)-SUMIF(70:70,C12,71:71)+100</f>
        <v>100</v>
      </c>
      <c r="G12" s="1128"/>
      <c r="H12" s="1129">
        <f>SUMIF(70:70,G12,71:71)-SUMIF(70:70,C12,71:71)+100</f>
        <v>100</v>
      </c>
      <c r="I12" s="1128"/>
      <c r="J12" s="1129">
        <f>SUMIF(70:70,I12,71:71)-SUMIF(70:70,C12,71:71)+100</f>
        <v>100</v>
      </c>
      <c r="K12" s="2323"/>
      <c r="L12" s="1235"/>
      <c r="M12" s="1241"/>
      <c r="N12" s="1241"/>
      <c r="O12" s="1241"/>
      <c r="P12" s="1686"/>
      <c r="Q12" s="1294">
        <f t="shared" si="6"/>
        <v>111</v>
      </c>
      <c r="R12" s="1290" t="s">
        <v>1045</v>
      </c>
      <c r="S12" s="1291">
        <f t="shared" si="0"/>
        <v>100</v>
      </c>
      <c r="T12" s="1290" t="s">
        <v>1045</v>
      </c>
      <c r="U12" s="1291">
        <f t="shared" si="1"/>
        <v>100</v>
      </c>
      <c r="V12" s="1290" t="s">
        <v>1045</v>
      </c>
      <c r="W12" s="1291">
        <f t="shared" si="2"/>
        <v>100</v>
      </c>
      <c r="X12" s="1292"/>
      <c r="Y12" s="1294"/>
      <c r="Z12" s="1311">
        <f t="shared" si="7"/>
        <v>111</v>
      </c>
      <c r="AA12" s="1310">
        <f t="shared" si="3"/>
        <v>1</v>
      </c>
      <c r="AB12" s="1310">
        <f t="shared" si="4"/>
        <v>1</v>
      </c>
      <c r="AC12" s="1310">
        <f t="shared" si="5"/>
        <v>1</v>
      </c>
    </row>
    <row r="13" ht="15" spans="1:29">
      <c r="A13" s="504"/>
      <c r="B13" s="1135">
        <v>111</v>
      </c>
      <c r="C13" s="1137"/>
      <c r="D13" s="1138">
        <v>100</v>
      </c>
      <c r="E13" s="1137"/>
      <c r="F13" s="1611">
        <f>SUMIF(72:72,E13,73:73)-SUMIF(72:72,C13,73:73)+100</f>
        <v>100</v>
      </c>
      <c r="G13" s="1137"/>
      <c r="H13" s="1138">
        <f>SUMIF(72:72,G13,73:73)-SUMIF(72:72,C13,73:73)+100</f>
        <v>100</v>
      </c>
      <c r="I13" s="1137"/>
      <c r="J13" s="1138">
        <f>SUMIF(72:72,I13,73:73)-SUMIF(72:72,C13,73:73)+100</f>
        <v>100</v>
      </c>
      <c r="K13" s="2323"/>
      <c r="L13" s="1251"/>
      <c r="M13" s="1236"/>
      <c r="N13" s="1236"/>
      <c r="O13" s="1236"/>
      <c r="P13" s="1686"/>
      <c r="Q13" s="1294">
        <f t="shared" si="6"/>
        <v>111</v>
      </c>
      <c r="R13" s="1290" t="s">
        <v>1045</v>
      </c>
      <c r="S13" s="1291">
        <f t="shared" si="0"/>
        <v>100</v>
      </c>
      <c r="T13" s="1290" t="s">
        <v>1045</v>
      </c>
      <c r="U13" s="1291">
        <f t="shared" si="1"/>
        <v>100</v>
      </c>
      <c r="V13" s="1290" t="s">
        <v>1045</v>
      </c>
      <c r="W13" s="1291">
        <f t="shared" si="2"/>
        <v>100</v>
      </c>
      <c r="X13" s="1292"/>
      <c r="Y13" s="1294"/>
      <c r="Z13" s="1311">
        <f t="shared" si="7"/>
        <v>111</v>
      </c>
      <c r="AA13" s="1310">
        <f t="shared" si="3"/>
        <v>1</v>
      </c>
      <c r="AB13" s="1310">
        <f t="shared" si="4"/>
        <v>1</v>
      </c>
      <c r="AC13" s="1310">
        <f t="shared" si="5"/>
        <v>1</v>
      </c>
    </row>
    <row r="14" ht="15.75" spans="1:29">
      <c r="A14" s="1141"/>
      <c r="B14" s="1142">
        <v>111</v>
      </c>
      <c r="C14" s="1143"/>
      <c r="D14" s="1144">
        <v>100</v>
      </c>
      <c r="E14" s="1143"/>
      <c r="F14" s="1616">
        <f>SUMIF(74:74,E14,75:75)-SUMIF(74:74,C14,75:75)+100</f>
        <v>100</v>
      </c>
      <c r="G14" s="1143"/>
      <c r="H14" s="1144">
        <f>SUMIF(74:74,G14,75:75)-SUMIF(74:74,C14,75:75)+100</f>
        <v>100</v>
      </c>
      <c r="I14" s="1143"/>
      <c r="J14" s="1144">
        <f>SUMIF(74:74,I14,75:75)-SUMIF(74:74,C14,75:75)+100</f>
        <v>100</v>
      </c>
      <c r="K14" s="2323"/>
      <c r="L14" s="1251"/>
      <c r="M14" s="1236"/>
      <c r="N14" s="1236"/>
      <c r="O14" s="1236"/>
      <c r="P14" s="1686"/>
      <c r="Q14" s="1294">
        <f t="shared" si="6"/>
        <v>111</v>
      </c>
      <c r="R14" s="1290" t="s">
        <v>1045</v>
      </c>
      <c r="S14" s="1291">
        <f t="shared" si="0"/>
        <v>100</v>
      </c>
      <c r="T14" s="1290" t="s">
        <v>1045</v>
      </c>
      <c r="U14" s="1291">
        <f t="shared" si="1"/>
        <v>100</v>
      </c>
      <c r="V14" s="1290" t="s">
        <v>1045</v>
      </c>
      <c r="W14" s="1291">
        <f t="shared" si="2"/>
        <v>100</v>
      </c>
      <c r="X14" s="1292"/>
      <c r="Y14" s="1294"/>
      <c r="Z14" s="1311">
        <f t="shared" si="7"/>
        <v>111</v>
      </c>
      <c r="AA14" s="1310">
        <f t="shared" si="3"/>
        <v>1</v>
      </c>
      <c r="AB14" s="1310">
        <f t="shared" si="4"/>
        <v>1</v>
      </c>
      <c r="AC14" s="1310">
        <f t="shared" si="5"/>
        <v>1</v>
      </c>
    </row>
    <row r="15" ht="94.5" spans="1:29">
      <c r="A15" s="480" t="s">
        <v>1057</v>
      </c>
      <c r="B15" s="1666" t="s">
        <v>205</v>
      </c>
      <c r="C15" s="1667" t="str">
        <f>估价对象房地状况!C3</f>
        <v>估价对象周边居住用地比例、居住小区规模和社区发展完善程度，综合评价居住社区成熟度一般</v>
      </c>
      <c r="D15" s="1147">
        <v>100</v>
      </c>
      <c r="E15" s="1148"/>
      <c r="F15" s="1668">
        <f>SUMIF(76:76,E16,77:77)-SUMIF(76:76,C16,77:77)+100</f>
        <v>100</v>
      </c>
      <c r="G15" s="1252"/>
      <c r="H15" s="1147">
        <f>SUMIF(76:76,G16,77:77)-SUMIF(76:76,C16,77:77)+100</f>
        <v>100</v>
      </c>
      <c r="I15" s="1148"/>
      <c r="J15" s="1147">
        <f>SUMIF(76:76,I16,77:77)-SUMIF(76:76,C16,77:77)+100</f>
        <v>100</v>
      </c>
      <c r="K15" s="2324"/>
      <c r="L15" s="1251"/>
      <c r="M15" s="1236"/>
      <c r="N15" s="1236"/>
      <c r="O15" s="1236"/>
      <c r="P15" s="490" t="s">
        <v>1058</v>
      </c>
      <c r="Q15" s="491" t="str">
        <f t="shared" si="6"/>
        <v>居住社区成熟度</v>
      </c>
      <c r="R15" s="1295" t="s">
        <v>1045</v>
      </c>
      <c r="S15" s="1296">
        <f t="shared" si="0"/>
        <v>100</v>
      </c>
      <c r="T15" s="1295" t="s">
        <v>1045</v>
      </c>
      <c r="U15" s="1296">
        <f t="shared" si="1"/>
        <v>100</v>
      </c>
      <c r="V15" s="1295" t="s">
        <v>1045</v>
      </c>
      <c r="W15" s="1296">
        <f t="shared" si="2"/>
        <v>100</v>
      </c>
      <c r="X15" s="1282"/>
      <c r="Y15" s="1253" t="s">
        <v>1058</v>
      </c>
      <c r="Z15" s="1281" t="str">
        <f t="shared" si="7"/>
        <v>居住社区成熟度</v>
      </c>
      <c r="AA15" s="1312">
        <f t="shared" si="3"/>
        <v>1</v>
      </c>
      <c r="AB15" s="1312">
        <f t="shared" si="4"/>
        <v>1</v>
      </c>
      <c r="AC15" s="1312">
        <f t="shared" si="5"/>
        <v>1</v>
      </c>
    </row>
    <row r="16" ht="15" spans="1:29">
      <c r="A16" s="504"/>
      <c r="B16" s="1669"/>
      <c r="C16" s="1258" t="s">
        <v>1059</v>
      </c>
      <c r="D16" s="1151"/>
      <c r="E16" s="1152" t="s">
        <v>1059</v>
      </c>
      <c r="F16" s="1670"/>
      <c r="G16" s="1169" t="s">
        <v>1059</v>
      </c>
      <c r="H16" s="1153"/>
      <c r="I16" s="1152" t="s">
        <v>1059</v>
      </c>
      <c r="J16" s="1151"/>
      <c r="K16" s="2325"/>
      <c r="L16" s="1251"/>
      <c r="M16" s="1236"/>
      <c r="N16" s="1236"/>
      <c r="O16" s="1236"/>
      <c r="P16" s="1687"/>
      <c r="Q16" s="491"/>
      <c r="R16" s="1295"/>
      <c r="S16" s="1296"/>
      <c r="T16" s="1295"/>
      <c r="U16" s="1296"/>
      <c r="V16" s="1295"/>
      <c r="W16" s="1296"/>
      <c r="X16" s="1282"/>
      <c r="Y16" s="1254"/>
      <c r="Z16" s="1281"/>
      <c r="AA16" s="1312">
        <v>1</v>
      </c>
      <c r="AB16" s="1312">
        <v>1</v>
      </c>
      <c r="AC16" s="1312">
        <v>1</v>
      </c>
    </row>
    <row r="17" ht="81" spans="1:29">
      <c r="A17" s="504"/>
      <c r="B17" s="1671" t="s">
        <v>209</v>
      </c>
      <c r="C17" s="1672" t="str">
        <f>估价对象房地状况!C6</f>
        <v>估价对象周边道路状况、公共交通通达情况、停车便捷程度，综合评价交通便捷度较好</v>
      </c>
      <c r="D17" s="1153">
        <v>100</v>
      </c>
      <c r="E17" s="1156"/>
      <c r="F17" s="1673">
        <f>SUMIF(78:78,E18,79:79)-SUMIF(78:78,C18,79:79)+100</f>
        <v>100</v>
      </c>
      <c r="G17" s="1166"/>
      <c r="H17" s="1157">
        <f>SUMIF(78:78,G18,79:79)-SUMIF(78:78,C18,79:79)+100</f>
        <v>100</v>
      </c>
      <c r="I17" s="1156"/>
      <c r="J17" s="1157">
        <f>SUMIF(78:78,I18,79:79)-SUMIF(78:78,C18,79:79)+100</f>
        <v>100</v>
      </c>
      <c r="K17" s="2324"/>
      <c r="L17" s="1251"/>
      <c r="M17" s="1236"/>
      <c r="N17" s="1236"/>
      <c r="O17" s="1236"/>
      <c r="P17" s="1687"/>
      <c r="Q17" s="491" t="str">
        <f>B17</f>
        <v>交通便捷度</v>
      </c>
      <c r="R17" s="1295" t="s">
        <v>1045</v>
      </c>
      <c r="S17" s="1296">
        <f>F17</f>
        <v>100</v>
      </c>
      <c r="T17" s="1295" t="s">
        <v>1045</v>
      </c>
      <c r="U17" s="1296">
        <f>H17</f>
        <v>100</v>
      </c>
      <c r="V17" s="1295" t="s">
        <v>1045</v>
      </c>
      <c r="W17" s="1296">
        <f>J17</f>
        <v>100</v>
      </c>
      <c r="X17" s="1282"/>
      <c r="Y17" s="1254"/>
      <c r="Z17" s="1281" t="str">
        <f>Q17</f>
        <v>交通便捷度</v>
      </c>
      <c r="AA17" s="1312">
        <f t="shared" si="3"/>
        <v>1</v>
      </c>
      <c r="AB17" s="1312">
        <f t="shared" si="4"/>
        <v>1</v>
      </c>
      <c r="AC17" s="1312">
        <f t="shared" si="5"/>
        <v>1</v>
      </c>
    </row>
    <row r="18" ht="15" spans="1:29">
      <c r="A18" s="504"/>
      <c r="B18" s="1182"/>
      <c r="C18" s="1674" t="s">
        <v>1059</v>
      </c>
      <c r="D18" s="1153"/>
      <c r="E18" s="1160" t="s">
        <v>1059</v>
      </c>
      <c r="F18" s="1673"/>
      <c r="G18" s="1255" t="s">
        <v>1059</v>
      </c>
      <c r="H18" s="1151"/>
      <c r="I18" s="1160" t="s">
        <v>1059</v>
      </c>
      <c r="J18" s="1151"/>
      <c r="K18" s="2325"/>
      <c r="L18" s="1251"/>
      <c r="M18" s="1236"/>
      <c r="N18" s="1236"/>
      <c r="O18" s="1236"/>
      <c r="P18" s="1687"/>
      <c r="Q18" s="491"/>
      <c r="R18" s="1295"/>
      <c r="S18" s="1296"/>
      <c r="T18" s="1295"/>
      <c r="U18" s="1296"/>
      <c r="V18" s="1295"/>
      <c r="W18" s="1296"/>
      <c r="X18" s="1282"/>
      <c r="Y18" s="1254"/>
      <c r="Z18" s="1281"/>
      <c r="AA18" s="1312">
        <v>1</v>
      </c>
      <c r="AB18" s="1312">
        <v>1</v>
      </c>
      <c r="AC18" s="1312">
        <v>1</v>
      </c>
    </row>
    <row r="19" ht="40.5" spans="1:29">
      <c r="A19" s="504"/>
      <c r="B19" s="1671" t="s">
        <v>211</v>
      </c>
      <c r="C19" s="1672" t="str">
        <f>估价对象房地状况!C7</f>
        <v>估价对象所在区域公共配套设施齐备情况</v>
      </c>
      <c r="D19" s="1157">
        <v>100</v>
      </c>
      <c r="E19" s="1161"/>
      <c r="F19" s="1675">
        <f>SUMIF(80:80,E20,81:81)-SUMIF(80:80,C20,81:81)+100</f>
        <v>100</v>
      </c>
      <c r="G19" s="1256"/>
      <c r="H19" s="1153">
        <f>SUMIF(80:80,G20,81:81)-SUMIF(80:80,C20,81:81)+100</f>
        <v>100</v>
      </c>
      <c r="I19" s="1161"/>
      <c r="J19" s="1153">
        <f>SUMIF(80:80,I20,81:81)-SUMIF(80:80,C20,81:81)+100</f>
        <v>100</v>
      </c>
      <c r="K19" s="2324"/>
      <c r="L19" s="1251"/>
      <c r="M19" s="1236"/>
      <c r="N19" s="1236"/>
      <c r="O19" s="1236"/>
      <c r="P19" s="1687"/>
      <c r="Q19" s="491" t="str">
        <f>B19</f>
        <v>公共配套设施</v>
      </c>
      <c r="R19" s="1295" t="s">
        <v>1045</v>
      </c>
      <c r="S19" s="1296">
        <f>F19</f>
        <v>100</v>
      </c>
      <c r="T19" s="1295" t="s">
        <v>1045</v>
      </c>
      <c r="U19" s="1296">
        <f>H19</f>
        <v>100</v>
      </c>
      <c r="V19" s="1295" t="s">
        <v>1045</v>
      </c>
      <c r="W19" s="1296">
        <f>J19</f>
        <v>100</v>
      </c>
      <c r="X19" s="1282"/>
      <c r="Y19" s="1254"/>
      <c r="Z19" s="1281" t="str">
        <f>Q19</f>
        <v>公共配套设施</v>
      </c>
      <c r="AA19" s="1312">
        <f t="shared" si="3"/>
        <v>1</v>
      </c>
      <c r="AB19" s="1312">
        <f t="shared" si="4"/>
        <v>1</v>
      </c>
      <c r="AC19" s="1312">
        <f t="shared" si="5"/>
        <v>1</v>
      </c>
    </row>
    <row r="20" ht="15" spans="1:29">
      <c r="A20" s="504"/>
      <c r="B20" s="1182"/>
      <c r="C20" s="1258" t="s">
        <v>1060</v>
      </c>
      <c r="D20" s="1151"/>
      <c r="E20" s="1152" t="s">
        <v>1060</v>
      </c>
      <c r="F20" s="1670"/>
      <c r="G20" s="1169" t="s">
        <v>1060</v>
      </c>
      <c r="H20" s="1151"/>
      <c r="I20" s="1152" t="s">
        <v>1060</v>
      </c>
      <c r="J20" s="1151"/>
      <c r="K20" s="2325"/>
      <c r="L20" s="1251"/>
      <c r="M20" s="1236"/>
      <c r="N20" s="1236"/>
      <c r="O20" s="1236"/>
      <c r="P20" s="1687"/>
      <c r="Q20" s="491"/>
      <c r="R20" s="1295"/>
      <c r="S20" s="1296"/>
      <c r="T20" s="1295"/>
      <c r="U20" s="1296"/>
      <c r="V20" s="1295"/>
      <c r="W20" s="1296"/>
      <c r="X20" s="1282"/>
      <c r="Y20" s="1254"/>
      <c r="Z20" s="1281"/>
      <c r="AA20" s="1312">
        <v>1</v>
      </c>
      <c r="AB20" s="1312">
        <v>1</v>
      </c>
      <c r="AC20" s="1312">
        <v>1</v>
      </c>
    </row>
    <row r="21" ht="27" spans="1:29">
      <c r="A21" s="504"/>
      <c r="B21" s="1676" t="s">
        <v>212</v>
      </c>
      <c r="C21" s="1672" t="str">
        <f>估价对象房地状况!C8</f>
        <v>估价对象所在区域基础设施水平</v>
      </c>
      <c r="D21" s="1157">
        <v>100</v>
      </c>
      <c r="E21" s="1161"/>
      <c r="F21" s="1675">
        <f>SUMIF(82:82,E22,83:83)-SUMIF(82:82,C22,83:83)+100</f>
        <v>100</v>
      </c>
      <c r="G21" s="1256"/>
      <c r="H21" s="1153">
        <f>SUMIF(82:82,G22,83:83)-SUMIF(82:82,C22,83:83)+100</f>
        <v>100</v>
      </c>
      <c r="I21" s="1161"/>
      <c r="J21" s="1153">
        <f>SUMIF(82:82,I22,83:83)-SUMIF(82:82,C22,83:83)+100</f>
        <v>100</v>
      </c>
      <c r="K21" s="2324"/>
      <c r="L21" s="1251"/>
      <c r="M21" s="1236"/>
      <c r="N21" s="1236"/>
      <c r="O21" s="1236"/>
      <c r="P21" s="1687"/>
      <c r="Q21" s="491" t="str">
        <f>B21</f>
        <v>基础设施水平</v>
      </c>
      <c r="R21" s="1295" t="s">
        <v>1045</v>
      </c>
      <c r="S21" s="1296">
        <f>F21</f>
        <v>100</v>
      </c>
      <c r="T21" s="1295" t="s">
        <v>1045</v>
      </c>
      <c r="U21" s="1296">
        <f>H21</f>
        <v>100</v>
      </c>
      <c r="V21" s="1295" t="s">
        <v>1045</v>
      </c>
      <c r="W21" s="1296">
        <f>J21</f>
        <v>100</v>
      </c>
      <c r="X21" s="1282"/>
      <c r="Y21" s="1254"/>
      <c r="Z21" s="1281" t="str">
        <f>Q21</f>
        <v>基础设施水平</v>
      </c>
      <c r="AA21" s="1312">
        <f t="shared" ref="AA21" si="8">D21/F21</f>
        <v>1</v>
      </c>
      <c r="AB21" s="1312">
        <f t="shared" ref="AB21" si="9">D21/H21</f>
        <v>1</v>
      </c>
      <c r="AC21" s="1312">
        <f t="shared" ref="AC21" si="10">D21/J21</f>
        <v>1</v>
      </c>
    </row>
    <row r="22" ht="15" spans="1:29">
      <c r="A22" s="504"/>
      <c r="B22" s="1676"/>
      <c r="C22" s="1674" t="s">
        <v>1061</v>
      </c>
      <c r="D22" s="1151"/>
      <c r="E22" s="1258" t="s">
        <v>1061</v>
      </c>
      <c r="F22" s="1670"/>
      <c r="G22" s="1258" t="s">
        <v>1061</v>
      </c>
      <c r="H22" s="1151"/>
      <c r="I22" s="1258" t="s">
        <v>1061</v>
      </c>
      <c r="J22" s="1151"/>
      <c r="K22" s="2326"/>
      <c r="L22" s="1251"/>
      <c r="M22" s="1236"/>
      <c r="N22" s="1236"/>
      <c r="O22" s="1236"/>
      <c r="P22" s="1687"/>
      <c r="Q22" s="491"/>
      <c r="R22" s="1295"/>
      <c r="S22" s="1296"/>
      <c r="T22" s="1295"/>
      <c r="U22" s="1296"/>
      <c r="V22" s="1295"/>
      <c r="W22" s="1296"/>
      <c r="X22" s="1282"/>
      <c r="Y22" s="1254"/>
      <c r="Z22" s="1281"/>
      <c r="AA22" s="1312">
        <v>1</v>
      </c>
      <c r="AB22" s="1312">
        <v>1</v>
      </c>
      <c r="AC22" s="1312">
        <v>1</v>
      </c>
    </row>
    <row r="23" ht="54" spans="1:29">
      <c r="A23" s="504"/>
      <c r="B23" s="1671" t="s">
        <v>1062</v>
      </c>
      <c r="C23" s="1672" t="str">
        <f>估价对象房地状况!C9</f>
        <v>区域自然环境：；人文环境；综合评价环境状况一般</v>
      </c>
      <c r="D23" s="1153">
        <v>100</v>
      </c>
      <c r="E23" s="1156"/>
      <c r="F23" s="1673">
        <f>SUMIF(84:84,E24,85:85)-SUMIF(84:84,C24,85:85)+100</f>
        <v>100</v>
      </c>
      <c r="G23" s="1166"/>
      <c r="H23" s="1153">
        <f>SUMIF(84:84,G24,85:85)-SUMIF(84:84,C24,85:85)+100</f>
        <v>100</v>
      </c>
      <c r="I23" s="1156"/>
      <c r="J23" s="1153">
        <f>SUMIF(84:84,I24,85:85)-SUMIF(84:84,C24,85:85)+100</f>
        <v>100</v>
      </c>
      <c r="K23" s="2324"/>
      <c r="L23" s="1251"/>
      <c r="M23" s="1236"/>
      <c r="N23" s="1236"/>
      <c r="O23" s="1236"/>
      <c r="P23" s="1687"/>
      <c r="Q23" s="491" t="str">
        <f>B23</f>
        <v>自然及人文环境</v>
      </c>
      <c r="R23" s="1295" t="s">
        <v>1045</v>
      </c>
      <c r="S23" s="1296">
        <f>F23</f>
        <v>100</v>
      </c>
      <c r="T23" s="1295" t="s">
        <v>1045</v>
      </c>
      <c r="U23" s="1296">
        <f>H23</f>
        <v>100</v>
      </c>
      <c r="V23" s="1295" t="s">
        <v>1045</v>
      </c>
      <c r="W23" s="1296">
        <f>J23</f>
        <v>100</v>
      </c>
      <c r="X23" s="1282"/>
      <c r="Y23" s="1254"/>
      <c r="Z23" s="1281" t="str">
        <f>Q23</f>
        <v>自然及人文环境</v>
      </c>
      <c r="AA23" s="1312">
        <f t="shared" si="3"/>
        <v>1</v>
      </c>
      <c r="AB23" s="1312">
        <f t="shared" si="4"/>
        <v>1</v>
      </c>
      <c r="AC23" s="1312">
        <f t="shared" si="5"/>
        <v>1</v>
      </c>
    </row>
    <row r="24" ht="15" spans="1:29">
      <c r="A24" s="504"/>
      <c r="B24" s="1182"/>
      <c r="C24" s="1258" t="s">
        <v>1059</v>
      </c>
      <c r="D24" s="1151"/>
      <c r="E24" s="1152" t="s">
        <v>1059</v>
      </c>
      <c r="F24" s="1670"/>
      <c r="G24" s="1169" t="s">
        <v>1059</v>
      </c>
      <c r="H24" s="1151"/>
      <c r="I24" s="1152" t="s">
        <v>1059</v>
      </c>
      <c r="J24" s="1151"/>
      <c r="K24" s="2325"/>
      <c r="L24" s="1251"/>
      <c r="M24" s="1236"/>
      <c r="N24" s="1236"/>
      <c r="O24" s="1236"/>
      <c r="P24" s="1687"/>
      <c r="Q24" s="491"/>
      <c r="R24" s="1295"/>
      <c r="S24" s="1296"/>
      <c r="T24" s="1295"/>
      <c r="U24" s="1296"/>
      <c r="V24" s="1295"/>
      <c r="W24" s="1296"/>
      <c r="X24" s="1282"/>
      <c r="Y24" s="1254"/>
      <c r="Z24" s="1281"/>
      <c r="AA24" s="1312">
        <v>1</v>
      </c>
      <c r="AB24" s="1312">
        <v>1</v>
      </c>
      <c r="AC24" s="1312">
        <v>1</v>
      </c>
    </row>
    <row r="25" ht="15" spans="1:29">
      <c r="A25" s="504"/>
      <c r="B25" s="1127" t="s">
        <v>1063</v>
      </c>
      <c r="C25" s="1612"/>
      <c r="D25" s="1138">
        <v>100</v>
      </c>
      <c r="E25" s="2308"/>
      <c r="F25" s="1609">
        <f>SUMIF(86:86,E25,87:87)-SUMIF(86:86,C25,87:87)+100</f>
        <v>100</v>
      </c>
      <c r="G25" s="1186"/>
      <c r="H25" s="1138">
        <f>SUMIF(86:86,G25,87:87)-SUMIF(86:86,C25,87:87)+100</f>
        <v>100</v>
      </c>
      <c r="I25" s="2308"/>
      <c r="J25" s="1138">
        <f>SUMIF(86:86,I25,87:87)-SUMIF(86:86,C25,87:87)+100</f>
        <v>100</v>
      </c>
      <c r="K25" s="2322"/>
      <c r="L25" s="1251"/>
      <c r="M25" s="1236"/>
      <c r="N25" s="1236"/>
      <c r="O25" s="1236"/>
      <c r="P25" s="1687"/>
      <c r="Q25" s="491" t="str">
        <f t="shared" ref="Q25:Q46" si="11">B25</f>
        <v>楼层-1</v>
      </c>
      <c r="R25" s="1295" t="s">
        <v>1045</v>
      </c>
      <c r="S25" s="1296">
        <f>F25</f>
        <v>100</v>
      </c>
      <c r="T25" s="1295" t="s">
        <v>1045</v>
      </c>
      <c r="U25" s="1296">
        <f>H25</f>
        <v>100</v>
      </c>
      <c r="V25" s="1295" t="s">
        <v>1045</v>
      </c>
      <c r="W25" s="1296">
        <f>J25</f>
        <v>100</v>
      </c>
      <c r="X25" s="1282"/>
      <c r="Y25" s="1254"/>
      <c r="Z25" s="1281" t="str">
        <f>Q25</f>
        <v>楼层-1</v>
      </c>
      <c r="AA25" s="1312">
        <f t="shared" si="3"/>
        <v>1</v>
      </c>
      <c r="AB25" s="1312">
        <f t="shared" si="4"/>
        <v>1</v>
      </c>
      <c r="AC25" s="1312">
        <f t="shared" si="5"/>
        <v>1</v>
      </c>
    </row>
    <row r="26" ht="15" spans="1:29">
      <c r="A26" s="504"/>
      <c r="B26" s="1127" t="s">
        <v>1064</v>
      </c>
      <c r="C26" s="1612" t="s">
        <v>1065</v>
      </c>
      <c r="D26" s="1138">
        <v>100</v>
      </c>
      <c r="E26" s="2308" t="s">
        <v>1065</v>
      </c>
      <c r="F26" s="1609">
        <f>SUMIF(88:88,E26,89:89)-SUMIF(88:88,C26,89:89)+100</f>
        <v>100</v>
      </c>
      <c r="G26" s="1186" t="s">
        <v>1065</v>
      </c>
      <c r="H26" s="1138">
        <f>SUMIF(88:88,G26,89:89)-SUMIF(88:88,C26,89:89)+100</f>
        <v>100</v>
      </c>
      <c r="I26" s="2308" t="s">
        <v>1066</v>
      </c>
      <c r="J26" s="1138">
        <f>SUMIF(88:88,I26,89:89)-SUMIF(88:88,C26,89:89)+100</f>
        <v>100.5</v>
      </c>
      <c r="K26" s="2322">
        <v>0.5</v>
      </c>
      <c r="L26" s="1251"/>
      <c r="M26" s="1236"/>
      <c r="N26" s="1236"/>
      <c r="O26" s="1236"/>
      <c r="P26" s="1687"/>
      <c r="Q26" s="491" t="str">
        <f t="shared" si="11"/>
        <v>朝向</v>
      </c>
      <c r="R26" s="1295" t="s">
        <v>1045</v>
      </c>
      <c r="S26" s="1296">
        <f>F26</f>
        <v>100</v>
      </c>
      <c r="T26" s="1295" t="s">
        <v>1045</v>
      </c>
      <c r="U26" s="1296">
        <f>H26</f>
        <v>100</v>
      </c>
      <c r="V26" s="1295" t="s">
        <v>1045</v>
      </c>
      <c r="W26" s="1296">
        <f>J26</f>
        <v>100.5</v>
      </c>
      <c r="X26" s="1282"/>
      <c r="Y26" s="1254"/>
      <c r="Z26" s="1281" t="str">
        <f>Q26</f>
        <v>朝向</v>
      </c>
      <c r="AA26" s="1312">
        <f t="shared" si="3"/>
        <v>1</v>
      </c>
      <c r="AB26" s="1312">
        <f t="shared" si="4"/>
        <v>1</v>
      </c>
      <c r="AC26" s="1312">
        <f t="shared" si="5"/>
        <v>0.995024875621891</v>
      </c>
    </row>
    <row r="27" s="1080" customFormat="1" ht="15" spans="1:29">
      <c r="A27" s="1134"/>
      <c r="B27" s="2309" t="s">
        <v>1067</v>
      </c>
      <c r="C27" s="1128" t="s">
        <v>1068</v>
      </c>
      <c r="D27" s="1603">
        <v>100</v>
      </c>
      <c r="E27" s="2310" t="s">
        <v>1069</v>
      </c>
      <c r="F27" s="1678">
        <f>SUMIF(90:90,E27,91:91)-SUMIF(90:90,C27,91:91)+100</f>
        <v>100</v>
      </c>
      <c r="G27" s="1128" t="s">
        <v>1068</v>
      </c>
      <c r="H27" s="1603">
        <f>SUMIF(90:90,G27,91:91)-SUMIF(90:90,C27,91:91)+100</f>
        <v>100</v>
      </c>
      <c r="I27" s="1128" t="s">
        <v>1068</v>
      </c>
      <c r="J27" s="1603">
        <f>SUMIF(90:90,I27,91:91)-SUMIF(90:90,C27,91:91)+100</f>
        <v>100</v>
      </c>
      <c r="K27" s="2323"/>
      <c r="L27" s="1235"/>
      <c r="M27" s="1241"/>
      <c r="N27" s="1241"/>
      <c r="O27" s="1241"/>
      <c r="P27" s="1687"/>
      <c r="Q27" s="1294" t="str">
        <f t="shared" si="11"/>
        <v>楼层</v>
      </c>
      <c r="R27" s="1290" t="s">
        <v>1045</v>
      </c>
      <c r="S27" s="1291">
        <f>F27</f>
        <v>100</v>
      </c>
      <c r="T27" s="1290" t="s">
        <v>1045</v>
      </c>
      <c r="U27" s="1291">
        <f>H27</f>
        <v>100</v>
      </c>
      <c r="V27" s="1290" t="s">
        <v>1045</v>
      </c>
      <c r="W27" s="1291">
        <f>J27</f>
        <v>100</v>
      </c>
      <c r="X27" s="1292"/>
      <c r="Y27" s="1254"/>
      <c r="Z27" s="1311" t="str">
        <f>Q27</f>
        <v>楼层</v>
      </c>
      <c r="AA27" s="1312">
        <f t="shared" si="3"/>
        <v>1</v>
      </c>
      <c r="AB27" s="1312">
        <f t="shared" si="4"/>
        <v>1</v>
      </c>
      <c r="AC27" s="1312">
        <f t="shared" si="5"/>
        <v>1</v>
      </c>
    </row>
    <row r="28" ht="15" spans="1:29">
      <c r="A28" s="504"/>
      <c r="B28" s="1614">
        <v>111</v>
      </c>
      <c r="C28" s="1137"/>
      <c r="D28" s="1138">
        <v>100</v>
      </c>
      <c r="E28" s="1137"/>
      <c r="F28" s="1609">
        <f>SUMIF(92:92,E28,93:93)-SUMIF(92:92,C28,93:93)+100</f>
        <v>100</v>
      </c>
      <c r="G28" s="1137"/>
      <c r="H28" s="1138">
        <f>SUMIF(92:92,G28,93:93)-SUMIF(92:92,C28,93:93)+100</f>
        <v>100</v>
      </c>
      <c r="I28" s="1137"/>
      <c r="J28" s="1138">
        <f>SUMIF(92:92,I28,93:93)-SUMIF(92:92,C28,93:93)+100</f>
        <v>100</v>
      </c>
      <c r="K28" s="2323"/>
      <c r="L28" s="1251"/>
      <c r="M28" s="1236"/>
      <c r="N28" s="1236"/>
      <c r="O28" s="1236"/>
      <c r="P28" s="1687"/>
      <c r="Q28" s="491">
        <f t="shared" si="11"/>
        <v>111</v>
      </c>
      <c r="R28" s="1295" t="s">
        <v>1045</v>
      </c>
      <c r="S28" s="1296">
        <f t="shared" ref="S28:S46" si="12">F28</f>
        <v>100</v>
      </c>
      <c r="T28" s="1295" t="s">
        <v>1045</v>
      </c>
      <c r="U28" s="1296">
        <f t="shared" ref="U28:U46" si="13">H28</f>
        <v>100</v>
      </c>
      <c r="V28" s="1295" t="s">
        <v>1045</v>
      </c>
      <c r="W28" s="1296">
        <f t="shared" ref="W28:W46" si="14">J28</f>
        <v>100</v>
      </c>
      <c r="X28" s="1282"/>
      <c r="Y28" s="1254"/>
      <c r="Z28" s="1281">
        <f t="shared" ref="Z28:Z46" si="15">Q28</f>
        <v>111</v>
      </c>
      <c r="AA28" s="1312">
        <f t="shared" si="3"/>
        <v>1</v>
      </c>
      <c r="AB28" s="1312">
        <f t="shared" si="4"/>
        <v>1</v>
      </c>
      <c r="AC28" s="1312">
        <f t="shared" si="5"/>
        <v>1</v>
      </c>
    </row>
    <row r="29" ht="15" spans="1:29">
      <c r="A29" s="504"/>
      <c r="B29" s="1614">
        <v>111</v>
      </c>
      <c r="C29" s="1137"/>
      <c r="D29" s="1138">
        <v>100</v>
      </c>
      <c r="E29" s="1137"/>
      <c r="F29" s="1609">
        <f>SUMIF(94:94,E29,95:95)-SUMIF(94:94,C29,95:95)+100</f>
        <v>100</v>
      </c>
      <c r="G29" s="1137"/>
      <c r="H29" s="1138">
        <f>SUMIF(94:94,G29,95:95)-SUMIF(94:94,C29,95:95)+100</f>
        <v>100</v>
      </c>
      <c r="I29" s="1137"/>
      <c r="J29" s="1138">
        <f>SUMIF(94:94,I29,95:95)-SUMIF(94:94,C29,95:95)+100</f>
        <v>100</v>
      </c>
      <c r="K29" s="2323"/>
      <c r="L29" s="1251"/>
      <c r="M29" s="1236"/>
      <c r="N29" s="1236"/>
      <c r="O29" s="1236"/>
      <c r="P29" s="1687"/>
      <c r="Q29" s="491">
        <f t="shared" si="11"/>
        <v>111</v>
      </c>
      <c r="R29" s="1295" t="s">
        <v>1045</v>
      </c>
      <c r="S29" s="1296">
        <f t="shared" si="12"/>
        <v>100</v>
      </c>
      <c r="T29" s="1295" t="s">
        <v>1045</v>
      </c>
      <c r="U29" s="1296">
        <f t="shared" si="13"/>
        <v>100</v>
      </c>
      <c r="V29" s="1295" t="s">
        <v>1045</v>
      </c>
      <c r="W29" s="1296">
        <f t="shared" si="14"/>
        <v>100</v>
      </c>
      <c r="X29" s="1282"/>
      <c r="Y29" s="1254"/>
      <c r="Z29" s="1281">
        <f t="shared" si="15"/>
        <v>111</v>
      </c>
      <c r="AA29" s="1312">
        <f t="shared" si="3"/>
        <v>1</v>
      </c>
      <c r="AB29" s="1312">
        <f t="shared" si="4"/>
        <v>1</v>
      </c>
      <c r="AC29" s="1312">
        <f t="shared" si="5"/>
        <v>1</v>
      </c>
    </row>
    <row r="30" ht="15" spans="1:29">
      <c r="A30" s="504"/>
      <c r="B30" s="1614">
        <v>111</v>
      </c>
      <c r="C30" s="1137"/>
      <c r="D30" s="1138">
        <v>100</v>
      </c>
      <c r="E30" s="1137"/>
      <c r="F30" s="1609">
        <f>SUMIF(96:96,E30,97:97)-SUMIF(96:96,C30,97:97)+100</f>
        <v>100</v>
      </c>
      <c r="G30" s="1137"/>
      <c r="H30" s="1138">
        <f>SUMIF(96:96,G30,97:97)-SUMIF(96:96,C30,97:97)+100</f>
        <v>100</v>
      </c>
      <c r="I30" s="1137"/>
      <c r="J30" s="1138">
        <f>SUMIF(96:96,I30,97:97)-SUMIF(96:96,C30,97:97)+100</f>
        <v>100</v>
      </c>
      <c r="K30" s="2323"/>
      <c r="L30" s="1251"/>
      <c r="M30" s="1236"/>
      <c r="N30" s="1236"/>
      <c r="O30" s="1236"/>
      <c r="P30" s="1687"/>
      <c r="Q30" s="491">
        <f t="shared" si="11"/>
        <v>111</v>
      </c>
      <c r="R30" s="1295" t="s">
        <v>1045</v>
      </c>
      <c r="S30" s="1296">
        <f t="shared" si="12"/>
        <v>100</v>
      </c>
      <c r="T30" s="1295" t="s">
        <v>1045</v>
      </c>
      <c r="U30" s="1296">
        <f t="shared" si="13"/>
        <v>100</v>
      </c>
      <c r="V30" s="1295" t="s">
        <v>1045</v>
      </c>
      <c r="W30" s="1296">
        <f t="shared" si="14"/>
        <v>100</v>
      </c>
      <c r="X30" s="1282"/>
      <c r="Y30" s="1254"/>
      <c r="Z30" s="1281">
        <f t="shared" si="15"/>
        <v>111</v>
      </c>
      <c r="AA30" s="1312">
        <f t="shared" si="3"/>
        <v>1</v>
      </c>
      <c r="AB30" s="1312">
        <f t="shared" si="4"/>
        <v>1</v>
      </c>
      <c r="AC30" s="1312">
        <f t="shared" si="5"/>
        <v>1</v>
      </c>
    </row>
    <row r="31" ht="15.75" spans="1:29">
      <c r="A31" s="1141"/>
      <c r="B31" s="1614">
        <v>111</v>
      </c>
      <c r="C31" s="1143"/>
      <c r="D31" s="1144">
        <v>100</v>
      </c>
      <c r="E31" s="1143"/>
      <c r="F31" s="1616">
        <f>SUMIF(98:98,E31,99:99)-SUMIF(98:98,C31,99:99)+100</f>
        <v>100</v>
      </c>
      <c r="G31" s="1143"/>
      <c r="H31" s="1144">
        <f>SUMIF(98:98,G31,99:99)-SUMIF(98:98,C31,99:99)+100</f>
        <v>100</v>
      </c>
      <c r="I31" s="1143"/>
      <c r="J31" s="1144">
        <f>SUMIF(98:98,I31,99:99)-SUMIF(98:98,C31,99:99)+100</f>
        <v>100</v>
      </c>
      <c r="K31" s="2323"/>
      <c r="L31" s="1251"/>
      <c r="M31" s="1236"/>
      <c r="N31" s="1236"/>
      <c r="O31" s="1236"/>
      <c r="P31" s="1687"/>
      <c r="Q31" s="491">
        <f t="shared" si="11"/>
        <v>111</v>
      </c>
      <c r="R31" s="1295" t="s">
        <v>1045</v>
      </c>
      <c r="S31" s="1296">
        <f t="shared" si="12"/>
        <v>100</v>
      </c>
      <c r="T31" s="1295" t="s">
        <v>1045</v>
      </c>
      <c r="U31" s="1296">
        <f t="shared" si="13"/>
        <v>100</v>
      </c>
      <c r="V31" s="1295" t="s">
        <v>1045</v>
      </c>
      <c r="W31" s="1296">
        <f t="shared" si="14"/>
        <v>100</v>
      </c>
      <c r="X31" s="1282"/>
      <c r="Y31" s="1254"/>
      <c r="Z31" s="1281">
        <f t="shared" si="15"/>
        <v>111</v>
      </c>
      <c r="AA31" s="1312">
        <f t="shared" si="3"/>
        <v>1</v>
      </c>
      <c r="AB31" s="1312">
        <f t="shared" si="4"/>
        <v>1</v>
      </c>
      <c r="AC31" s="1312">
        <f t="shared" si="5"/>
        <v>1</v>
      </c>
    </row>
    <row r="32" ht="15" spans="1:29">
      <c r="A32" s="480" t="s">
        <v>1070</v>
      </c>
      <c r="B32" s="1123" t="s">
        <v>1071</v>
      </c>
      <c r="C32" s="1679" t="s">
        <v>1072</v>
      </c>
      <c r="D32" s="1184">
        <v>100</v>
      </c>
      <c r="E32" s="2311" t="s">
        <v>1072</v>
      </c>
      <c r="F32" s="1609">
        <f>SUMIF(100:100,E32,101:101)-SUMIF(100:100,C32,101:101)+100</f>
        <v>100</v>
      </c>
      <c r="G32" s="1679" t="s">
        <v>1072</v>
      </c>
      <c r="H32" s="1184">
        <f>SUMIF(100:100,G32,101:101)-SUMIF(100:100,C32,101:101)+100</f>
        <v>100</v>
      </c>
      <c r="I32" s="2311" t="s">
        <v>1072</v>
      </c>
      <c r="J32" s="1138">
        <f>SUMIF(100:100,I32,101:101)-SUMIF(100:100,C32,101:101)+100</f>
        <v>100</v>
      </c>
      <c r="K32" s="2322"/>
      <c r="L32" s="1251"/>
      <c r="M32" s="1236"/>
      <c r="N32" s="1236"/>
      <c r="O32" s="1236"/>
      <c r="P32" s="1688" t="s">
        <v>1073</v>
      </c>
      <c r="Q32" s="491" t="str">
        <f t="shared" si="11"/>
        <v>建筑类型</v>
      </c>
      <c r="R32" s="1295" t="s">
        <v>1045</v>
      </c>
      <c r="S32" s="1296">
        <f t="shared" si="12"/>
        <v>100</v>
      </c>
      <c r="T32" s="1295" t="s">
        <v>1045</v>
      </c>
      <c r="U32" s="1296">
        <f t="shared" si="13"/>
        <v>100</v>
      </c>
      <c r="V32" s="1295" t="s">
        <v>1045</v>
      </c>
      <c r="W32" s="1296">
        <f t="shared" si="14"/>
        <v>100</v>
      </c>
      <c r="X32" s="1282"/>
      <c r="Y32" s="1267" t="s">
        <v>1073</v>
      </c>
      <c r="Z32" s="1281" t="str">
        <f t="shared" si="15"/>
        <v>建筑类型</v>
      </c>
      <c r="AA32" s="1312">
        <f t="shared" si="3"/>
        <v>1</v>
      </c>
      <c r="AB32" s="1312">
        <f t="shared" si="4"/>
        <v>1</v>
      </c>
      <c r="AC32" s="1312">
        <f t="shared" si="5"/>
        <v>1</v>
      </c>
    </row>
    <row r="33" s="1082" customFormat="1" ht="15" spans="1:29">
      <c r="A33" s="1190"/>
      <c r="B33" s="1127" t="s">
        <v>1074</v>
      </c>
      <c r="C33" s="1610">
        <f>'数据-取费表'!B5</f>
        <v>246.59</v>
      </c>
      <c r="D33" s="1129">
        <v>100</v>
      </c>
      <c r="E33" s="1133">
        <v>233.57</v>
      </c>
      <c r="F33" s="1611">
        <f>LOOKUP(E33,103:103,104:104)-LOOKUP(C33,103:103,104:104)+100</f>
        <v>100</v>
      </c>
      <c r="G33" s="1132">
        <v>209.79</v>
      </c>
      <c r="H33" s="1129">
        <f>LOOKUP(G33,103:103,104:104)-LOOKUP(C33,103:103,104:104)+100</f>
        <v>101</v>
      </c>
      <c r="I33" s="1133">
        <v>253.85</v>
      </c>
      <c r="J33" s="1129">
        <f>LOOKUP(I33,103:103,104:104)-LOOKUP(C33,103:103,104:104)+100</f>
        <v>99</v>
      </c>
      <c r="K33" s="2323"/>
      <c r="L33" s="1249"/>
      <c r="M33" s="1265"/>
      <c r="N33" s="1265"/>
      <c r="O33" s="1265"/>
      <c r="P33" s="1689"/>
      <c r="Q33" s="1646" t="str">
        <f t="shared" si="11"/>
        <v>项目建筑规模</v>
      </c>
      <c r="R33" s="1297" t="s">
        <v>1045</v>
      </c>
      <c r="S33" s="1298">
        <f t="shared" si="12"/>
        <v>100</v>
      </c>
      <c r="T33" s="1297" t="s">
        <v>1045</v>
      </c>
      <c r="U33" s="1298">
        <f t="shared" si="13"/>
        <v>101</v>
      </c>
      <c r="V33" s="1297" t="s">
        <v>1045</v>
      </c>
      <c r="W33" s="1298">
        <f t="shared" si="14"/>
        <v>99</v>
      </c>
      <c r="X33" s="1299"/>
      <c r="Y33" s="1267"/>
      <c r="Z33" s="1313" t="str">
        <f t="shared" si="15"/>
        <v>项目建筑规模</v>
      </c>
      <c r="AA33" s="1312">
        <f t="shared" si="3"/>
        <v>1</v>
      </c>
      <c r="AB33" s="1312">
        <f t="shared" si="4"/>
        <v>0.99009900990099</v>
      </c>
      <c r="AC33" s="1312">
        <f t="shared" si="5"/>
        <v>1.01010101010101</v>
      </c>
    </row>
    <row r="34" ht="15" spans="1:29">
      <c r="A34" s="1185"/>
      <c r="B34" s="1127" t="s">
        <v>1075</v>
      </c>
      <c r="C34" s="1680"/>
      <c r="D34" s="1138">
        <v>100</v>
      </c>
      <c r="E34" s="1681"/>
      <c r="F34" s="1609">
        <f>SUMIF(105:105,E34,106:106)-SUMIF(105:105,C34,106:106)+100</f>
        <v>100</v>
      </c>
      <c r="G34" s="1680"/>
      <c r="H34" s="1138">
        <f>SUMIF(105:105,G34,106:106)-SUMIF(105:105,C34,106:106)+100</f>
        <v>100</v>
      </c>
      <c r="I34" s="1681"/>
      <c r="J34" s="1138">
        <f>SUMIF(105:105,I34,106:106)-SUMIF(105:105,C34,106:106)+100</f>
        <v>100</v>
      </c>
      <c r="K34" s="2322"/>
      <c r="L34" s="1251"/>
      <c r="M34" s="1236"/>
      <c r="N34" s="1236"/>
      <c r="O34" s="1236"/>
      <c r="P34" s="1689"/>
      <c r="Q34" s="491" t="str">
        <f t="shared" si="11"/>
        <v>建筑结构</v>
      </c>
      <c r="R34" s="1295" t="s">
        <v>1045</v>
      </c>
      <c r="S34" s="1296">
        <f t="shared" si="12"/>
        <v>100</v>
      </c>
      <c r="T34" s="1295" t="s">
        <v>1045</v>
      </c>
      <c r="U34" s="1296">
        <f t="shared" si="13"/>
        <v>100</v>
      </c>
      <c r="V34" s="1295" t="s">
        <v>1045</v>
      </c>
      <c r="W34" s="1296">
        <f t="shared" si="14"/>
        <v>100</v>
      </c>
      <c r="X34" s="1282"/>
      <c r="Y34" s="1267"/>
      <c r="Z34" s="1281" t="str">
        <f t="shared" si="15"/>
        <v>建筑结构</v>
      </c>
      <c r="AA34" s="1312">
        <f t="shared" si="3"/>
        <v>1</v>
      </c>
      <c r="AB34" s="1312">
        <f t="shared" si="4"/>
        <v>1</v>
      </c>
      <c r="AC34" s="1312">
        <f t="shared" si="5"/>
        <v>1</v>
      </c>
    </row>
    <row r="35" ht="15" spans="1:29">
      <c r="A35" s="1185"/>
      <c r="B35" s="1127" t="s">
        <v>1076</v>
      </c>
      <c r="C35" s="1186"/>
      <c r="D35" s="1138">
        <v>100</v>
      </c>
      <c r="E35" s="2308"/>
      <c r="F35" s="1609">
        <f>SUMIF(107:107,E35,108:108)-SUMIF(107:107,C35,108:108)+100</f>
        <v>100</v>
      </c>
      <c r="G35" s="1186"/>
      <c r="H35" s="1138">
        <f>SUMIF(107:107,G35,108:108)-SUMIF(107:107,C35,108:108)+100</f>
        <v>100</v>
      </c>
      <c r="I35" s="2308"/>
      <c r="J35" s="1138">
        <f>SUMIF(107:107,I35,108:108)-SUMIF(107:107,C35,108:108)+100</f>
        <v>100</v>
      </c>
      <c r="K35" s="2322"/>
      <c r="L35" s="1251"/>
      <c r="M35" s="1236"/>
      <c r="N35" s="1236"/>
      <c r="O35" s="1236"/>
      <c r="P35" s="1689"/>
      <c r="Q35" s="491" t="str">
        <f t="shared" si="11"/>
        <v>建筑品质</v>
      </c>
      <c r="R35" s="1295" t="s">
        <v>1045</v>
      </c>
      <c r="S35" s="1296">
        <f t="shared" si="12"/>
        <v>100</v>
      </c>
      <c r="T35" s="1295" t="s">
        <v>1045</v>
      </c>
      <c r="U35" s="1296">
        <f t="shared" si="13"/>
        <v>100</v>
      </c>
      <c r="V35" s="1295" t="s">
        <v>1045</v>
      </c>
      <c r="W35" s="1296">
        <f t="shared" si="14"/>
        <v>100</v>
      </c>
      <c r="X35" s="1282"/>
      <c r="Y35" s="1267"/>
      <c r="Z35" s="1281" t="str">
        <f t="shared" si="15"/>
        <v>建筑品质</v>
      </c>
      <c r="AA35" s="1312">
        <f t="shared" si="3"/>
        <v>1</v>
      </c>
      <c r="AB35" s="1312">
        <f t="shared" si="4"/>
        <v>1</v>
      </c>
      <c r="AC35" s="1312">
        <f t="shared" si="5"/>
        <v>1</v>
      </c>
    </row>
    <row r="36" ht="15" spans="1:29">
      <c r="A36" s="1185"/>
      <c r="B36" s="1127" t="s">
        <v>1077</v>
      </c>
      <c r="C36" s="1186"/>
      <c r="D36" s="1138">
        <v>100</v>
      </c>
      <c r="E36" s="2308"/>
      <c r="F36" s="1609">
        <f>SUMIF(109:109,E36,110:110)-SUMIF(109:109,C36,110:110)+100</f>
        <v>100</v>
      </c>
      <c r="G36" s="1186"/>
      <c r="H36" s="1138">
        <f>SUMIF(109:109,G36,110:110)-SUMIF(109:109,C36,110:110)+100</f>
        <v>100</v>
      </c>
      <c r="I36" s="2308"/>
      <c r="J36" s="1138">
        <f>SUMIF(109:109,I36,110:110)-SUMIF(109:109,C36,110:110)+100</f>
        <v>100</v>
      </c>
      <c r="K36" s="2322"/>
      <c r="L36" s="1251"/>
      <c r="M36" s="1236"/>
      <c r="N36" s="1236"/>
      <c r="O36" s="1236"/>
      <c r="P36" s="1689"/>
      <c r="Q36" s="491" t="str">
        <f t="shared" si="11"/>
        <v>公共部分装修</v>
      </c>
      <c r="R36" s="1295" t="s">
        <v>1045</v>
      </c>
      <c r="S36" s="1296">
        <f t="shared" si="12"/>
        <v>100</v>
      </c>
      <c r="T36" s="1295" t="s">
        <v>1045</v>
      </c>
      <c r="U36" s="1296">
        <f t="shared" si="13"/>
        <v>100</v>
      </c>
      <c r="V36" s="1295" t="s">
        <v>1045</v>
      </c>
      <c r="W36" s="1296">
        <f t="shared" si="14"/>
        <v>100</v>
      </c>
      <c r="X36" s="1282"/>
      <c r="Y36" s="1267"/>
      <c r="Z36" s="1281" t="str">
        <f t="shared" si="15"/>
        <v>公共部分装修</v>
      </c>
      <c r="AA36" s="1312">
        <f t="shared" si="3"/>
        <v>1</v>
      </c>
      <c r="AB36" s="1312">
        <f t="shared" si="4"/>
        <v>1</v>
      </c>
      <c r="AC36" s="1312">
        <f t="shared" si="5"/>
        <v>1</v>
      </c>
    </row>
    <row r="37" s="1080" customFormat="1" ht="15" spans="1:29">
      <c r="A37" s="1187"/>
      <c r="B37" s="1127" t="s">
        <v>1078</v>
      </c>
      <c r="C37" s="1613">
        <v>0.68</v>
      </c>
      <c r="D37" s="1129">
        <v>100</v>
      </c>
      <c r="E37" s="2312">
        <f>C37</f>
        <v>0.68</v>
      </c>
      <c r="F37" s="1611">
        <f>LOOKUP(E37,112:112,113:113)-LOOKUP(C37,112:112,113:113)+100</f>
        <v>100</v>
      </c>
      <c r="G37" s="2313">
        <f>C37</f>
        <v>0.68</v>
      </c>
      <c r="H37" s="1129">
        <f>LOOKUP(G37,112:112,113:113)-LOOKUP(C37,112:112,113:113)+100</f>
        <v>100</v>
      </c>
      <c r="I37" s="2312">
        <f>C37</f>
        <v>0.68</v>
      </c>
      <c r="J37" s="1129">
        <f>LOOKUP(I37,112:112,113:113)-LOOKUP(C37,112:112,113:113)+100</f>
        <v>100</v>
      </c>
      <c r="K37" s="2322"/>
      <c r="L37" s="1235"/>
      <c r="M37" s="1241"/>
      <c r="N37" s="1241"/>
      <c r="O37" s="1241"/>
      <c r="P37" s="1689"/>
      <c r="Q37" s="1294" t="str">
        <f t="shared" si="11"/>
        <v>成新度</v>
      </c>
      <c r="R37" s="1290" t="s">
        <v>1045</v>
      </c>
      <c r="S37" s="1291">
        <f t="shared" si="12"/>
        <v>100</v>
      </c>
      <c r="T37" s="1290" t="s">
        <v>1045</v>
      </c>
      <c r="U37" s="1291">
        <f t="shared" si="13"/>
        <v>100</v>
      </c>
      <c r="V37" s="1290" t="s">
        <v>1045</v>
      </c>
      <c r="W37" s="1291">
        <f t="shared" si="14"/>
        <v>100</v>
      </c>
      <c r="X37" s="1292"/>
      <c r="Y37" s="1267"/>
      <c r="Z37" s="1311" t="str">
        <f t="shared" si="15"/>
        <v>成新度</v>
      </c>
      <c r="AA37" s="1310">
        <f t="shared" si="3"/>
        <v>1</v>
      </c>
      <c r="AB37" s="1310">
        <f t="shared" si="4"/>
        <v>1</v>
      </c>
      <c r="AC37" s="1310">
        <f t="shared" si="5"/>
        <v>1</v>
      </c>
    </row>
    <row r="38" ht="15" spans="1:29">
      <c r="A38" s="1185"/>
      <c r="B38" s="1127" t="s">
        <v>1079</v>
      </c>
      <c r="C38" s="1186"/>
      <c r="D38" s="1138">
        <v>100</v>
      </c>
      <c r="E38" s="2308"/>
      <c r="F38" s="1609">
        <f>SUMIF(114:114,E38,115:115)-SUMIF(114:114,C38,115:115)+100</f>
        <v>100</v>
      </c>
      <c r="G38" s="1186"/>
      <c r="H38" s="1138">
        <f>SUMIF(114:114,G38,115:115)-SUMIF(114:114,C38,115:115)+100</f>
        <v>100</v>
      </c>
      <c r="I38" s="2308"/>
      <c r="J38" s="1138">
        <f>SUMIF(114:114,I38,115:115)-SUMIF(114:114,C38,115:115)+100</f>
        <v>100</v>
      </c>
      <c r="K38" s="2322"/>
      <c r="L38" s="1251"/>
      <c r="M38" s="1236"/>
      <c r="N38" s="1236"/>
      <c r="O38" s="1236"/>
      <c r="P38" s="1689" t="s">
        <v>1073</v>
      </c>
      <c r="Q38" s="491" t="str">
        <f t="shared" si="11"/>
        <v>物业管理</v>
      </c>
      <c r="R38" s="1295" t="s">
        <v>1045</v>
      </c>
      <c r="S38" s="1296">
        <f t="shared" si="12"/>
        <v>100</v>
      </c>
      <c r="T38" s="1295" t="s">
        <v>1045</v>
      </c>
      <c r="U38" s="1296">
        <f t="shared" si="13"/>
        <v>100</v>
      </c>
      <c r="V38" s="1295" t="s">
        <v>1045</v>
      </c>
      <c r="W38" s="1296">
        <f t="shared" si="14"/>
        <v>100</v>
      </c>
      <c r="X38" s="1282"/>
      <c r="Y38" s="1267" t="s">
        <v>1073</v>
      </c>
      <c r="Z38" s="1281" t="str">
        <f t="shared" si="15"/>
        <v>物业管理</v>
      </c>
      <c r="AA38" s="1312">
        <f t="shared" si="3"/>
        <v>1</v>
      </c>
      <c r="AB38" s="1312">
        <f t="shared" si="4"/>
        <v>1</v>
      </c>
      <c r="AC38" s="1312">
        <f t="shared" si="5"/>
        <v>1</v>
      </c>
    </row>
    <row r="39" ht="15" spans="1:29">
      <c r="A39" s="1185"/>
      <c r="B39" s="1127" t="s">
        <v>1080</v>
      </c>
      <c r="C39" s="1186"/>
      <c r="D39" s="1138">
        <v>100</v>
      </c>
      <c r="E39" s="2308"/>
      <c r="F39" s="1609">
        <f>SUMIF(116:116,E39,117:117)-SUMIF(116:116,C39,117:117)+100</f>
        <v>100</v>
      </c>
      <c r="G39" s="1186"/>
      <c r="H39" s="1138">
        <f>SUMIF(116:116,G39,117:117)-SUMIF(116:116,C39,117:117)+100</f>
        <v>100</v>
      </c>
      <c r="I39" s="2308"/>
      <c r="J39" s="1138">
        <f>SUMIF(116:116,I39,117:117)-SUMIF(116:116,C39,117:117)+100</f>
        <v>100</v>
      </c>
      <c r="K39" s="2322"/>
      <c r="L39" s="1251"/>
      <c r="M39" s="1236"/>
      <c r="N39" s="1236"/>
      <c r="O39" s="1236"/>
      <c r="P39" s="1689"/>
      <c r="Q39" s="491" t="str">
        <f t="shared" si="11"/>
        <v>市政基础设施</v>
      </c>
      <c r="R39" s="1295" t="s">
        <v>1045</v>
      </c>
      <c r="S39" s="1296">
        <f t="shared" si="12"/>
        <v>100</v>
      </c>
      <c r="T39" s="1295" t="s">
        <v>1045</v>
      </c>
      <c r="U39" s="1296">
        <f t="shared" si="13"/>
        <v>100</v>
      </c>
      <c r="V39" s="1295" t="s">
        <v>1045</v>
      </c>
      <c r="W39" s="1296">
        <f t="shared" si="14"/>
        <v>100</v>
      </c>
      <c r="X39" s="1282"/>
      <c r="Y39" s="1267"/>
      <c r="Z39" s="1281" t="str">
        <f t="shared" si="15"/>
        <v>市政基础设施</v>
      </c>
      <c r="AA39" s="1312">
        <f t="shared" si="3"/>
        <v>1</v>
      </c>
      <c r="AB39" s="1312">
        <f t="shared" si="4"/>
        <v>1</v>
      </c>
      <c r="AC39" s="1312">
        <f t="shared" si="5"/>
        <v>1</v>
      </c>
    </row>
    <row r="40" ht="15" spans="1:29">
      <c r="A40" s="1185"/>
      <c r="B40" s="1127" t="s">
        <v>1081</v>
      </c>
      <c r="C40" s="1186"/>
      <c r="D40" s="1138">
        <v>100</v>
      </c>
      <c r="E40" s="2308"/>
      <c r="F40" s="1609">
        <f>SUMIF(118:118,E40,119:119)-SUMIF(118:118,C40,119:119)+100</f>
        <v>100</v>
      </c>
      <c r="G40" s="1186"/>
      <c r="H40" s="1138">
        <f>SUMIF(118:118,G40,119:119)-SUMIF(118:118,C40,119:119)+100</f>
        <v>100</v>
      </c>
      <c r="I40" s="2308"/>
      <c r="J40" s="1138">
        <f>SUMIF(118:118,I40,119:119)-SUMIF(118:118,C40,119:119)+100</f>
        <v>100</v>
      </c>
      <c r="K40" s="2322"/>
      <c r="L40" s="1251"/>
      <c r="M40" s="1236"/>
      <c r="N40" s="1236"/>
      <c r="O40" s="1236"/>
      <c r="P40" s="1689"/>
      <c r="Q40" s="491" t="str">
        <f t="shared" si="11"/>
        <v>房型</v>
      </c>
      <c r="R40" s="1295" t="s">
        <v>1045</v>
      </c>
      <c r="S40" s="1296">
        <f t="shared" si="12"/>
        <v>100</v>
      </c>
      <c r="T40" s="1295" t="s">
        <v>1045</v>
      </c>
      <c r="U40" s="1296">
        <f t="shared" si="13"/>
        <v>100</v>
      </c>
      <c r="V40" s="1295" t="s">
        <v>1045</v>
      </c>
      <c r="W40" s="1296">
        <f t="shared" si="14"/>
        <v>100</v>
      </c>
      <c r="X40" s="1282"/>
      <c r="Y40" s="1267"/>
      <c r="Z40" s="1281" t="str">
        <f t="shared" si="15"/>
        <v>房型</v>
      </c>
      <c r="AA40" s="1312">
        <f t="shared" si="3"/>
        <v>1</v>
      </c>
      <c r="AB40" s="1312">
        <f t="shared" si="4"/>
        <v>1</v>
      </c>
      <c r="AC40" s="1312">
        <f t="shared" si="5"/>
        <v>1</v>
      </c>
    </row>
    <row r="41" s="1082" customFormat="1" ht="27.75" spans="1:29">
      <c r="A41" s="1190"/>
      <c r="B41" s="1127" t="s">
        <v>1082</v>
      </c>
      <c r="C41" s="1610"/>
      <c r="D41" s="1129">
        <v>100</v>
      </c>
      <c r="E41" s="1133"/>
      <c r="F41" s="1611">
        <f>SUMIF(120:120,E41,121:121)-SUMIF(120:120,C41,121:121)+100</f>
        <v>100</v>
      </c>
      <c r="G41" s="1132"/>
      <c r="H41" s="1129">
        <f>SUMIF(120:120,G41,121:121)-SUMIF(120:120,C41,121:121)+100</f>
        <v>100</v>
      </c>
      <c r="I41" s="1175"/>
      <c r="J41" s="1138">
        <f>SUMIF(120:120,I41,121:121)-SUMIF(120:120,C41,121:121)+100</f>
        <v>100</v>
      </c>
      <c r="K41" s="2323"/>
      <c r="L41" s="1249"/>
      <c r="M41" s="1265"/>
      <c r="N41" s="1265"/>
      <c r="O41" s="1265"/>
      <c r="P41" s="1689"/>
      <c r="Q41" s="1646" t="str">
        <f t="shared" si="11"/>
        <v>单套/主力户型建筑面积</v>
      </c>
      <c r="R41" s="1297" t="s">
        <v>1045</v>
      </c>
      <c r="S41" s="1298">
        <f t="shared" si="12"/>
        <v>100</v>
      </c>
      <c r="T41" s="1297" t="s">
        <v>1045</v>
      </c>
      <c r="U41" s="1298">
        <f t="shared" si="13"/>
        <v>100</v>
      </c>
      <c r="V41" s="1297" t="s">
        <v>1045</v>
      </c>
      <c r="W41" s="1298">
        <f t="shared" si="14"/>
        <v>100</v>
      </c>
      <c r="X41" s="1299"/>
      <c r="Y41" s="1267"/>
      <c r="Z41" s="1313" t="str">
        <f t="shared" si="15"/>
        <v>单套/主力户型建筑面积</v>
      </c>
      <c r="AA41" s="1312">
        <f t="shared" si="3"/>
        <v>1</v>
      </c>
      <c r="AB41" s="1312">
        <f t="shared" si="4"/>
        <v>1</v>
      </c>
      <c r="AC41" s="1312">
        <f t="shared" si="5"/>
        <v>1</v>
      </c>
    </row>
    <row r="42" ht="15" spans="1:29">
      <c r="A42" s="1185"/>
      <c r="B42" s="1127" t="s">
        <v>1083</v>
      </c>
      <c r="C42" s="1186" t="s">
        <v>1084</v>
      </c>
      <c r="D42" s="1138">
        <v>100</v>
      </c>
      <c r="E42" s="2308" t="s">
        <v>1085</v>
      </c>
      <c r="F42" s="1609">
        <f>SUMIF(122:122,E42,123:123)-SUMIF(122:122,C42,123:123)+100</f>
        <v>98</v>
      </c>
      <c r="G42" s="1186" t="s">
        <v>1086</v>
      </c>
      <c r="H42" s="1138">
        <f>SUMIF(122:122,G42,123:123)-SUMIF(122:122,C42,123:123)+100</f>
        <v>102</v>
      </c>
      <c r="I42" s="2308" t="s">
        <v>1084</v>
      </c>
      <c r="J42" s="1138">
        <f>SUMIF(122:122,I42,123:123)-SUMIF(122:122,C42,123:123)+100</f>
        <v>100</v>
      </c>
      <c r="K42" s="2322">
        <v>2</v>
      </c>
      <c r="L42" s="1251"/>
      <c r="M42" s="1236"/>
      <c r="N42" s="1236"/>
      <c r="O42" s="1236"/>
      <c r="P42" s="1689"/>
      <c r="Q42" s="491" t="str">
        <f t="shared" si="11"/>
        <v>内部装修</v>
      </c>
      <c r="R42" s="1295" t="s">
        <v>1045</v>
      </c>
      <c r="S42" s="1296">
        <f t="shared" si="12"/>
        <v>98</v>
      </c>
      <c r="T42" s="1295" t="s">
        <v>1045</v>
      </c>
      <c r="U42" s="1296">
        <f t="shared" si="13"/>
        <v>102</v>
      </c>
      <c r="V42" s="1295" t="s">
        <v>1045</v>
      </c>
      <c r="W42" s="1296">
        <f t="shared" si="14"/>
        <v>100</v>
      </c>
      <c r="X42" s="1282"/>
      <c r="Y42" s="1267"/>
      <c r="Z42" s="1281" t="str">
        <f t="shared" si="15"/>
        <v>内部装修</v>
      </c>
      <c r="AA42" s="1312">
        <f t="shared" si="3"/>
        <v>1.02040816326531</v>
      </c>
      <c r="AB42" s="1312">
        <f t="shared" si="4"/>
        <v>0.980392156862745</v>
      </c>
      <c r="AC42" s="1312">
        <f t="shared" si="5"/>
        <v>1</v>
      </c>
    </row>
    <row r="43" ht="15" spans="1:29">
      <c r="A43" s="1185"/>
      <c r="B43" s="1127" t="s">
        <v>215</v>
      </c>
      <c r="C43" s="1186"/>
      <c r="D43" s="1138">
        <v>100</v>
      </c>
      <c r="E43" s="2308"/>
      <c r="F43" s="1609">
        <f>SUMIF(124:124,E43,125:125)-SUMIF(124:124,C43,125:125)+100</f>
        <v>100</v>
      </c>
      <c r="G43" s="1186"/>
      <c r="H43" s="1138">
        <f>SUMIF(124:124,G43,125:125)-SUMIF(124:124,C43,125:125)+100</f>
        <v>100</v>
      </c>
      <c r="I43" s="2308"/>
      <c r="J43" s="1138">
        <f>SUMIF(124:124,I43,125:125)-SUMIF(124:124,C43,125:125)+100</f>
        <v>100</v>
      </c>
      <c r="K43" s="2322"/>
      <c r="L43" s="1251"/>
      <c r="M43" s="1236"/>
      <c r="N43" s="1236"/>
      <c r="O43" s="1236"/>
      <c r="P43" s="1689"/>
      <c r="Q43" s="491" t="str">
        <f t="shared" si="11"/>
        <v>内部装修维护情况</v>
      </c>
      <c r="R43" s="1295" t="s">
        <v>1045</v>
      </c>
      <c r="S43" s="1296">
        <f t="shared" si="12"/>
        <v>100</v>
      </c>
      <c r="T43" s="1295" t="s">
        <v>1045</v>
      </c>
      <c r="U43" s="1296">
        <f t="shared" si="13"/>
        <v>100</v>
      </c>
      <c r="V43" s="1295" t="s">
        <v>1045</v>
      </c>
      <c r="W43" s="1296">
        <f t="shared" si="14"/>
        <v>100</v>
      </c>
      <c r="X43" s="1282"/>
      <c r="Y43" s="1267"/>
      <c r="Z43" s="1281" t="str">
        <f t="shared" si="15"/>
        <v>内部装修维护情况</v>
      </c>
      <c r="AA43" s="1312">
        <f t="shared" si="3"/>
        <v>1</v>
      </c>
      <c r="AB43" s="1312">
        <f t="shared" si="4"/>
        <v>1</v>
      </c>
      <c r="AC43" s="1312">
        <f t="shared" si="5"/>
        <v>1</v>
      </c>
    </row>
    <row r="44" s="1080" customFormat="1" ht="15" spans="1:29">
      <c r="A44" s="1187"/>
      <c r="B44" s="1614">
        <v>111</v>
      </c>
      <c r="C44" s="1610"/>
      <c r="D44" s="1129">
        <v>100</v>
      </c>
      <c r="E44" s="1610"/>
      <c r="F44" s="1611">
        <f>SUMIF(126:126,E44,127:127)-SUMIF(126:126,C44,127:127)+100</f>
        <v>100</v>
      </c>
      <c r="G44" s="1610"/>
      <c r="H44" s="1129">
        <f>SUMIF(126:126,G44,127:127)-SUMIF(126:126,C44,127:127)+100</f>
        <v>100</v>
      </c>
      <c r="I44" s="1610"/>
      <c r="J44" s="1129">
        <f>SUMIF(126:126,I44,127:127)-SUMIF(126:126,C44,127:127)+100</f>
        <v>100</v>
      </c>
      <c r="K44" s="2323"/>
      <c r="L44" s="1235"/>
      <c r="M44" s="1241"/>
      <c r="N44" s="1241"/>
      <c r="O44" s="1241"/>
      <c r="P44" s="1689"/>
      <c r="Q44" s="1294">
        <f t="shared" si="11"/>
        <v>111</v>
      </c>
      <c r="R44" s="1290" t="s">
        <v>1045</v>
      </c>
      <c r="S44" s="1291">
        <f t="shared" si="12"/>
        <v>100</v>
      </c>
      <c r="T44" s="1290" t="s">
        <v>1045</v>
      </c>
      <c r="U44" s="1291">
        <f t="shared" si="13"/>
        <v>100</v>
      </c>
      <c r="V44" s="1290" t="s">
        <v>1045</v>
      </c>
      <c r="W44" s="1291">
        <f t="shared" si="14"/>
        <v>100</v>
      </c>
      <c r="X44" s="1292"/>
      <c r="Y44" s="1267"/>
      <c r="Z44" s="1311">
        <f t="shared" si="15"/>
        <v>111</v>
      </c>
      <c r="AA44" s="1310">
        <f t="shared" si="3"/>
        <v>1</v>
      </c>
      <c r="AB44" s="1310">
        <f t="shared" si="4"/>
        <v>1</v>
      </c>
      <c r="AC44" s="1310">
        <f t="shared" si="5"/>
        <v>1</v>
      </c>
    </row>
    <row r="45" ht="15" spans="1:29">
      <c r="A45" s="1185"/>
      <c r="B45" s="1614">
        <v>111</v>
      </c>
      <c r="C45" s="1137"/>
      <c r="D45" s="1138">
        <v>100</v>
      </c>
      <c r="E45" s="1137"/>
      <c r="F45" s="1609">
        <f>SUMIF(128:128,E45,129:129)-SUMIF(128:128,C45,129:129)+100</f>
        <v>100</v>
      </c>
      <c r="G45" s="1137"/>
      <c r="H45" s="1138">
        <f>SUMIF(128:128,G45,129:129)-SUMIF(128:128,C45,129:129)+100</f>
        <v>100</v>
      </c>
      <c r="I45" s="1137"/>
      <c r="J45" s="1138">
        <f>SUMIF(128:128,I45,129:129)-SUMIF(128:128,C45,129:129)+100</f>
        <v>100</v>
      </c>
      <c r="K45" s="2323"/>
      <c r="L45" s="1251"/>
      <c r="M45" s="1236"/>
      <c r="N45" s="1236"/>
      <c r="O45" s="1236"/>
      <c r="P45" s="1689"/>
      <c r="Q45" s="491">
        <f t="shared" si="11"/>
        <v>111</v>
      </c>
      <c r="R45" s="1295" t="s">
        <v>1045</v>
      </c>
      <c r="S45" s="1296">
        <f t="shared" si="12"/>
        <v>100</v>
      </c>
      <c r="T45" s="1295" t="s">
        <v>1045</v>
      </c>
      <c r="U45" s="1296">
        <f t="shared" si="13"/>
        <v>100</v>
      </c>
      <c r="V45" s="1295" t="s">
        <v>1045</v>
      </c>
      <c r="W45" s="1296">
        <f t="shared" si="14"/>
        <v>100</v>
      </c>
      <c r="X45" s="1282"/>
      <c r="Y45" s="1267"/>
      <c r="Z45" s="1281">
        <f t="shared" si="15"/>
        <v>111</v>
      </c>
      <c r="AA45" s="1312">
        <f t="shared" si="3"/>
        <v>1</v>
      </c>
      <c r="AB45" s="1312">
        <f t="shared" si="4"/>
        <v>1</v>
      </c>
      <c r="AC45" s="1312">
        <f t="shared" si="5"/>
        <v>1</v>
      </c>
    </row>
    <row r="46" ht="15.75" spans="1:29">
      <c r="A46" s="1615"/>
      <c r="B46" s="1142">
        <v>111</v>
      </c>
      <c r="C46" s="1143"/>
      <c r="D46" s="1144">
        <v>100</v>
      </c>
      <c r="E46" s="1143"/>
      <c r="F46" s="1616">
        <f>SUMIF(130:130,E46,131:131)-SUMIF(130:130,C46,131:131)+100</f>
        <v>100</v>
      </c>
      <c r="G46" s="1143"/>
      <c r="H46" s="1144">
        <f>SUMIF(130:130,G46,131:131)-SUMIF(130:130,C46,131:131)+100</f>
        <v>100</v>
      </c>
      <c r="I46" s="1143"/>
      <c r="J46" s="1144">
        <f>SUMIF(130:130,I46,131:131)-SUMIF(130:130,C46,131:131)+100</f>
        <v>100</v>
      </c>
      <c r="K46" s="2323"/>
      <c r="L46" s="1251"/>
      <c r="M46" s="1236"/>
      <c r="N46" s="1236"/>
      <c r="O46" s="1236"/>
      <c r="P46" s="1690"/>
      <c r="Q46" s="491">
        <f t="shared" si="11"/>
        <v>111</v>
      </c>
      <c r="R46" s="1295" t="s">
        <v>1045</v>
      </c>
      <c r="S46" s="1296">
        <f t="shared" si="12"/>
        <v>100</v>
      </c>
      <c r="T46" s="1295" t="s">
        <v>1045</v>
      </c>
      <c r="U46" s="1296">
        <f t="shared" si="13"/>
        <v>100</v>
      </c>
      <c r="V46" s="1295" t="s">
        <v>1045</v>
      </c>
      <c r="W46" s="1296">
        <f t="shared" si="14"/>
        <v>100</v>
      </c>
      <c r="X46" s="1282"/>
      <c r="Y46" s="1314"/>
      <c r="Z46" s="1281">
        <f t="shared" si="15"/>
        <v>111</v>
      </c>
      <c r="AA46" s="1312">
        <f t="shared" si="3"/>
        <v>1</v>
      </c>
      <c r="AB46" s="1312">
        <f t="shared" si="4"/>
        <v>1</v>
      </c>
      <c r="AC46" s="1312">
        <f t="shared" si="5"/>
        <v>1</v>
      </c>
    </row>
    <row r="47" ht="15" spans="1:29">
      <c r="A47" s="1193" t="s">
        <v>1087</v>
      </c>
      <c r="B47" s="1617"/>
      <c r="C47" s="1618" t="s">
        <v>121</v>
      </c>
      <c r="D47" s="1619"/>
      <c r="E47" s="1620">
        <v>85970</v>
      </c>
      <c r="F47" s="1621"/>
      <c r="G47" s="1622">
        <v>90090</v>
      </c>
      <c r="H47" s="1623"/>
      <c r="I47" s="1620">
        <v>85405</v>
      </c>
      <c r="J47" s="1623"/>
      <c r="K47" s="2327"/>
      <c r="L47" s="1271"/>
      <c r="N47" s="1236"/>
      <c r="P47" s="491" t="str">
        <f>A47</f>
        <v>成交单价（元/平方米）</v>
      </c>
      <c r="Q47" s="491"/>
      <c r="R47" s="1312">
        <f>E47</f>
        <v>85970</v>
      </c>
      <c r="S47" s="1312"/>
      <c r="T47" s="1312">
        <f>G47</f>
        <v>90090</v>
      </c>
      <c r="U47" s="1312"/>
      <c r="V47" s="1312">
        <f>I47</f>
        <v>85405</v>
      </c>
      <c r="W47" s="1312"/>
      <c r="X47" s="1300"/>
      <c r="Y47" s="1314"/>
      <c r="Z47" s="1300"/>
      <c r="AA47" s="1300"/>
      <c r="AB47" s="1300"/>
      <c r="AC47" s="1300"/>
    </row>
    <row r="48" ht="15.75" spans="1:29">
      <c r="A48" s="1201" t="s">
        <v>1088</v>
      </c>
      <c r="B48" s="1624"/>
      <c r="C48" s="1625">
        <f>R49</f>
        <v>87734</v>
      </c>
      <c r="D48" s="831" t="s">
        <v>1089</v>
      </c>
      <c r="E48" s="1626">
        <f>R48</f>
        <v>87724</v>
      </c>
      <c r="F48" s="832"/>
      <c r="G48" s="1625">
        <f>T48</f>
        <v>88332</v>
      </c>
      <c r="H48" s="832"/>
      <c r="I48" s="1626">
        <f>V48</f>
        <v>87146</v>
      </c>
      <c r="J48" s="832"/>
      <c r="K48" s="2328">
        <f>F48+H48+J48</f>
        <v>0</v>
      </c>
      <c r="L48" s="1271"/>
      <c r="P48" s="491" t="str">
        <f>A48</f>
        <v>比较价值（元/平方米）</v>
      </c>
      <c r="Q48" s="491"/>
      <c r="R48" s="1312">
        <f>IF(E1="售价",ROUND(PRODUCT(R47,AA7:AA46),0),ROUND(PRODUCT(R47,AA7:AA46),1))</f>
        <v>87724</v>
      </c>
      <c r="S48" s="1312"/>
      <c r="T48" s="2336">
        <f>IF(E1="售价",ROUND(PRODUCT(T47,AB7:AB46),0),ROUND(PRODUCT(T47,AB7:AB46),1))</f>
        <v>88332</v>
      </c>
      <c r="U48" s="2337"/>
      <c r="V48" s="1312">
        <f>IF(E1="售价",ROUND(PRODUCT(V47,AC7:AC46),0),ROUND(PRODUCT(V47,AC7:AC46),1))</f>
        <v>87146</v>
      </c>
      <c r="W48" s="1312"/>
      <c r="X48" s="1300"/>
      <c r="Y48" s="1300"/>
      <c r="Z48" s="1300"/>
      <c r="AA48" s="1300"/>
      <c r="AB48" s="1300"/>
      <c r="AC48" s="1300"/>
    </row>
    <row r="49" ht="15.75" spans="1:29">
      <c r="A49" s="1205" t="s">
        <v>1090</v>
      </c>
      <c r="B49" s="1206"/>
      <c r="C49" s="2314">
        <f>R49</f>
        <v>87734</v>
      </c>
      <c r="D49" s="1627"/>
      <c r="E49" s="1627"/>
      <c r="F49" s="1627"/>
      <c r="G49" s="1627"/>
      <c r="H49" s="1627"/>
      <c r="I49" s="1627"/>
      <c r="J49" s="1627"/>
      <c r="K49" s="2329"/>
      <c r="L49" s="1271"/>
      <c r="P49" s="1273" t="str">
        <f>A49</f>
        <v>估价对象XX用房的比较价值（楼面单价，元/平方米）</v>
      </c>
      <c r="Q49" s="1302"/>
      <c r="R49" s="1647">
        <f>IF(E1="售价",ROUND(IF(D48="简单平均",AVERAGE(R48:V48),R48*F48+T48*H48+V48*J48),0),ROUND(IF(D48="简单平均",AVERAGE(R48:V48),R48*F48+T48*H48+V48*J48),1))</f>
        <v>87734</v>
      </c>
      <c r="S49" s="1647"/>
      <c r="T49" s="1647"/>
      <c r="U49" s="1647"/>
      <c r="V49" s="1647"/>
      <c r="W49" s="1647"/>
      <c r="X49" s="1300"/>
      <c r="Y49" s="1300"/>
      <c r="Z49" s="1300"/>
      <c r="AA49" s="1300"/>
      <c r="AB49" s="1300"/>
      <c r="AC49" s="1300"/>
    </row>
    <row r="50" spans="7:7">
      <c r="G50" s="1208"/>
    </row>
    <row r="52" ht="13.5" customHeight="1" spans="3:10">
      <c r="C52" s="838" t="s">
        <v>1091</v>
      </c>
      <c r="D52" s="530"/>
      <c r="E52" s="1209">
        <f>IF(E47&lt;E48,E48/E47-1,E47/E48-1)</f>
        <v>0.0204024659765034</v>
      </c>
      <c r="F52" s="1210" t="str">
        <f>IF(OR(E52&gt;=0.3,E52&lt;=-0.3),"超过30%","")</f>
        <v/>
      </c>
      <c r="G52" s="1209">
        <f>IF(G47&lt;G48,G48/G47-1,G47/G48-1)</f>
        <v>0.0199021872028258</v>
      </c>
      <c r="H52" s="1210" t="str">
        <f>IF(OR(G52&gt;=0.3,G52&lt;=-0.3),"超过30%","")</f>
        <v/>
      </c>
      <c r="I52" s="1209">
        <f>IF(I47&lt;I48,I48/I47-1,I47/I48-1)</f>
        <v>0.0203852233475792</v>
      </c>
      <c r="J52" s="1210" t="str">
        <f>IF(OR(I52&gt;=0.3,I52&lt;=-0.3),"超过30%","")</f>
        <v/>
      </c>
    </row>
    <row r="53" ht="13.5" customHeight="1" spans="3:10">
      <c r="C53" s="838" t="s">
        <v>1092</v>
      </c>
      <c r="D53" s="529"/>
      <c r="E53" s="1209">
        <f>IF(E48&lt;G48,G48/E48-1,E48/G48-1)</f>
        <v>0.00693082850759197</v>
      </c>
      <c r="F53" s="1210" t="str">
        <f>IF(OR(E53&gt;=0.2,E53&lt;=-0.2),"超过20%","")</f>
        <v/>
      </c>
      <c r="G53" s="1209">
        <f>IF(G48&lt;I48,I48/G48-1,G48/I48-1)</f>
        <v>0.0136093452367292</v>
      </c>
      <c r="H53" s="1210" t="str">
        <f>IF(OR(G53&gt;=0.2,G53&lt;=-0.2),"超过20%","")</f>
        <v/>
      </c>
      <c r="I53" s="1209">
        <f>IF(I48&lt;E48,E48/I48-1,I48/E48-1)</f>
        <v>0.00663254767860821</v>
      </c>
      <c r="J53" s="1210" t="str">
        <f>IF(OR(I53&gt;=0.2,I53&lt;=-0.2),"超过20%","")</f>
        <v/>
      </c>
    </row>
    <row r="54" s="1083" customFormat="1" ht="13.5" customHeight="1" spans="3:16">
      <c r="C54" s="838" t="s">
        <v>1093</v>
      </c>
      <c r="D54" s="529"/>
      <c r="E54" s="1209">
        <f>IF(E47&lt;G47,G47/E47-1,E47/G47-1)</f>
        <v>0.0479236943119692</v>
      </c>
      <c r="F54" s="1210" t="str">
        <f>IF(OR(E54&gt;=0.3,E54&lt;=-0.3),"超过30%","")</f>
        <v/>
      </c>
      <c r="G54" s="1209">
        <f>IF(G47&lt;I47,I47/G47-1,G47/I47-1)</f>
        <v>0.0548562730519291</v>
      </c>
      <c r="H54" s="1210" t="str">
        <f>IF(OR(G54&gt;=0.3,G54&lt;=-0.3),"超过30%","")</f>
        <v/>
      </c>
      <c r="I54" s="1209">
        <f>IF(I47&lt;E47,E47/I47-1,I47/E47-1)</f>
        <v>0.00661553773198298</v>
      </c>
      <c r="J54" s="1210" t="str">
        <f>IF(OR(I54&gt;=0.3,I54&lt;=-0.3),"超过30%","")</f>
        <v/>
      </c>
      <c r="K54" s="1274"/>
      <c r="L54" s="1275"/>
      <c r="P54" s="2330"/>
    </row>
    <row r="55" s="1083" customFormat="1" spans="2:16">
      <c r="B55" s="1211"/>
      <c r="C55" s="1212"/>
      <c r="K55" s="1274"/>
      <c r="L55" s="1275"/>
      <c r="P55" s="2330"/>
    </row>
    <row r="56" spans="2:3">
      <c r="B56" s="1211"/>
      <c r="C56" s="1212"/>
    </row>
    <row r="57" ht="21" spans="1:17">
      <c r="A57" s="1323" t="s">
        <v>1094</v>
      </c>
      <c r="B57" s="1300"/>
      <c r="C57" s="1324"/>
      <c r="D57" s="1324"/>
      <c r="E57" s="1324"/>
      <c r="F57" s="1324"/>
      <c r="G57" s="1324"/>
      <c r="H57" s="1324"/>
      <c r="I57" s="1324"/>
      <c r="J57" s="1324"/>
      <c r="K57" s="1640"/>
      <c r="L57" s="2331"/>
      <c r="M57" s="1642"/>
      <c r="N57" s="1642"/>
      <c r="O57" s="1642"/>
      <c r="P57" s="2332"/>
      <c r="Q57" s="1382"/>
    </row>
    <row r="58" s="1575" customFormat="1" ht="15" spans="1:16">
      <c r="A58" s="1628" t="s">
        <v>1043</v>
      </c>
      <c r="B58" s="1629"/>
      <c r="C58" s="1630" t="str">
        <f>YEAR(C7)&amp;"-"&amp;MONTH(C7)</f>
        <v>2022-1</v>
      </c>
      <c r="D58" s="1631">
        <f>EDATE(C58,-1)</f>
        <v>44531</v>
      </c>
      <c r="E58" s="1631">
        <f t="shared" ref="E58:O58" si="16">EDATE(D58,-1)</f>
        <v>44501</v>
      </c>
      <c r="F58" s="1631">
        <f t="shared" si="16"/>
        <v>44470</v>
      </c>
      <c r="G58" s="1631">
        <f t="shared" si="16"/>
        <v>44440</v>
      </c>
      <c r="H58" s="1631">
        <f t="shared" si="16"/>
        <v>44409</v>
      </c>
      <c r="I58" s="1631">
        <f t="shared" si="16"/>
        <v>44378</v>
      </c>
      <c r="J58" s="1631">
        <f t="shared" si="16"/>
        <v>44348</v>
      </c>
      <c r="K58" s="1631">
        <f t="shared" si="16"/>
        <v>44317</v>
      </c>
      <c r="L58" s="1631">
        <f t="shared" si="16"/>
        <v>44287</v>
      </c>
      <c r="M58" s="1631">
        <f t="shared" si="16"/>
        <v>44256</v>
      </c>
      <c r="N58" s="1631">
        <f t="shared" si="16"/>
        <v>44228</v>
      </c>
      <c r="O58" s="1631">
        <f t="shared" si="16"/>
        <v>44197</v>
      </c>
      <c r="P58" s="1694"/>
    </row>
    <row r="59" s="1080" customFormat="1" ht="15" spans="1:16">
      <c r="A59" s="1632"/>
      <c r="B59" s="1336"/>
      <c r="C59" s="1338">
        <v>100</v>
      </c>
      <c r="D59" s="1339">
        <v>100</v>
      </c>
      <c r="E59" s="1339">
        <v>100</v>
      </c>
      <c r="F59" s="1339">
        <v>99.5</v>
      </c>
      <c r="G59" s="1339">
        <v>99.5</v>
      </c>
      <c r="H59" s="1339">
        <v>99.5</v>
      </c>
      <c r="I59" s="1339">
        <v>99</v>
      </c>
      <c r="J59" s="1339">
        <v>99</v>
      </c>
      <c r="K59" s="1339">
        <v>99</v>
      </c>
      <c r="L59" s="1339">
        <v>98.5</v>
      </c>
      <c r="M59" s="1644">
        <v>98.5</v>
      </c>
      <c r="N59" s="1339"/>
      <c r="O59" s="1644"/>
      <c r="P59" s="1695"/>
    </row>
    <row r="60" s="1080" customFormat="1" ht="15.75" spans="1:17">
      <c r="A60" s="1331" t="s">
        <v>1095</v>
      </c>
      <c r="B60" s="1332"/>
      <c r="C60" s="1333"/>
      <c r="D60" s="1334"/>
      <c r="E60" s="1334"/>
      <c r="F60" s="1334"/>
      <c r="G60" s="1334"/>
      <c r="H60" s="1334"/>
      <c r="I60" s="1334"/>
      <c r="J60" s="1334"/>
      <c r="K60" s="1334"/>
      <c r="L60" s="1334"/>
      <c r="M60" s="1383"/>
      <c r="N60" s="1334"/>
      <c r="O60" s="1383"/>
      <c r="P60" s="1695"/>
      <c r="Q60" s="1382"/>
    </row>
    <row r="61" s="1080" customFormat="1" ht="15" spans="1:17">
      <c r="A61" s="1335" t="s">
        <v>1046</v>
      </c>
      <c r="B61" s="1336"/>
      <c r="C61" s="1337" t="s">
        <v>1047</v>
      </c>
      <c r="D61" s="1026"/>
      <c r="E61" s="1026"/>
      <c r="F61" s="1026"/>
      <c r="G61" s="1026"/>
      <c r="H61" s="1026"/>
      <c r="I61" s="1026"/>
      <c r="J61" s="1026"/>
      <c r="K61" s="1026"/>
      <c r="L61" s="1026"/>
      <c r="M61" s="1385"/>
      <c r="N61" s="2333"/>
      <c r="O61" s="2333"/>
      <c r="P61" s="1696"/>
      <c r="Q61" s="1382"/>
    </row>
    <row r="62" s="1080" customFormat="1" ht="15.75" spans="1:17">
      <c r="A62" s="1335"/>
      <c r="B62" s="1336"/>
      <c r="C62" s="1633">
        <v>100</v>
      </c>
      <c r="D62" s="1339"/>
      <c r="E62" s="1339"/>
      <c r="F62" s="1339"/>
      <c r="G62" s="1339"/>
      <c r="H62" s="1339"/>
      <c r="I62" s="1339"/>
      <c r="J62" s="1339"/>
      <c r="K62" s="1339"/>
      <c r="L62" s="1339"/>
      <c r="M62" s="1388"/>
      <c r="N62" s="2333"/>
      <c r="O62" s="2333"/>
      <c r="P62" s="1695"/>
      <c r="Q62" s="1382"/>
    </row>
    <row r="63" spans="1:17">
      <c r="A63" s="1340" t="s">
        <v>1096</v>
      </c>
      <c r="B63" s="1341" t="s">
        <v>1051</v>
      </c>
      <c r="C63" s="1361" t="str">
        <f>C9</f>
        <v>住宅</v>
      </c>
      <c r="D63" s="1268"/>
      <c r="E63" s="1268"/>
      <c r="F63" s="1268"/>
      <c r="G63" s="1268"/>
      <c r="H63" s="1268"/>
      <c r="I63" s="1268"/>
      <c r="J63" s="1268"/>
      <c r="K63" s="1032"/>
      <c r="L63" s="1032"/>
      <c r="M63" s="1389"/>
      <c r="N63" s="2334"/>
      <c r="O63" s="2334"/>
      <c r="P63" s="1697"/>
      <c r="Q63" s="1382"/>
    </row>
    <row r="64" ht="15.75" spans="1:17">
      <c r="A64" s="1342"/>
      <c r="B64" s="1343"/>
      <c r="C64" s="1344">
        <v>100</v>
      </c>
      <c r="D64" s="1344"/>
      <c r="E64" s="1344"/>
      <c r="F64" s="1344"/>
      <c r="G64" s="1344"/>
      <c r="H64" s="1344"/>
      <c r="I64" s="1344"/>
      <c r="J64" s="1344"/>
      <c r="K64" s="1344"/>
      <c r="L64" s="1344"/>
      <c r="M64" s="1392"/>
      <c r="N64" s="2335"/>
      <c r="O64" s="2335"/>
      <c r="P64" s="1697"/>
      <c r="Q64" s="1382"/>
    </row>
    <row r="65" ht="27.75" spans="1:17">
      <c r="A65" s="1342"/>
      <c r="B65" s="1345" t="s">
        <v>1054</v>
      </c>
      <c r="C65" s="1346" t="s">
        <v>1097</v>
      </c>
      <c r="D65" s="1346" t="s">
        <v>1098</v>
      </c>
      <c r="E65" s="1346" t="s">
        <v>1099</v>
      </c>
      <c r="F65" s="1346" t="s">
        <v>1100</v>
      </c>
      <c r="G65" s="1346" t="s">
        <v>1101</v>
      </c>
      <c r="H65" s="1346" t="s">
        <v>1102</v>
      </c>
      <c r="I65" s="1346" t="s">
        <v>1103</v>
      </c>
      <c r="J65" s="1346"/>
      <c r="K65" s="1039"/>
      <c r="L65" s="1039"/>
      <c r="M65" s="1394"/>
      <c r="N65" s="2334"/>
      <c r="O65" s="2334"/>
      <c r="P65" s="1697"/>
      <c r="Q65" s="1382"/>
    </row>
    <row r="66" ht="15.75" spans="1:17">
      <c r="A66" s="1342"/>
      <c r="B66" s="1347"/>
      <c r="C66" s="1348">
        <v>100</v>
      </c>
      <c r="D66" s="1348">
        <f t="shared" ref="D66:I66" si="17">C66-$K10</f>
        <v>100</v>
      </c>
      <c r="E66" s="1348">
        <f t="shared" si="17"/>
        <v>100</v>
      </c>
      <c r="F66" s="1348">
        <f t="shared" si="17"/>
        <v>100</v>
      </c>
      <c r="G66" s="1348">
        <f t="shared" si="17"/>
        <v>100</v>
      </c>
      <c r="H66" s="1348">
        <f t="shared" si="17"/>
        <v>100</v>
      </c>
      <c r="I66" s="1348">
        <f t="shared" si="17"/>
        <v>100</v>
      </c>
      <c r="J66" s="1348"/>
      <c r="K66" s="1348"/>
      <c r="L66" s="1348"/>
      <c r="M66" s="1395"/>
      <c r="N66" s="2335"/>
      <c r="O66" s="2335"/>
      <c r="P66" s="1697"/>
      <c r="Q66" s="1382"/>
    </row>
    <row r="67" ht="15.75" spans="1:17">
      <c r="A67" s="1342"/>
      <c r="B67" s="1349" t="s">
        <v>1056</v>
      </c>
      <c r="C67" s="1350" t="str">
        <f>C68&amp;"（含）"&amp;"-"&amp;D68</f>
        <v>0（含）-1</v>
      </c>
      <c r="D67" s="1350" t="str">
        <f t="shared" ref="D67:L67" si="18">D68&amp;"（含）"&amp;"-"&amp;E68</f>
        <v>1（含）-2</v>
      </c>
      <c r="E67" s="1350" t="str">
        <f t="shared" si="18"/>
        <v>2（含）-</v>
      </c>
      <c r="F67" s="1350" t="str">
        <f t="shared" si="18"/>
        <v>（含）-</v>
      </c>
      <c r="G67" s="1350" t="str">
        <f t="shared" si="18"/>
        <v>（含）-</v>
      </c>
      <c r="H67" s="1350" t="str">
        <f t="shared" si="18"/>
        <v>（含）-</v>
      </c>
      <c r="I67" s="1350" t="str">
        <f t="shared" si="18"/>
        <v>（含）-</v>
      </c>
      <c r="J67" s="1350" t="str">
        <f t="shared" si="18"/>
        <v>（含）-</v>
      </c>
      <c r="K67" s="1350" t="str">
        <f t="shared" si="18"/>
        <v>（含）-</v>
      </c>
      <c r="L67" s="1350" t="str">
        <f t="shared" si="18"/>
        <v>（含）-</v>
      </c>
      <c r="M67" s="1151" t="str">
        <f>M68&amp;"（含）"&amp;"-"&amp;P68</f>
        <v>（含）-</v>
      </c>
      <c r="N67" s="2335"/>
      <c r="O67" s="2335"/>
      <c r="P67" s="1697"/>
      <c r="Q67" s="1382"/>
    </row>
    <row r="68" ht="15" spans="1:17">
      <c r="A68" s="1342"/>
      <c r="B68" s="1351"/>
      <c r="C68" s="1139">
        <v>0</v>
      </c>
      <c r="D68" s="1139">
        <v>1</v>
      </c>
      <c r="E68" s="1139">
        <v>2</v>
      </c>
      <c r="F68" s="1139"/>
      <c r="G68" s="1139"/>
      <c r="H68" s="1139"/>
      <c r="I68" s="1139"/>
      <c r="J68" s="1139"/>
      <c r="K68" s="1043"/>
      <c r="L68" s="1043"/>
      <c r="M68" s="1396"/>
      <c r="N68" s="2334"/>
      <c r="O68" s="2334"/>
      <c r="P68" s="1697"/>
      <c r="Q68" s="1382"/>
    </row>
    <row r="69" ht="15.75" spans="1:17">
      <c r="A69" s="1342"/>
      <c r="B69" s="1343"/>
      <c r="C69" s="1348">
        <v>100</v>
      </c>
      <c r="D69" s="1348">
        <f t="shared" ref="D69:M69" si="19">C69-$K11</f>
        <v>100</v>
      </c>
      <c r="E69" s="1348">
        <f t="shared" si="19"/>
        <v>100</v>
      </c>
      <c r="F69" s="1348">
        <f t="shared" si="19"/>
        <v>100</v>
      </c>
      <c r="G69" s="1348">
        <f t="shared" si="19"/>
        <v>100</v>
      </c>
      <c r="H69" s="1348">
        <f t="shared" si="19"/>
        <v>100</v>
      </c>
      <c r="I69" s="1348">
        <f t="shared" si="19"/>
        <v>100</v>
      </c>
      <c r="J69" s="1348">
        <f t="shared" si="19"/>
        <v>100</v>
      </c>
      <c r="K69" s="1348">
        <f t="shared" si="19"/>
        <v>100</v>
      </c>
      <c r="L69" s="1348">
        <f t="shared" si="19"/>
        <v>100</v>
      </c>
      <c r="M69" s="1395">
        <f t="shared" si="19"/>
        <v>100</v>
      </c>
      <c r="N69" s="2335"/>
      <c r="O69" s="2335"/>
      <c r="P69" s="1697"/>
      <c r="Q69" s="1382"/>
    </row>
    <row r="70" s="1082" customFormat="1" ht="15.75" spans="1:17">
      <c r="A70" s="1352"/>
      <c r="B70" s="1345">
        <f>B12</f>
        <v>111</v>
      </c>
      <c r="C70" s="1353"/>
      <c r="D70" s="1353"/>
      <c r="E70" s="1353"/>
      <c r="F70" s="1353"/>
      <c r="G70" s="1353"/>
      <c r="H70" s="1045"/>
      <c r="I70" s="1045"/>
      <c r="J70" s="1045"/>
      <c r="K70" s="1045"/>
      <c r="L70" s="1045"/>
      <c r="M70" s="1397"/>
      <c r="N70" s="2345"/>
      <c r="O70" s="2345"/>
      <c r="P70" s="1702"/>
      <c r="Q70" s="1414"/>
    </row>
    <row r="71" s="1082" customFormat="1" ht="15.75" spans="1:17">
      <c r="A71" s="1352"/>
      <c r="B71" s="1347"/>
      <c r="C71" s="1354"/>
      <c r="D71" s="1344"/>
      <c r="E71" s="1344"/>
      <c r="F71" s="1344"/>
      <c r="G71" s="1344"/>
      <c r="H71" s="1344"/>
      <c r="I71" s="1344"/>
      <c r="J71" s="1344"/>
      <c r="K71" s="1344"/>
      <c r="L71" s="1344"/>
      <c r="M71" s="1392"/>
      <c r="N71" s="2335"/>
      <c r="O71" s="2335"/>
      <c r="P71" s="1702"/>
      <c r="Q71" s="1414"/>
    </row>
    <row r="72" s="1082" customFormat="1" ht="15.75" spans="1:17">
      <c r="A72" s="1352"/>
      <c r="B72" s="1345">
        <f>B13</f>
        <v>111</v>
      </c>
      <c r="C72" s="1353"/>
      <c r="D72" s="1353"/>
      <c r="E72" s="1353"/>
      <c r="F72" s="1353"/>
      <c r="G72" s="1353"/>
      <c r="H72" s="1045"/>
      <c r="I72" s="1045"/>
      <c r="J72" s="1045"/>
      <c r="K72" s="1045"/>
      <c r="L72" s="1045"/>
      <c r="M72" s="1397"/>
      <c r="N72" s="2345"/>
      <c r="O72" s="2345"/>
      <c r="P72" s="1703"/>
      <c r="Q72" s="1415"/>
    </row>
    <row r="73" s="1082" customFormat="1" ht="15.75" spans="1:17">
      <c r="A73" s="1352"/>
      <c r="B73" s="1347"/>
      <c r="C73" s="1354"/>
      <c r="D73" s="1354"/>
      <c r="E73" s="1354"/>
      <c r="F73" s="1354"/>
      <c r="G73" s="1354"/>
      <c r="H73" s="1355"/>
      <c r="I73" s="1355"/>
      <c r="J73" s="1355"/>
      <c r="K73" s="1355"/>
      <c r="L73" s="1355"/>
      <c r="M73" s="1400"/>
      <c r="N73" s="2345"/>
      <c r="O73" s="2345"/>
      <c r="P73" s="1702"/>
      <c r="Q73" s="1414"/>
    </row>
    <row r="74" s="1082" customFormat="1" ht="15.75" spans="1:17">
      <c r="A74" s="1352"/>
      <c r="B74" s="1349">
        <f>B14</f>
        <v>111</v>
      </c>
      <c r="C74" s="1353"/>
      <c r="D74" s="1353"/>
      <c r="E74" s="1353"/>
      <c r="F74" s="1353"/>
      <c r="G74" s="1026"/>
      <c r="H74" s="1050"/>
      <c r="I74" s="1050"/>
      <c r="J74" s="1050"/>
      <c r="K74" s="1050"/>
      <c r="L74" s="1050"/>
      <c r="M74" s="1401"/>
      <c r="N74" s="2345"/>
      <c r="O74" s="2345"/>
      <c r="P74" s="1702"/>
      <c r="Q74" s="1414"/>
    </row>
    <row r="75" s="1082" customFormat="1" ht="15.75" spans="1:17">
      <c r="A75" s="1356"/>
      <c r="B75" s="1357"/>
      <c r="C75" s="1358"/>
      <c r="D75" s="1358"/>
      <c r="E75" s="1358"/>
      <c r="F75" s="1358"/>
      <c r="G75" s="1358"/>
      <c r="H75" s="1359"/>
      <c r="I75" s="1359"/>
      <c r="J75" s="1359"/>
      <c r="K75" s="1359"/>
      <c r="L75" s="1359"/>
      <c r="M75" s="1402"/>
      <c r="N75" s="2345"/>
      <c r="O75" s="2345"/>
      <c r="P75" s="1702"/>
      <c r="Q75" s="1414"/>
    </row>
    <row r="76" spans="1:17">
      <c r="A76" s="1340" t="s">
        <v>1057</v>
      </c>
      <c r="B76" s="1341" t="s">
        <v>205</v>
      </c>
      <c r="C76" s="1360" t="s">
        <v>226</v>
      </c>
      <c r="D76" s="1360" t="s">
        <v>238</v>
      </c>
      <c r="E76" s="1360" t="s">
        <v>249</v>
      </c>
      <c r="F76" s="1360" t="s">
        <v>259</v>
      </c>
      <c r="G76" s="1360" t="s">
        <v>266</v>
      </c>
      <c r="H76" s="1361"/>
      <c r="I76" s="1361"/>
      <c r="J76" s="1361"/>
      <c r="K76" s="1055"/>
      <c r="L76" s="1055"/>
      <c r="M76" s="1403"/>
      <c r="N76" s="2334"/>
      <c r="O76" s="2334"/>
      <c r="P76" s="1697"/>
      <c r="Q76" s="1382"/>
    </row>
    <row r="77" ht="15.75" spans="1:17">
      <c r="A77" s="1342"/>
      <c r="B77" s="1347"/>
      <c r="C77" s="1348">
        <v>100</v>
      </c>
      <c r="D77" s="1348">
        <f>C77-$K15</f>
        <v>100</v>
      </c>
      <c r="E77" s="1348">
        <f>D77-$K15</f>
        <v>100</v>
      </c>
      <c r="F77" s="1348">
        <f>E77-$K15</f>
        <v>100</v>
      </c>
      <c r="G77" s="1348">
        <f>F77-$K15</f>
        <v>100</v>
      </c>
      <c r="H77" s="1348"/>
      <c r="I77" s="1348"/>
      <c r="J77" s="1348"/>
      <c r="K77" s="1348"/>
      <c r="L77" s="1348"/>
      <c r="M77" s="1395"/>
      <c r="N77" s="2335"/>
      <c r="O77" s="2335"/>
      <c r="P77" s="1697"/>
      <c r="Q77" s="1382"/>
    </row>
    <row r="78" ht="15.75" spans="1:17">
      <c r="A78" s="1342"/>
      <c r="B78" s="1345" t="s">
        <v>209</v>
      </c>
      <c r="C78" s="1058" t="s">
        <v>226</v>
      </c>
      <c r="D78" s="1058" t="s">
        <v>238</v>
      </c>
      <c r="E78" s="1058" t="s">
        <v>249</v>
      </c>
      <c r="F78" s="1058" t="s">
        <v>259</v>
      </c>
      <c r="G78" s="1058" t="s">
        <v>266</v>
      </c>
      <c r="H78" s="1346"/>
      <c r="I78" s="1346"/>
      <c r="J78" s="1346"/>
      <c r="K78" s="1039"/>
      <c r="L78" s="1039"/>
      <c r="M78" s="1394"/>
      <c r="N78" s="2334"/>
      <c r="O78" s="2334"/>
      <c r="P78" s="1697"/>
      <c r="Q78" s="1382"/>
    </row>
    <row r="79" ht="15.75" spans="1:17">
      <c r="A79" s="1342"/>
      <c r="B79" s="1347"/>
      <c r="C79" s="1348">
        <v>100</v>
      </c>
      <c r="D79" s="1348">
        <f>C79-$K17</f>
        <v>100</v>
      </c>
      <c r="E79" s="1348">
        <f>D79-$K17</f>
        <v>100</v>
      </c>
      <c r="F79" s="1348">
        <f>E79-$K17</f>
        <v>100</v>
      </c>
      <c r="G79" s="1348">
        <f>F79-$K17</f>
        <v>100</v>
      </c>
      <c r="H79" s="1348"/>
      <c r="I79" s="1348"/>
      <c r="J79" s="1348"/>
      <c r="K79" s="1348"/>
      <c r="L79" s="1348"/>
      <c r="M79" s="1395"/>
      <c r="N79" s="2335"/>
      <c r="O79" s="2335"/>
      <c r="P79" s="1697"/>
      <c r="Q79" s="1382"/>
    </row>
    <row r="80" ht="15.75" spans="1:17">
      <c r="A80" s="1342"/>
      <c r="B80" s="1345" t="s">
        <v>211</v>
      </c>
      <c r="C80" s="1058" t="s">
        <v>226</v>
      </c>
      <c r="D80" s="1058" t="s">
        <v>238</v>
      </c>
      <c r="E80" s="1058" t="s">
        <v>249</v>
      </c>
      <c r="F80" s="1058" t="s">
        <v>259</v>
      </c>
      <c r="G80" s="1058" t="s">
        <v>266</v>
      </c>
      <c r="H80" s="1346"/>
      <c r="I80" s="1346"/>
      <c r="J80" s="1346"/>
      <c r="K80" s="1039"/>
      <c r="L80" s="1039"/>
      <c r="M80" s="1394"/>
      <c r="N80" s="2334"/>
      <c r="O80" s="2334"/>
      <c r="P80" s="1697"/>
      <c r="Q80" s="1382"/>
    </row>
    <row r="81" ht="15.75" spans="1:17">
      <c r="A81" s="1342"/>
      <c r="B81" s="1347"/>
      <c r="C81" s="1348">
        <v>100</v>
      </c>
      <c r="D81" s="1348">
        <f>C81-$K19</f>
        <v>100</v>
      </c>
      <c r="E81" s="1348">
        <f>D81-$K19</f>
        <v>100</v>
      </c>
      <c r="F81" s="1348">
        <f>E81-$K19</f>
        <v>100</v>
      </c>
      <c r="G81" s="1348">
        <f>F81-$K19</f>
        <v>100</v>
      </c>
      <c r="H81" s="1348"/>
      <c r="I81" s="1348"/>
      <c r="J81" s="1348"/>
      <c r="K81" s="1348"/>
      <c r="L81" s="1348"/>
      <c r="M81" s="1395"/>
      <c r="N81" s="2335"/>
      <c r="O81" s="2335"/>
      <c r="P81" s="1697"/>
      <c r="Q81" s="1382"/>
    </row>
    <row r="82" ht="15.75" spans="1:17">
      <c r="A82" s="1342"/>
      <c r="B82" s="1349" t="s">
        <v>212</v>
      </c>
      <c r="C82" s="1346" t="s">
        <v>1104</v>
      </c>
      <c r="D82" s="1346" t="s">
        <v>1105</v>
      </c>
      <c r="E82" s="1346" t="s">
        <v>1106</v>
      </c>
      <c r="F82" s="1346" t="s">
        <v>1107</v>
      </c>
      <c r="G82" s="1346" t="s">
        <v>1108</v>
      </c>
      <c r="H82" s="1346"/>
      <c r="I82" s="1346"/>
      <c r="J82" s="1346"/>
      <c r="K82" s="1346"/>
      <c r="L82" s="1346"/>
      <c r="M82" s="1405"/>
      <c r="N82" s="2335"/>
      <c r="O82" s="2335"/>
      <c r="P82" s="1697"/>
      <c r="Q82" s="1382"/>
    </row>
    <row r="83" ht="15.75" spans="1:17">
      <c r="A83" s="1342"/>
      <c r="B83" s="1349"/>
      <c r="C83" s="1348">
        <v>100</v>
      </c>
      <c r="D83" s="1348">
        <f>C83-$K21</f>
        <v>100</v>
      </c>
      <c r="E83" s="1348">
        <f>D83-$K21</f>
        <v>100</v>
      </c>
      <c r="F83" s="1348">
        <f>E83-$K21</f>
        <v>100</v>
      </c>
      <c r="G83" s="1348">
        <f>F83-$K21</f>
        <v>100</v>
      </c>
      <c r="H83" s="1364"/>
      <c r="I83" s="1364"/>
      <c r="J83" s="1364"/>
      <c r="K83" s="1364"/>
      <c r="L83" s="1364"/>
      <c r="M83" s="1153"/>
      <c r="N83" s="2335"/>
      <c r="O83" s="2335"/>
      <c r="P83" s="1697"/>
      <c r="Q83" s="1382"/>
    </row>
    <row r="84" ht="15.75" spans="1:17">
      <c r="A84" s="1342"/>
      <c r="B84" s="1345" t="s">
        <v>1062</v>
      </c>
      <c r="C84" s="1058" t="s">
        <v>226</v>
      </c>
      <c r="D84" s="1058" t="s">
        <v>238</v>
      </c>
      <c r="E84" s="1058" t="s">
        <v>249</v>
      </c>
      <c r="F84" s="1058" t="s">
        <v>259</v>
      </c>
      <c r="G84" s="1058" t="s">
        <v>266</v>
      </c>
      <c r="H84" s="1346"/>
      <c r="I84" s="1346"/>
      <c r="J84" s="1346"/>
      <c r="K84" s="1039"/>
      <c r="L84" s="1039"/>
      <c r="M84" s="1394"/>
      <c r="N84" s="2334"/>
      <c r="O84" s="2334"/>
      <c r="P84" s="1697"/>
      <c r="Q84" s="1382"/>
    </row>
    <row r="85" ht="15.75" spans="1:17">
      <c r="A85" s="1342"/>
      <c r="B85" s="1347"/>
      <c r="C85" s="1348">
        <v>100</v>
      </c>
      <c r="D85" s="1348">
        <f>C85-$K23</f>
        <v>100</v>
      </c>
      <c r="E85" s="1348">
        <f>D85-$K23</f>
        <v>100</v>
      </c>
      <c r="F85" s="1348">
        <f>E85-$K23</f>
        <v>100</v>
      </c>
      <c r="G85" s="1348">
        <f>F85-$K23</f>
        <v>100</v>
      </c>
      <c r="H85" s="1348"/>
      <c r="I85" s="1348"/>
      <c r="J85" s="1348"/>
      <c r="K85" s="1348"/>
      <c r="L85" s="1348"/>
      <c r="M85" s="1395"/>
      <c r="N85" s="2335"/>
      <c r="O85" s="2335"/>
      <c r="P85" s="1697"/>
      <c r="Q85" s="1382"/>
    </row>
    <row r="86" s="1080" customFormat="1" ht="15.75" spans="1:17">
      <c r="A86" s="1362"/>
      <c r="B86" s="1345" t="s">
        <v>1063</v>
      </c>
      <c r="C86" s="2340"/>
      <c r="D86" s="2341"/>
      <c r="E86" s="1353"/>
      <c r="F86" s="1353"/>
      <c r="G86" s="1353"/>
      <c r="H86" s="1353"/>
      <c r="I86" s="1353"/>
      <c r="J86" s="1353"/>
      <c r="K86" s="1353"/>
      <c r="L86" s="1353"/>
      <c r="M86" s="1655"/>
      <c r="N86" s="2333"/>
      <c r="O86" s="2333"/>
      <c r="P86" s="1697"/>
      <c r="Q86" s="1382"/>
    </row>
    <row r="87" s="1080" customFormat="1" ht="15.75" spans="1:17">
      <c r="A87" s="1362"/>
      <c r="B87" s="1347"/>
      <c r="C87" s="1363">
        <v>100</v>
      </c>
      <c r="D87" s="1348">
        <f>$C$87-($C$86-D86)*$K$25</f>
        <v>100</v>
      </c>
      <c r="E87" s="1348">
        <f t="shared" ref="E87:M87" si="20">$C$87-($C$86-E86)*$K$25</f>
        <v>100</v>
      </c>
      <c r="F87" s="1348">
        <f t="shared" si="20"/>
        <v>100</v>
      </c>
      <c r="G87" s="1348">
        <f t="shared" si="20"/>
        <v>100</v>
      </c>
      <c r="H87" s="1348">
        <f t="shared" si="20"/>
        <v>100</v>
      </c>
      <c r="I87" s="1348">
        <f t="shared" si="20"/>
        <v>100</v>
      </c>
      <c r="J87" s="1348">
        <f t="shared" si="20"/>
        <v>100</v>
      </c>
      <c r="K87" s="1348">
        <f t="shared" si="20"/>
        <v>100</v>
      </c>
      <c r="L87" s="1348">
        <f t="shared" si="20"/>
        <v>100</v>
      </c>
      <c r="M87" s="1348">
        <f t="shared" si="20"/>
        <v>100</v>
      </c>
      <c r="N87" s="2335"/>
      <c r="O87" s="2335"/>
      <c r="P87" s="1697"/>
      <c r="Q87" s="1382"/>
    </row>
    <row r="88" s="1080" customFormat="1" ht="15.75" spans="1:17">
      <c r="A88" s="1362"/>
      <c r="B88" s="1345" t="s">
        <v>1064</v>
      </c>
      <c r="C88" s="2342" t="s">
        <v>1066</v>
      </c>
      <c r="D88" s="2342" t="s">
        <v>1065</v>
      </c>
      <c r="E88" s="1353"/>
      <c r="F88" s="1652"/>
      <c r="G88" s="1353"/>
      <c r="H88" s="1353"/>
      <c r="I88" s="1353"/>
      <c r="J88" s="1353"/>
      <c r="K88" s="1353"/>
      <c r="L88" s="1353"/>
      <c r="M88" s="1655"/>
      <c r="N88" s="2333"/>
      <c r="O88" s="2333"/>
      <c r="P88" s="1697"/>
      <c r="Q88" s="1382"/>
    </row>
    <row r="89" s="1080" customFormat="1" ht="15.75" spans="1:17">
      <c r="A89" s="1362"/>
      <c r="B89" s="1347"/>
      <c r="C89" s="1363">
        <v>100</v>
      </c>
      <c r="D89" s="1348">
        <f t="shared" ref="D89:M89" si="21">C89-$K26</f>
        <v>99.5</v>
      </c>
      <c r="E89" s="1348">
        <f t="shared" si="21"/>
        <v>99</v>
      </c>
      <c r="F89" s="1348">
        <f t="shared" si="21"/>
        <v>98.5</v>
      </c>
      <c r="G89" s="1348">
        <f t="shared" si="21"/>
        <v>98</v>
      </c>
      <c r="H89" s="1348">
        <f t="shared" si="21"/>
        <v>97.5</v>
      </c>
      <c r="I89" s="1348">
        <f t="shared" si="21"/>
        <v>97</v>
      </c>
      <c r="J89" s="1348">
        <f t="shared" si="21"/>
        <v>96.5</v>
      </c>
      <c r="K89" s="1348">
        <f t="shared" si="21"/>
        <v>96</v>
      </c>
      <c r="L89" s="1348">
        <f t="shared" si="21"/>
        <v>95.5</v>
      </c>
      <c r="M89" s="1348">
        <f t="shared" si="21"/>
        <v>95</v>
      </c>
      <c r="N89" s="2335"/>
      <c r="O89" s="2335"/>
      <c r="P89" s="1697"/>
      <c r="Q89" s="1382"/>
    </row>
    <row r="90" s="1082" customFormat="1" ht="15.75" spans="1:17">
      <c r="A90" s="1352"/>
      <c r="B90" s="1345" t="str">
        <f>B27</f>
        <v>楼层</v>
      </c>
      <c r="C90" s="2341" t="s">
        <v>1069</v>
      </c>
      <c r="D90" s="2341" t="s">
        <v>1109</v>
      </c>
      <c r="E90" s="1353"/>
      <c r="F90" s="1353"/>
      <c r="G90" s="1353"/>
      <c r="H90" s="1045"/>
      <c r="I90" s="1045"/>
      <c r="J90" s="1045"/>
      <c r="K90" s="1045"/>
      <c r="L90" s="1045"/>
      <c r="M90" s="1397"/>
      <c r="N90" s="2345"/>
      <c r="O90" s="2345"/>
      <c r="P90" s="1702"/>
      <c r="Q90" s="1414"/>
    </row>
    <row r="91" s="1082" customFormat="1" ht="15.75" spans="1:17">
      <c r="A91" s="1352"/>
      <c r="B91" s="1347"/>
      <c r="C91" s="1354">
        <v>100</v>
      </c>
      <c r="D91" s="1354">
        <v>100</v>
      </c>
      <c r="E91" s="1354"/>
      <c r="F91" s="1354"/>
      <c r="G91" s="1354"/>
      <c r="H91" s="1355"/>
      <c r="I91" s="1355"/>
      <c r="J91" s="1355"/>
      <c r="K91" s="1355"/>
      <c r="L91" s="1355"/>
      <c r="M91" s="1400"/>
      <c r="N91" s="2345"/>
      <c r="O91" s="2345"/>
      <c r="P91" s="1702"/>
      <c r="Q91" s="1414"/>
    </row>
    <row r="92" ht="15.75" spans="1:17">
      <c r="A92" s="1342"/>
      <c r="B92" s="1345">
        <f>B28</f>
        <v>111</v>
      </c>
      <c r="C92" s="1353"/>
      <c r="D92" s="1353"/>
      <c r="E92" s="1353"/>
      <c r="F92" s="1353"/>
      <c r="G92" s="1366"/>
      <c r="H92" s="1366"/>
      <c r="I92" s="1366"/>
      <c r="J92" s="1366"/>
      <c r="K92" s="1065"/>
      <c r="L92" s="1065"/>
      <c r="M92" s="1408"/>
      <c r="N92" s="2334"/>
      <c r="O92" s="2334"/>
      <c r="P92" s="1697"/>
      <c r="Q92" s="1382"/>
    </row>
    <row r="93" ht="15.75" spans="1:17">
      <c r="A93" s="1342"/>
      <c r="B93" s="1347"/>
      <c r="C93" s="1354"/>
      <c r="D93" s="1344"/>
      <c r="E93" s="1344"/>
      <c r="F93" s="1344"/>
      <c r="G93" s="1344"/>
      <c r="H93" s="1344"/>
      <c r="I93" s="1344"/>
      <c r="J93" s="1344"/>
      <c r="K93" s="1344"/>
      <c r="L93" s="1344"/>
      <c r="M93" s="1392"/>
      <c r="N93" s="2335"/>
      <c r="O93" s="2335"/>
      <c r="P93" s="1697"/>
      <c r="Q93" s="1382"/>
    </row>
    <row r="94" ht="15.75" spans="1:17">
      <c r="A94" s="1342"/>
      <c r="B94" s="1345">
        <f>B29</f>
        <v>111</v>
      </c>
      <c r="C94" s="1353"/>
      <c r="D94" s="1353"/>
      <c r="E94" s="1353"/>
      <c r="F94" s="1353"/>
      <c r="G94" s="1366"/>
      <c r="H94" s="1366"/>
      <c r="I94" s="1366"/>
      <c r="J94" s="1366"/>
      <c r="K94" s="1065"/>
      <c r="L94" s="1065"/>
      <c r="M94" s="1408"/>
      <c r="N94" s="2334"/>
      <c r="O94" s="2334"/>
      <c r="P94" s="1697"/>
      <c r="Q94" s="1382"/>
    </row>
    <row r="95" ht="15.75" spans="1:17">
      <c r="A95" s="1342"/>
      <c r="B95" s="1347"/>
      <c r="C95" s="1354"/>
      <c r="D95" s="1354"/>
      <c r="E95" s="1354"/>
      <c r="F95" s="1354"/>
      <c r="G95" s="1344"/>
      <c r="H95" s="1344"/>
      <c r="I95" s="1344"/>
      <c r="J95" s="1344"/>
      <c r="K95" s="1344"/>
      <c r="L95" s="1344"/>
      <c r="M95" s="1392"/>
      <c r="N95" s="2335"/>
      <c r="O95" s="2335"/>
      <c r="P95" s="1697"/>
      <c r="Q95" s="1382"/>
    </row>
    <row r="96" ht="15.75" spans="1:17">
      <c r="A96" s="1342"/>
      <c r="B96" s="1345">
        <f>B30</f>
        <v>111</v>
      </c>
      <c r="C96" s="1353"/>
      <c r="D96" s="1353"/>
      <c r="E96" s="1353"/>
      <c r="F96" s="1353"/>
      <c r="G96" s="1366"/>
      <c r="H96" s="1366"/>
      <c r="I96" s="1366"/>
      <c r="J96" s="1366"/>
      <c r="K96" s="1065"/>
      <c r="L96" s="1065"/>
      <c r="M96" s="1408"/>
      <c r="N96" s="2334"/>
      <c r="O96" s="2334"/>
      <c r="P96" s="1697"/>
      <c r="Q96" s="1382"/>
    </row>
    <row r="97" ht="15.75" spans="1:17">
      <c r="A97" s="1342"/>
      <c r="B97" s="1347"/>
      <c r="C97" s="1358"/>
      <c r="D97" s="1358"/>
      <c r="E97" s="1358"/>
      <c r="F97" s="1358"/>
      <c r="G97" s="1344"/>
      <c r="H97" s="1344"/>
      <c r="I97" s="1344"/>
      <c r="J97" s="1344"/>
      <c r="K97" s="1344"/>
      <c r="L97" s="1344"/>
      <c r="M97" s="1392"/>
      <c r="N97" s="2335"/>
      <c r="O97" s="2335"/>
      <c r="P97" s="1697"/>
      <c r="Q97" s="1382"/>
    </row>
    <row r="98" ht="15.75" spans="1:17">
      <c r="A98" s="1342"/>
      <c r="B98" s="1349">
        <f>B31</f>
        <v>111</v>
      </c>
      <c r="C98" s="1367"/>
      <c r="D98" s="1367"/>
      <c r="E98" s="1367"/>
      <c r="F98" s="1367"/>
      <c r="G98" s="1367"/>
      <c r="H98" s="1367"/>
      <c r="I98" s="1367"/>
      <c r="J98" s="1367"/>
      <c r="K98" s="1068"/>
      <c r="L98" s="1068"/>
      <c r="M98" s="1409"/>
      <c r="N98" s="2334"/>
      <c r="O98" s="2334"/>
      <c r="P98" s="1697"/>
      <c r="Q98" s="1382"/>
    </row>
    <row r="99" ht="15.75" spans="1:17">
      <c r="A99" s="1653"/>
      <c r="B99" s="1357"/>
      <c r="C99" s="1368"/>
      <c r="D99" s="1368"/>
      <c r="E99" s="1368"/>
      <c r="F99" s="1368"/>
      <c r="G99" s="1368"/>
      <c r="H99" s="1368"/>
      <c r="I99" s="1368"/>
      <c r="J99" s="1368"/>
      <c r="K99" s="1368"/>
      <c r="L99" s="1368"/>
      <c r="M99" s="1410"/>
      <c r="N99" s="2335"/>
      <c r="O99" s="2335"/>
      <c r="P99" s="1697"/>
      <c r="Q99" s="1382"/>
    </row>
    <row r="100" spans="1:17">
      <c r="A100" s="1340" t="s">
        <v>1070</v>
      </c>
      <c r="B100" s="1341" t="s">
        <v>1071</v>
      </c>
      <c r="C100" s="2343" t="s">
        <v>1072</v>
      </c>
      <c r="D100" s="1268"/>
      <c r="E100" s="1268"/>
      <c r="F100" s="1268"/>
      <c r="G100" s="1268"/>
      <c r="H100" s="1268"/>
      <c r="I100" s="1268"/>
      <c r="J100" s="1268"/>
      <c r="K100" s="1032"/>
      <c r="L100" s="1032"/>
      <c r="M100" s="1389"/>
      <c r="N100" s="2334"/>
      <c r="O100" s="2334"/>
      <c r="P100" s="1697"/>
      <c r="Q100" s="1382"/>
    </row>
    <row r="101" ht="15.75" spans="1:17">
      <c r="A101" s="1342"/>
      <c r="B101" s="1347"/>
      <c r="C101" s="1348">
        <v>100</v>
      </c>
      <c r="D101" s="1348">
        <f t="shared" ref="D101:M101" si="22">C101-$K32</f>
        <v>100</v>
      </c>
      <c r="E101" s="1348">
        <f t="shared" si="22"/>
        <v>100</v>
      </c>
      <c r="F101" s="1348">
        <f t="shared" si="22"/>
        <v>100</v>
      </c>
      <c r="G101" s="1348">
        <f t="shared" si="22"/>
        <v>100</v>
      </c>
      <c r="H101" s="1348">
        <f t="shared" si="22"/>
        <v>100</v>
      </c>
      <c r="I101" s="1348">
        <f t="shared" si="22"/>
        <v>100</v>
      </c>
      <c r="J101" s="1348">
        <f t="shared" si="22"/>
        <v>100</v>
      </c>
      <c r="K101" s="1348">
        <f t="shared" si="22"/>
        <v>100</v>
      </c>
      <c r="L101" s="1348">
        <f t="shared" si="22"/>
        <v>100</v>
      </c>
      <c r="M101" s="1348">
        <f t="shared" si="22"/>
        <v>100</v>
      </c>
      <c r="N101" s="2335"/>
      <c r="O101" s="2335"/>
      <c r="P101" s="1697"/>
      <c r="Q101" s="1382"/>
    </row>
    <row r="102" ht="15.75" spans="1:17">
      <c r="A102" s="1342"/>
      <c r="B102" s="1345" t="s">
        <v>1074</v>
      </c>
      <c r="C102" s="1058" t="str">
        <f>C103&amp;"(含)"&amp;"-"&amp;D103</f>
        <v>0(含)-50</v>
      </c>
      <c r="D102" s="1058" t="str">
        <f t="shared" ref="D102:L102" si="23">D103&amp;"(含)"&amp;"-"&amp;E103</f>
        <v>50(含)-75</v>
      </c>
      <c r="E102" s="1058" t="str">
        <f t="shared" si="23"/>
        <v>75(含)-95</v>
      </c>
      <c r="F102" s="1058" t="str">
        <f t="shared" si="23"/>
        <v>95(含)-120</v>
      </c>
      <c r="G102" s="1058" t="str">
        <f t="shared" si="23"/>
        <v>120(含)-150</v>
      </c>
      <c r="H102" s="1058" t="str">
        <f t="shared" si="23"/>
        <v>150(含)-180</v>
      </c>
      <c r="I102" s="1058" t="str">
        <f t="shared" si="23"/>
        <v>180(含)-210</v>
      </c>
      <c r="J102" s="1058" t="str">
        <f t="shared" si="23"/>
        <v>210(含)-250</v>
      </c>
      <c r="K102" s="1058" t="str">
        <f t="shared" si="23"/>
        <v>250(含)-</v>
      </c>
      <c r="L102" s="1058" t="str">
        <f t="shared" si="23"/>
        <v>(含)-</v>
      </c>
      <c r="M102" s="1058" t="str">
        <f>M103&amp;"(含)"&amp;"-"&amp;P103</f>
        <v>(含)-</v>
      </c>
      <c r="N102" s="2333"/>
      <c r="O102" s="2333"/>
      <c r="P102" s="1697"/>
      <c r="Q102" s="1382"/>
    </row>
    <row r="103" s="1082" customFormat="1" ht="15" spans="1:17">
      <c r="A103" s="1369"/>
      <c r="B103" s="1370"/>
      <c r="C103" s="1330">
        <v>0</v>
      </c>
      <c r="D103" s="1330">
        <v>50</v>
      </c>
      <c r="E103" s="1330">
        <v>75</v>
      </c>
      <c r="F103" s="1330">
        <v>95</v>
      </c>
      <c r="G103" s="1330">
        <v>120</v>
      </c>
      <c r="H103" s="1330">
        <v>150</v>
      </c>
      <c r="I103" s="1330">
        <v>180</v>
      </c>
      <c r="J103" s="1072">
        <v>210</v>
      </c>
      <c r="K103" s="1072">
        <v>250</v>
      </c>
      <c r="L103" s="1072"/>
      <c r="M103" s="1411"/>
      <c r="N103" s="2345"/>
      <c r="O103" s="2345"/>
      <c r="P103" s="1702"/>
      <c r="Q103" s="1414"/>
    </row>
    <row r="104" s="1082" customFormat="1" ht="15.75" spans="1:17">
      <c r="A104" s="1352"/>
      <c r="B104" s="1347"/>
      <c r="C104" s="1354">
        <v>100</v>
      </c>
      <c r="D104" s="1344">
        <v>99</v>
      </c>
      <c r="E104" s="1344">
        <v>98</v>
      </c>
      <c r="F104" s="1344">
        <v>97</v>
      </c>
      <c r="G104" s="1344">
        <v>96</v>
      </c>
      <c r="H104" s="1344">
        <v>95</v>
      </c>
      <c r="I104" s="1344">
        <v>94</v>
      </c>
      <c r="J104" s="1344">
        <v>93</v>
      </c>
      <c r="K104" s="1344">
        <v>92</v>
      </c>
      <c r="L104" s="1344"/>
      <c r="M104" s="1344"/>
      <c r="N104" s="2335"/>
      <c r="O104" s="2335"/>
      <c r="P104" s="1702"/>
      <c r="Q104" s="1414"/>
    </row>
    <row r="105" ht="15.75" spans="1:17">
      <c r="A105" s="1372"/>
      <c r="B105" s="1345" t="s">
        <v>1075</v>
      </c>
      <c r="C105" s="2342" t="s">
        <v>1110</v>
      </c>
      <c r="D105" s="1353"/>
      <c r="E105" s="1366"/>
      <c r="F105" s="1366"/>
      <c r="G105" s="1366"/>
      <c r="H105" s="1366"/>
      <c r="I105" s="1366"/>
      <c r="J105" s="1366"/>
      <c r="K105" s="1065"/>
      <c r="L105" s="1065"/>
      <c r="M105" s="1408"/>
      <c r="N105" s="2334"/>
      <c r="O105" s="2334"/>
      <c r="P105" s="1697"/>
      <c r="Q105" s="1382"/>
    </row>
    <row r="106" ht="15.75" spans="1:17">
      <c r="A106" s="1342"/>
      <c r="B106" s="1347"/>
      <c r="C106" s="1348">
        <v>100</v>
      </c>
      <c r="D106" s="1348">
        <f t="shared" ref="D106:M106" si="24">C106-$K34</f>
        <v>100</v>
      </c>
      <c r="E106" s="1348">
        <f t="shared" si="24"/>
        <v>100</v>
      </c>
      <c r="F106" s="1348">
        <f t="shared" si="24"/>
        <v>100</v>
      </c>
      <c r="G106" s="1348">
        <f t="shared" si="24"/>
        <v>100</v>
      </c>
      <c r="H106" s="1348">
        <f t="shared" si="24"/>
        <v>100</v>
      </c>
      <c r="I106" s="1348">
        <f t="shared" si="24"/>
        <v>100</v>
      </c>
      <c r="J106" s="1348">
        <f t="shared" si="24"/>
        <v>100</v>
      </c>
      <c r="K106" s="1348">
        <f t="shared" si="24"/>
        <v>100</v>
      </c>
      <c r="L106" s="1348">
        <f t="shared" si="24"/>
        <v>100</v>
      </c>
      <c r="M106" s="1348">
        <f t="shared" si="24"/>
        <v>100</v>
      </c>
      <c r="N106" s="2335"/>
      <c r="O106" s="2335"/>
      <c r="P106" s="1697"/>
      <c r="Q106" s="1382"/>
    </row>
    <row r="107" ht="15.75" spans="1:17">
      <c r="A107" s="1372"/>
      <c r="B107" s="1345" t="s">
        <v>1076</v>
      </c>
      <c r="C107" s="1366" t="s">
        <v>1060</v>
      </c>
      <c r="D107" s="1366"/>
      <c r="E107" s="1366"/>
      <c r="F107" s="1366"/>
      <c r="G107" s="1366"/>
      <c r="H107" s="1366"/>
      <c r="I107" s="1366"/>
      <c r="J107" s="1366"/>
      <c r="K107" s="1065"/>
      <c r="L107" s="1065"/>
      <c r="M107" s="1408"/>
      <c r="N107" s="2334"/>
      <c r="O107" s="2334"/>
      <c r="P107" s="1697"/>
      <c r="Q107" s="1382"/>
    </row>
    <row r="108" ht="15.75" spans="1:17">
      <c r="A108" s="1342"/>
      <c r="B108" s="1347"/>
      <c r="C108" s="1348">
        <v>100</v>
      </c>
      <c r="D108" s="1348">
        <f t="shared" ref="D108:M108" si="25">C108-$K35</f>
        <v>100</v>
      </c>
      <c r="E108" s="1348">
        <f t="shared" si="25"/>
        <v>100</v>
      </c>
      <c r="F108" s="1348">
        <f t="shared" si="25"/>
        <v>100</v>
      </c>
      <c r="G108" s="1348">
        <f t="shared" si="25"/>
        <v>100</v>
      </c>
      <c r="H108" s="1348">
        <f t="shared" si="25"/>
        <v>100</v>
      </c>
      <c r="I108" s="1348">
        <f t="shared" si="25"/>
        <v>100</v>
      </c>
      <c r="J108" s="1348">
        <f t="shared" si="25"/>
        <v>100</v>
      </c>
      <c r="K108" s="1348">
        <f t="shared" si="25"/>
        <v>100</v>
      </c>
      <c r="L108" s="1348">
        <f t="shared" si="25"/>
        <v>100</v>
      </c>
      <c r="M108" s="1348">
        <f t="shared" si="25"/>
        <v>100</v>
      </c>
      <c r="N108" s="2335"/>
      <c r="O108" s="2335"/>
      <c r="P108" s="1697"/>
      <c r="Q108" s="1382"/>
    </row>
    <row r="109" ht="15.75" spans="1:17">
      <c r="A109" s="1372"/>
      <c r="B109" s="1345" t="s">
        <v>1077</v>
      </c>
      <c r="C109" s="2342" t="s">
        <v>1086</v>
      </c>
      <c r="D109" s="1353"/>
      <c r="E109" s="1353"/>
      <c r="F109" s="1366"/>
      <c r="G109" s="1366"/>
      <c r="H109" s="1366"/>
      <c r="I109" s="1366"/>
      <c r="J109" s="1366"/>
      <c r="K109" s="1065"/>
      <c r="L109" s="1065"/>
      <c r="M109" s="1408"/>
      <c r="N109" s="2334"/>
      <c r="O109" s="2334"/>
      <c r="P109" s="1697"/>
      <c r="Q109" s="1382"/>
    </row>
    <row r="110" ht="15.75" spans="1:17">
      <c r="A110" s="1342"/>
      <c r="B110" s="1347"/>
      <c r="C110" s="1348">
        <v>100</v>
      </c>
      <c r="D110" s="1348">
        <f t="shared" ref="D110:M110" si="26">C110-$K36</f>
        <v>100</v>
      </c>
      <c r="E110" s="1348">
        <f t="shared" si="26"/>
        <v>100</v>
      </c>
      <c r="F110" s="1348">
        <f t="shared" si="26"/>
        <v>100</v>
      </c>
      <c r="G110" s="1348">
        <f t="shared" si="26"/>
        <v>100</v>
      </c>
      <c r="H110" s="1348">
        <f t="shared" si="26"/>
        <v>100</v>
      </c>
      <c r="I110" s="1348">
        <f t="shared" si="26"/>
        <v>100</v>
      </c>
      <c r="J110" s="1348">
        <f t="shared" si="26"/>
        <v>100</v>
      </c>
      <c r="K110" s="1348">
        <f t="shared" si="26"/>
        <v>100</v>
      </c>
      <c r="L110" s="1348">
        <f t="shared" si="26"/>
        <v>100</v>
      </c>
      <c r="M110" s="1348">
        <f t="shared" si="26"/>
        <v>100</v>
      </c>
      <c r="N110" s="2335"/>
      <c r="O110" s="2335"/>
      <c r="P110" s="1697"/>
      <c r="Q110" s="1382"/>
    </row>
    <row r="111" s="1082" customFormat="1" ht="15.75" spans="1:17">
      <c r="A111" s="1369"/>
      <c r="B111" s="1345" t="s">
        <v>1078</v>
      </c>
      <c r="C111" s="1058" t="str">
        <f>C112&amp;"(含)"&amp;"-"&amp;D112</f>
        <v>0.5(含)-0.6</v>
      </c>
      <c r="D111" s="1058" t="str">
        <f>D112&amp;"(含)"&amp;"-"&amp;E112</f>
        <v>0.6(含)-0.7</v>
      </c>
      <c r="E111" s="1058" t="str">
        <f>E112&amp;"(含)"&amp;"-"&amp;F112</f>
        <v>0.7(含)-0.8</v>
      </c>
      <c r="F111" s="1058" t="str">
        <f>F112&amp;"(含)"&amp;"-"&amp;G112</f>
        <v>0.8(含)-0.9</v>
      </c>
      <c r="G111" s="1058" t="str">
        <f>G112&amp;"(含)"&amp;"-"&amp;ROUND(H112,0)</f>
        <v>0.9(含)-1</v>
      </c>
      <c r="H111" s="1058" t="str">
        <f>ROUND(H112,0)&amp;"(含)"&amp;"-"&amp;I112</f>
        <v>1(含)-</v>
      </c>
      <c r="I111" s="1058"/>
      <c r="J111" s="1060"/>
      <c r="K111" s="1060"/>
      <c r="L111" s="1060"/>
      <c r="M111" s="1406"/>
      <c r="N111" s="2345"/>
      <c r="O111" s="2345"/>
      <c r="P111" s="1702"/>
      <c r="Q111" s="1414"/>
    </row>
    <row r="112" s="1082" customFormat="1" ht="15" spans="1:17">
      <c r="A112" s="1369"/>
      <c r="B112" s="1349"/>
      <c r="C112" s="642">
        <v>0.5</v>
      </c>
      <c r="D112" s="642">
        <v>0.6</v>
      </c>
      <c r="E112" s="642">
        <v>0.7</v>
      </c>
      <c r="F112" s="642">
        <v>0.8</v>
      </c>
      <c r="G112" s="642">
        <v>0.9</v>
      </c>
      <c r="H112" s="642">
        <v>1.0001</v>
      </c>
      <c r="I112" s="642"/>
      <c r="J112" s="2346"/>
      <c r="K112" s="2346"/>
      <c r="L112" s="2346"/>
      <c r="M112" s="2347"/>
      <c r="N112" s="2345"/>
      <c r="O112" s="2345"/>
      <c r="P112" s="1702"/>
      <c r="Q112" s="1414"/>
    </row>
    <row r="113" s="1082" customFormat="1" ht="15.75" spans="1:17">
      <c r="A113" s="1352"/>
      <c r="B113" s="1347"/>
      <c r="C113" s="1363">
        <v>100</v>
      </c>
      <c r="D113" s="1348">
        <f>C113+$K37</f>
        <v>100</v>
      </c>
      <c r="E113" s="1348">
        <f>D113+$K37</f>
        <v>100</v>
      </c>
      <c r="F113" s="1348">
        <f>E113+$K37</f>
        <v>100</v>
      </c>
      <c r="G113" s="1348">
        <f>F113+$K37</f>
        <v>100</v>
      </c>
      <c r="H113" s="1348">
        <f>G113+$K37</f>
        <v>100</v>
      </c>
      <c r="I113" s="1363"/>
      <c r="J113" s="1365"/>
      <c r="K113" s="1365"/>
      <c r="L113" s="1365"/>
      <c r="M113" s="1407"/>
      <c r="N113" s="2345"/>
      <c r="O113" s="2345"/>
      <c r="P113" s="1702"/>
      <c r="Q113" s="1414"/>
    </row>
    <row r="114" ht="15.75" spans="1:17">
      <c r="A114" s="1372"/>
      <c r="B114" s="1345" t="s">
        <v>1079</v>
      </c>
      <c r="C114" s="2342" t="s">
        <v>1111</v>
      </c>
      <c r="D114" s="1353"/>
      <c r="E114" s="1366"/>
      <c r="F114" s="1366"/>
      <c r="G114" s="1366"/>
      <c r="H114" s="1366"/>
      <c r="I114" s="1366"/>
      <c r="J114" s="1366"/>
      <c r="K114" s="1065"/>
      <c r="L114" s="1065"/>
      <c r="M114" s="1408"/>
      <c r="N114" s="2334"/>
      <c r="O114" s="2334"/>
      <c r="P114" s="1697"/>
      <c r="Q114" s="1382"/>
    </row>
    <row r="115" ht="15.75" spans="1:17">
      <c r="A115" s="1342"/>
      <c r="B115" s="1347"/>
      <c r="C115" s="1348">
        <v>100</v>
      </c>
      <c r="D115" s="1348">
        <f t="shared" ref="D115:M115" si="27">C115-$K38</f>
        <v>100</v>
      </c>
      <c r="E115" s="1348">
        <f t="shared" si="27"/>
        <v>100</v>
      </c>
      <c r="F115" s="1348">
        <f t="shared" si="27"/>
        <v>100</v>
      </c>
      <c r="G115" s="1348">
        <f t="shared" si="27"/>
        <v>100</v>
      </c>
      <c r="H115" s="1348">
        <f t="shared" si="27"/>
        <v>100</v>
      </c>
      <c r="I115" s="1348">
        <f t="shared" si="27"/>
        <v>100</v>
      </c>
      <c r="J115" s="1348">
        <f t="shared" si="27"/>
        <v>100</v>
      </c>
      <c r="K115" s="1348">
        <f t="shared" si="27"/>
        <v>100</v>
      </c>
      <c r="L115" s="1348">
        <f t="shared" si="27"/>
        <v>100</v>
      </c>
      <c r="M115" s="1348">
        <f t="shared" si="27"/>
        <v>100</v>
      </c>
      <c r="N115" s="2335"/>
      <c r="O115" s="2335"/>
      <c r="P115" s="1697"/>
      <c r="Q115" s="1382"/>
    </row>
    <row r="116" ht="15.75" spans="1:17">
      <c r="A116" s="1372"/>
      <c r="B116" s="1345" t="s">
        <v>1080</v>
      </c>
      <c r="C116" s="2342" t="s">
        <v>1061</v>
      </c>
      <c r="D116" s="1353"/>
      <c r="E116" s="1353"/>
      <c r="F116" s="1353"/>
      <c r="G116" s="1353"/>
      <c r="H116" s="1366"/>
      <c r="I116" s="1366"/>
      <c r="J116" s="1366"/>
      <c r="K116" s="1065"/>
      <c r="L116" s="1065"/>
      <c r="M116" s="1408"/>
      <c r="N116" s="2334"/>
      <c r="O116" s="2334"/>
      <c r="P116" s="1697"/>
      <c r="Q116" s="1382"/>
    </row>
    <row r="117" ht="15.75" spans="1:17">
      <c r="A117" s="1342"/>
      <c r="B117" s="1347"/>
      <c r="C117" s="1348">
        <v>100</v>
      </c>
      <c r="D117" s="1348">
        <f>C117-$K39</f>
        <v>100</v>
      </c>
      <c r="E117" s="1348">
        <f>D117-$K39</f>
        <v>100</v>
      </c>
      <c r="F117" s="1348">
        <f>E117-$K39</f>
        <v>100</v>
      </c>
      <c r="G117" s="1348">
        <f>F117-$K39</f>
        <v>100</v>
      </c>
      <c r="H117" s="1348"/>
      <c r="I117" s="1348"/>
      <c r="J117" s="1348"/>
      <c r="K117" s="1348"/>
      <c r="L117" s="1348"/>
      <c r="M117" s="1395"/>
      <c r="N117" s="2335"/>
      <c r="O117" s="2335"/>
      <c r="P117" s="1697"/>
      <c r="Q117" s="1382"/>
    </row>
    <row r="118" ht="15.75" spans="1:17">
      <c r="A118" s="1372"/>
      <c r="B118" s="1345" t="s">
        <v>1081</v>
      </c>
      <c r="C118" s="1366"/>
      <c r="D118" s="1366"/>
      <c r="E118" s="1366"/>
      <c r="F118" s="1366"/>
      <c r="G118" s="1366"/>
      <c r="H118" s="1366"/>
      <c r="I118" s="1366"/>
      <c r="J118" s="1366"/>
      <c r="K118" s="1065"/>
      <c r="L118" s="1065"/>
      <c r="M118" s="1408"/>
      <c r="N118" s="2334"/>
      <c r="O118" s="2334"/>
      <c r="P118" s="1697"/>
      <c r="Q118" s="1382"/>
    </row>
    <row r="119" ht="15.75" spans="1:17">
      <c r="A119" s="1342"/>
      <c r="B119" s="1347"/>
      <c r="C119" s="1348">
        <v>100</v>
      </c>
      <c r="D119" s="1348">
        <f t="shared" ref="D119:M119" si="28">C119-$K40</f>
        <v>100</v>
      </c>
      <c r="E119" s="1348">
        <f t="shared" si="28"/>
        <v>100</v>
      </c>
      <c r="F119" s="1348">
        <f t="shared" si="28"/>
        <v>100</v>
      </c>
      <c r="G119" s="1348">
        <f t="shared" si="28"/>
        <v>100</v>
      </c>
      <c r="H119" s="1348">
        <f t="shared" si="28"/>
        <v>100</v>
      </c>
      <c r="I119" s="1348">
        <f t="shared" si="28"/>
        <v>100</v>
      </c>
      <c r="J119" s="1348">
        <f t="shared" si="28"/>
        <v>100</v>
      </c>
      <c r="K119" s="1348">
        <f t="shared" si="28"/>
        <v>100</v>
      </c>
      <c r="L119" s="1348">
        <f t="shared" si="28"/>
        <v>100</v>
      </c>
      <c r="M119" s="1348">
        <f t="shared" si="28"/>
        <v>100</v>
      </c>
      <c r="N119" s="2335"/>
      <c r="O119" s="2335"/>
      <c r="P119" s="1697"/>
      <c r="Q119" s="1382"/>
    </row>
    <row r="120" s="1082" customFormat="1" ht="28.5" spans="1:17">
      <c r="A120" s="1369"/>
      <c r="B120" s="1345" t="s">
        <v>1082</v>
      </c>
      <c r="C120" s="1353"/>
      <c r="D120" s="1353"/>
      <c r="E120" s="1353"/>
      <c r="F120" s="1353"/>
      <c r="G120" s="1353"/>
      <c r="H120" s="1353"/>
      <c r="I120" s="1353"/>
      <c r="J120" s="1353"/>
      <c r="K120" s="1353"/>
      <c r="L120" s="1353"/>
      <c r="M120" s="1655"/>
      <c r="N120" s="2345"/>
      <c r="O120" s="2345"/>
      <c r="P120" s="1702"/>
      <c r="Q120" s="1414"/>
    </row>
    <row r="121" s="1082" customFormat="1" ht="15.75" spans="1:17">
      <c r="A121" s="1352"/>
      <c r="B121" s="1343"/>
      <c r="C121" s="1354"/>
      <c r="D121" s="1344"/>
      <c r="E121" s="1344"/>
      <c r="F121" s="1344"/>
      <c r="G121" s="1344"/>
      <c r="H121" s="1344"/>
      <c r="I121" s="1344"/>
      <c r="J121" s="1344"/>
      <c r="K121" s="1344"/>
      <c r="L121" s="1344"/>
      <c r="M121" s="1344"/>
      <c r="N121" s="2345"/>
      <c r="O121" s="2345"/>
      <c r="P121" s="1702"/>
      <c r="Q121" s="1414"/>
    </row>
    <row r="122" ht="15.75" spans="1:17">
      <c r="A122" s="1372"/>
      <c r="B122" s="1345" t="s">
        <v>1083</v>
      </c>
      <c r="C122" s="2342" t="s">
        <v>1086</v>
      </c>
      <c r="D122" s="2342" t="s">
        <v>1084</v>
      </c>
      <c r="E122" s="2342" t="s">
        <v>1085</v>
      </c>
      <c r="F122" s="2344" t="s">
        <v>1112</v>
      </c>
      <c r="G122" s="1366"/>
      <c r="H122" s="1366"/>
      <c r="I122" s="1366"/>
      <c r="J122" s="1366"/>
      <c r="K122" s="1065"/>
      <c r="L122" s="1065"/>
      <c r="M122" s="1408"/>
      <c r="N122" s="2334"/>
      <c r="O122" s="2334"/>
      <c r="P122" s="1697"/>
      <c r="Q122" s="1382"/>
    </row>
    <row r="123" ht="15.75" spans="1:17">
      <c r="A123" s="1342"/>
      <c r="B123" s="1347"/>
      <c r="C123" s="1348">
        <v>100</v>
      </c>
      <c r="D123" s="1348">
        <f t="shared" ref="D123:M123" si="29">C123-$K42</f>
        <v>98</v>
      </c>
      <c r="E123" s="1348">
        <f t="shared" si="29"/>
        <v>96</v>
      </c>
      <c r="F123" s="1348">
        <f t="shared" si="29"/>
        <v>94</v>
      </c>
      <c r="G123" s="1348">
        <f t="shared" si="29"/>
        <v>92</v>
      </c>
      <c r="H123" s="1348">
        <f t="shared" si="29"/>
        <v>90</v>
      </c>
      <c r="I123" s="1348">
        <f t="shared" si="29"/>
        <v>88</v>
      </c>
      <c r="J123" s="1348">
        <f t="shared" si="29"/>
        <v>86</v>
      </c>
      <c r="K123" s="1348">
        <f t="shared" si="29"/>
        <v>84</v>
      </c>
      <c r="L123" s="1348">
        <f t="shared" si="29"/>
        <v>82</v>
      </c>
      <c r="M123" s="1348">
        <f t="shared" si="29"/>
        <v>80</v>
      </c>
      <c r="N123" s="2335"/>
      <c r="O123" s="2335"/>
      <c r="P123" s="1697"/>
      <c r="Q123" s="1382"/>
    </row>
    <row r="124" ht="15.75" spans="1:17">
      <c r="A124" s="1372"/>
      <c r="B124" s="1345" t="s">
        <v>215</v>
      </c>
      <c r="C124" s="1058" t="s">
        <v>226</v>
      </c>
      <c r="D124" s="1058" t="s">
        <v>238</v>
      </c>
      <c r="E124" s="1058" t="s">
        <v>249</v>
      </c>
      <c r="F124" s="1058" t="s">
        <v>259</v>
      </c>
      <c r="G124" s="1058" t="s">
        <v>266</v>
      </c>
      <c r="H124" s="1346"/>
      <c r="I124" s="1346"/>
      <c r="J124" s="1346"/>
      <c r="K124" s="1039"/>
      <c r="L124" s="1039"/>
      <c r="M124" s="1394"/>
      <c r="N124" s="2334"/>
      <c r="O124" s="2334"/>
      <c r="P124" s="1702"/>
      <c r="Q124" s="1382"/>
    </row>
    <row r="125" ht="15.75" spans="1:17">
      <c r="A125" s="1342"/>
      <c r="B125" s="1347"/>
      <c r="C125" s="1348">
        <v>100</v>
      </c>
      <c r="D125" s="1348">
        <f>C125-$K43</f>
        <v>100</v>
      </c>
      <c r="E125" s="1348">
        <f>D125-$K43</f>
        <v>100</v>
      </c>
      <c r="F125" s="1348">
        <f>E125-$K43</f>
        <v>100</v>
      </c>
      <c r="G125" s="1348">
        <f>F125-$K43</f>
        <v>100</v>
      </c>
      <c r="H125" s="1348"/>
      <c r="I125" s="1348"/>
      <c r="J125" s="1348"/>
      <c r="K125" s="1348"/>
      <c r="L125" s="1348"/>
      <c r="M125" s="1395"/>
      <c r="N125" s="2335"/>
      <c r="O125" s="2335"/>
      <c r="P125" s="1697"/>
      <c r="Q125" s="1382"/>
    </row>
    <row r="126" s="1082" customFormat="1" ht="15.75" spans="1:17">
      <c r="A126" s="1369"/>
      <c r="B126" s="1345">
        <f>B44</f>
        <v>111</v>
      </c>
      <c r="C126" s="1353"/>
      <c r="D126" s="1353"/>
      <c r="E126" s="1353"/>
      <c r="F126" s="1353"/>
      <c r="G126" s="1353"/>
      <c r="H126" s="1045"/>
      <c r="I126" s="1045"/>
      <c r="J126" s="1045"/>
      <c r="K126" s="1045"/>
      <c r="L126" s="1045"/>
      <c r="M126" s="1397"/>
      <c r="N126" s="2345"/>
      <c r="O126" s="2345"/>
      <c r="P126" s="1702"/>
      <c r="Q126" s="1414"/>
    </row>
    <row r="127" s="1082" customFormat="1" ht="15.75" spans="1:17">
      <c r="A127" s="1352"/>
      <c r="B127" s="1347"/>
      <c r="C127" s="1354"/>
      <c r="D127" s="1344"/>
      <c r="E127" s="1344"/>
      <c r="F127" s="1344"/>
      <c r="G127" s="1354"/>
      <c r="H127" s="1355"/>
      <c r="I127" s="1355"/>
      <c r="J127" s="1355"/>
      <c r="K127" s="1355"/>
      <c r="L127" s="1355"/>
      <c r="M127" s="1400"/>
      <c r="N127" s="2345"/>
      <c r="O127" s="2345"/>
      <c r="P127" s="1702"/>
      <c r="Q127" s="1414"/>
    </row>
    <row r="128" ht="15.75" spans="1:17">
      <c r="A128" s="1372"/>
      <c r="B128" s="1345">
        <f>B45</f>
        <v>111</v>
      </c>
      <c r="C128" s="1353"/>
      <c r="D128" s="1353"/>
      <c r="E128" s="1353"/>
      <c r="F128" s="1353"/>
      <c r="G128" s="1366"/>
      <c r="H128" s="1366"/>
      <c r="I128" s="1366"/>
      <c r="J128" s="1366"/>
      <c r="K128" s="1065"/>
      <c r="L128" s="1065"/>
      <c r="M128" s="1408"/>
      <c r="N128" s="2334"/>
      <c r="O128" s="2334"/>
      <c r="P128" s="1697"/>
      <c r="Q128" s="1382"/>
    </row>
    <row r="129" ht="15.75" spans="1:17">
      <c r="A129" s="1342"/>
      <c r="B129" s="1347"/>
      <c r="C129" s="1354"/>
      <c r="D129" s="1354"/>
      <c r="E129" s="1354"/>
      <c r="F129" s="1354"/>
      <c r="G129" s="1344"/>
      <c r="H129" s="1344"/>
      <c r="I129" s="1344"/>
      <c r="J129" s="1344"/>
      <c r="K129" s="1344"/>
      <c r="L129" s="1344"/>
      <c r="M129" s="1392"/>
      <c r="N129" s="2335"/>
      <c r="O129" s="2335"/>
      <c r="P129" s="1697"/>
      <c r="Q129" s="1382"/>
    </row>
    <row r="130" ht="15.75" spans="1:17">
      <c r="A130" s="1372"/>
      <c r="B130" s="1349">
        <f>B46</f>
        <v>111</v>
      </c>
      <c r="C130" s="1353"/>
      <c r="D130" s="1353"/>
      <c r="E130" s="1353"/>
      <c r="F130" s="1353"/>
      <c r="G130" s="1367"/>
      <c r="H130" s="1367"/>
      <c r="I130" s="1367"/>
      <c r="J130" s="1367"/>
      <c r="K130" s="1026"/>
      <c r="L130" s="1026"/>
      <c r="M130" s="1409"/>
      <c r="N130" s="2334"/>
      <c r="O130" s="2334"/>
      <c r="P130" s="1697"/>
      <c r="Q130" s="1382"/>
    </row>
    <row r="131" ht="15.75" spans="1:17">
      <c r="A131" s="1653"/>
      <c r="B131" s="1357"/>
      <c r="C131" s="1358"/>
      <c r="D131" s="1358"/>
      <c r="E131" s="1358"/>
      <c r="F131" s="1358"/>
      <c r="G131" s="1368"/>
      <c r="H131" s="1368"/>
      <c r="I131" s="1368"/>
      <c r="J131" s="1368"/>
      <c r="K131" s="1368"/>
      <c r="L131" s="1368"/>
      <c r="M131" s="1410"/>
      <c r="N131" s="2335"/>
      <c r="O131" s="2335"/>
      <c r="P131" s="1697"/>
      <c r="Q131" s="1382"/>
    </row>
    <row r="136" ht="15" spans="2:2">
      <c r="B136" s="2348" t="s">
        <v>1113</v>
      </c>
    </row>
    <row r="137" ht="15" spans="2:11">
      <c r="B137" s="2349" t="s">
        <v>1114</v>
      </c>
      <c r="C137" s="2350"/>
      <c r="D137" s="2350"/>
      <c r="E137" s="2350"/>
      <c r="F137" s="2350"/>
      <c r="G137" s="2351"/>
      <c r="H137" s="2352"/>
      <c r="I137" s="2376" t="s">
        <v>1115</v>
      </c>
      <c r="J137" s="2350"/>
      <c r="K137" s="2377"/>
    </row>
    <row r="138" ht="15" spans="2:11">
      <c r="B138" s="2353"/>
      <c r="C138" s="1218" t="s">
        <v>1116</v>
      </c>
      <c r="D138" s="1218" t="s">
        <v>1117</v>
      </c>
      <c r="E138" s="2354" t="s">
        <v>1118</v>
      </c>
      <c r="F138" s="2355" t="s">
        <v>1119</v>
      </c>
      <c r="G138" s="1218" t="s">
        <v>1117</v>
      </c>
      <c r="H138" s="2356" t="s">
        <v>1118</v>
      </c>
      <c r="I138" s="2378"/>
      <c r="J138" s="1218" t="s">
        <v>1120</v>
      </c>
      <c r="K138" s="2356" t="s">
        <v>1121</v>
      </c>
    </row>
    <row r="139" ht="15" spans="2:11">
      <c r="B139" s="2357">
        <v>6</v>
      </c>
      <c r="C139" s="2358">
        <v>96</v>
      </c>
      <c r="D139" s="2359" t="s">
        <v>1122</v>
      </c>
      <c r="E139" s="2360">
        <v>100</v>
      </c>
      <c r="F139" s="2361">
        <v>102.5</v>
      </c>
      <c r="G139" s="2359" t="s">
        <v>1122</v>
      </c>
      <c r="H139" s="2362">
        <v>105</v>
      </c>
      <c r="I139" s="2379" t="s">
        <v>1123</v>
      </c>
      <c r="J139" s="2358">
        <v>20</v>
      </c>
      <c r="K139" s="2380">
        <f>C145/(J139-2)</f>
        <v>0.00405555555555556</v>
      </c>
    </row>
    <row r="140" ht="15" spans="2:11">
      <c r="B140" s="2363">
        <v>5</v>
      </c>
      <c r="C140" s="2364">
        <v>100</v>
      </c>
      <c r="D140" s="2364"/>
      <c r="E140" s="2365"/>
      <c r="F140" s="2366">
        <v>102</v>
      </c>
      <c r="G140" s="2364"/>
      <c r="H140" s="2367"/>
      <c r="I140" s="2381" t="s">
        <v>1124</v>
      </c>
      <c r="J140" s="2382">
        <f>ROUNDUP((J139-1)/2,0)</f>
        <v>10</v>
      </c>
      <c r="K140" s="2383">
        <v>100</v>
      </c>
    </row>
    <row r="141" ht="15" spans="2:11">
      <c r="B141" s="2363">
        <v>4</v>
      </c>
      <c r="C141" s="2364">
        <v>102</v>
      </c>
      <c r="D141" s="2364"/>
      <c r="E141" s="2365"/>
      <c r="F141" s="2366">
        <v>101.5</v>
      </c>
      <c r="G141" s="2364"/>
      <c r="H141" s="2367"/>
      <c r="I141" s="2381" t="s">
        <v>1125</v>
      </c>
      <c r="J141" s="2382">
        <v>1</v>
      </c>
      <c r="K141" s="2384">
        <f>ROUND(100+(J141-J140)*K139*100,1)</f>
        <v>96.4</v>
      </c>
    </row>
    <row r="142" ht="15" spans="2:11">
      <c r="B142" s="2363">
        <v>3</v>
      </c>
      <c r="C142" s="2364">
        <v>103</v>
      </c>
      <c r="D142" s="2364"/>
      <c r="E142" s="2365"/>
      <c r="F142" s="2366">
        <v>101</v>
      </c>
      <c r="G142" s="2364"/>
      <c r="H142" s="2367"/>
      <c r="I142" s="2381" t="s">
        <v>1126</v>
      </c>
      <c r="J142" s="2382">
        <f>J139</f>
        <v>20</v>
      </c>
      <c r="K142" s="2385">
        <v>95</v>
      </c>
    </row>
    <row r="143" ht="15" spans="2:11">
      <c r="B143" s="2363">
        <v>2</v>
      </c>
      <c r="C143" s="2364">
        <v>100</v>
      </c>
      <c r="D143" s="2364"/>
      <c r="E143" s="2365"/>
      <c r="F143" s="2366">
        <v>100.5</v>
      </c>
      <c r="G143" s="2364"/>
      <c r="H143" s="2367"/>
      <c r="I143" s="2381" t="s">
        <v>1127</v>
      </c>
      <c r="J143" s="2364">
        <v>15</v>
      </c>
      <c r="K143" s="2384">
        <f>ROUND(100+(J143-J140)*K139*100,1)</f>
        <v>102</v>
      </c>
    </row>
    <row r="144" ht="15" spans="2:11">
      <c r="B144" s="2363">
        <v>1</v>
      </c>
      <c r="C144" s="2364">
        <v>98</v>
      </c>
      <c r="D144" s="2368" t="s">
        <v>1128</v>
      </c>
      <c r="E144" s="2365">
        <v>102</v>
      </c>
      <c r="F144" s="2369">
        <v>100</v>
      </c>
      <c r="G144" s="2368" t="s">
        <v>1128</v>
      </c>
      <c r="H144" s="2367">
        <v>105</v>
      </c>
      <c r="I144" s="2381" t="s">
        <v>1127</v>
      </c>
      <c r="J144" s="2364">
        <v>18</v>
      </c>
      <c r="K144" s="2384">
        <f>ROUND(100+(J144-J140)*K139*100,1)</f>
        <v>103.2</v>
      </c>
    </row>
    <row r="145" ht="15.75" spans="2:11">
      <c r="B145" s="2370" t="s">
        <v>1129</v>
      </c>
      <c r="C145" s="2371">
        <f>ROUND(MAX(C139:C144)/MIN(C139:C144)-1,3)</f>
        <v>0.073</v>
      </c>
      <c r="D145" s="2372"/>
      <c r="E145" s="2372"/>
      <c r="F145" s="2373" t="s">
        <v>1130</v>
      </c>
      <c r="G145" s="2374"/>
      <c r="H145" s="2375"/>
      <c r="I145" s="2386" t="s">
        <v>1127</v>
      </c>
      <c r="J145" s="2387">
        <v>8</v>
      </c>
      <c r="K145" s="2388">
        <f>ROUND(100+(J145-J140)*K139*100,1)</f>
        <v>99.2</v>
      </c>
    </row>
    <row r="147" spans="2:2">
      <c r="B147" s="2348" t="s">
        <v>1131</v>
      </c>
    </row>
    <row r="148" spans="2:2">
      <c r="B148" s="2348" t="s">
        <v>1132</v>
      </c>
    </row>
  </sheetData>
  <sheetProtection password="CEE9" sheet="1" formatCells="0" formatColumns="0" formatRows="0" objects="1" scenarios="1"/>
  <mergeCells count="40">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47:Q47"/>
    <mergeCell ref="R47:S47"/>
    <mergeCell ref="T47:U47"/>
    <mergeCell ref="V47:W47"/>
    <mergeCell ref="P48:Q48"/>
    <mergeCell ref="R48:S48"/>
    <mergeCell ref="T48:U48"/>
    <mergeCell ref="V48:W48"/>
    <mergeCell ref="P49:Q49"/>
    <mergeCell ref="R49:W49"/>
    <mergeCell ref="P9:P14"/>
    <mergeCell ref="P15:P31"/>
    <mergeCell ref="P32:P46"/>
    <mergeCell ref="Y9:Y14"/>
    <mergeCell ref="Y15:Y31"/>
    <mergeCell ref="Y32:Y46"/>
    <mergeCell ref="AA4:AA6"/>
    <mergeCell ref="AB4:AB6"/>
    <mergeCell ref="AC4:AC6"/>
    <mergeCell ref="Y4:Z6"/>
    <mergeCell ref="P4:Q6"/>
    <mergeCell ref="R4:S6"/>
    <mergeCell ref="T4:U6"/>
    <mergeCell ref="V4:W6"/>
  </mergeCells>
  <conditionalFormatting sqref="F48">
    <cfRule type="expression" dxfId="5" priority="4">
      <formula>$D$48="简单平均"</formula>
    </cfRule>
  </conditionalFormatting>
  <conditionalFormatting sqref="H48">
    <cfRule type="expression" dxfId="5" priority="3">
      <formula>$D$48="简单平均"</formula>
    </cfRule>
  </conditionalFormatting>
  <conditionalFormatting sqref="J48">
    <cfRule type="expression" dxfId="5" priority="2">
      <formula>$D$48="简单平均"</formula>
    </cfRule>
  </conditionalFormatting>
  <conditionalFormatting sqref="E52">
    <cfRule type="expression" dxfId="8" priority="15" stopIfTrue="1">
      <formula>$F$52="超过30%"</formula>
    </cfRule>
  </conditionalFormatting>
  <conditionalFormatting sqref="G52">
    <cfRule type="expression" dxfId="8" priority="10" stopIfTrue="1">
      <formula>$H$52="超过30%"</formula>
    </cfRule>
  </conditionalFormatting>
  <conditionalFormatting sqref="I52">
    <cfRule type="expression" dxfId="8" priority="8" stopIfTrue="1">
      <formula>$J$52="超过30%"</formula>
    </cfRule>
  </conditionalFormatting>
  <conditionalFormatting sqref="E53">
    <cfRule type="expression" dxfId="8" priority="12" stopIfTrue="1">
      <formula>$F$53="超过20%"</formula>
    </cfRule>
  </conditionalFormatting>
  <conditionalFormatting sqref="G53">
    <cfRule type="expression" dxfId="8" priority="9" stopIfTrue="1">
      <formula>$H$53="超过20%"</formula>
    </cfRule>
  </conditionalFormatting>
  <conditionalFormatting sqref="I53">
    <cfRule type="expression" dxfId="8" priority="7" stopIfTrue="1">
      <formula>$J$53="超过20%"</formula>
    </cfRule>
  </conditionalFormatting>
  <conditionalFormatting sqref="E54">
    <cfRule type="expression" dxfId="8" priority="11" stopIfTrue="1">
      <formula>$F$54="超过30%"</formula>
    </cfRule>
  </conditionalFormatting>
  <conditionalFormatting sqref="F54">
    <cfRule type="containsText" dxfId="9" priority="17" stopIfTrue="1" operator="between" text="超过">
      <formula>NOT(ISERROR(SEARCH("超过",F54)))</formula>
    </cfRule>
  </conditionalFormatting>
  <conditionalFormatting sqref="G54">
    <cfRule type="expression" dxfId="8" priority="13" stopIfTrue="1">
      <formula>$H$54="超过30%"</formula>
    </cfRule>
  </conditionalFormatting>
  <conditionalFormatting sqref="H54">
    <cfRule type="containsText" dxfId="9" priority="18" stopIfTrue="1" operator="between" text="超过">
      <formula>NOT(ISERROR(SEARCH("超过",H54)))</formula>
    </cfRule>
  </conditionalFormatting>
  <conditionalFormatting sqref="I54">
    <cfRule type="expression" dxfId="8" priority="6" stopIfTrue="1">
      <formula>$J$54="超过30%"</formula>
    </cfRule>
  </conditionalFormatting>
  <conditionalFormatting sqref="J54">
    <cfRule type="containsText" dxfId="9" priority="19" stopIfTrue="1" operator="between" text="超过">
      <formula>NOT(ISERROR(SEARCH("超过",J54)))</formula>
    </cfRule>
  </conditionalFormatting>
  <conditionalFormatting sqref="F7:F46 H7:H46 J7:J46">
    <cfRule type="cellIs" dxfId="10" priority="1" operator="notEqual">
      <formula>100</formula>
    </cfRule>
  </conditionalFormatting>
  <conditionalFormatting sqref="F52 H52 J52">
    <cfRule type="containsText" dxfId="9" priority="20" stopIfTrue="1" operator="between" text="超过">
      <formula>NOT(ISERROR(SEARCH("超过",F52)))</formula>
    </cfRule>
  </conditionalFormatting>
  <conditionalFormatting sqref="F53 H53 J53">
    <cfRule type="containsText" dxfId="9" priority="16" stopIfTrue="1" operator="between" text="超过">
      <formula>NOT(ISERROR(SEARCH("超过",F53)))</formula>
    </cfRule>
  </conditionalFormatting>
  <dataValidations count="24">
    <dataValidation type="list" allowBlank="1" showInputMessage="1" showErrorMessage="1" sqref="C39 E39 G39 I39">
      <formula1>住宅基础设施水平</formula1>
    </dataValidation>
    <dataValidation type="list" allowBlank="1" showInputMessage="1" showErrorMessage="1" sqref="C1">
      <formula1>"估价对象,仅计算典型户型"</formula1>
    </dataValidation>
    <dataValidation type="list" allowBlank="1" showInputMessage="1" showErrorMessage="1" sqref="E1">
      <formula1>"售价,租金"</formula1>
    </dataValidation>
    <dataValidation type="list" allowBlank="1" showInputMessage="1" showErrorMessage="1" sqref="E9 G9 I9">
      <formula1>住宅用途</formula1>
    </dataValidation>
    <dataValidation type="list" allowBlank="1" showInputMessage="1" showErrorMessage="1" sqref="D2">
      <formula1>"需扣减承租人权益,——"</formula1>
    </dataValidation>
    <dataValidation type="list" allowBlank="1" showInputMessage="1" showErrorMessage="1" sqref="G2">
      <formula1>估价方法</formula1>
    </dataValidation>
    <dataValidation type="list" allowBlank="1" showInputMessage="1" showErrorMessage="1" sqref="C8 E8 G8 I8">
      <formula1>住宅交易情况</formula1>
    </dataValidation>
    <dataValidation type="list" allowBlank="1" showInputMessage="1" showErrorMessage="1" sqref="C10 E10 G10 I10">
      <formula1>土地年限区间</formula1>
    </dataValidation>
    <dataValidation type="list" allowBlank="1" showInputMessage="1" showErrorMessage="1" sqref="C16 E16 G16 I16">
      <formula1>居住社区成熟度</formula1>
    </dataValidation>
    <dataValidation type="list" allowBlank="1" showInputMessage="1" showErrorMessage="1" sqref="C18 E18 G18 I18">
      <formula1>交通便捷度</formula1>
    </dataValidation>
    <dataValidation type="list" allowBlank="1" showInputMessage="1" showErrorMessage="1" sqref="C38 E38 G38 I38">
      <formula1>住宅物业管理</formula1>
    </dataValidation>
    <dataValidation type="list" allowBlank="1" showInputMessage="1" showErrorMessage="1" sqref="C20 E20 G20 I20">
      <formula1>公共配套设施</formula1>
    </dataValidation>
    <dataValidation type="list" allowBlank="1" showInputMessage="1" showErrorMessage="1" sqref="C22 E22 G22 I22">
      <formula1>基础设施水平</formula1>
    </dataValidation>
    <dataValidation type="list" allowBlank="1" showInputMessage="1" showErrorMessage="1" sqref="C24 E24 G24 I24">
      <formula1>环境</formula1>
    </dataValidation>
    <dataValidation type="list" allowBlank="1" showInputMessage="1" showErrorMessage="1" sqref="C25 E25 G25 I25">
      <formula1>住宅楼层</formula1>
    </dataValidation>
    <dataValidation type="list" allowBlank="1" showInputMessage="1" showErrorMessage="1" sqref="C26 E26 G26 I26">
      <formula1>住宅朝向</formula1>
    </dataValidation>
    <dataValidation type="list" allowBlank="1" showInputMessage="1" showErrorMessage="1" sqref="C32 E32 G32 I32">
      <formula1>住宅建筑类型</formula1>
    </dataValidation>
    <dataValidation type="list" allowBlank="1" showInputMessage="1" showErrorMessage="1" sqref="C34 E34 G34 I34">
      <formula1>住宅建筑结构</formula1>
    </dataValidation>
    <dataValidation type="list" allowBlank="1" showInputMessage="1" showErrorMessage="1" sqref="C35 E35 G35 I35">
      <formula1>住宅建筑品质</formula1>
    </dataValidation>
    <dataValidation type="list" allowBlank="1" showInputMessage="1" showErrorMessage="1" sqref="C36 E36 G36 I36">
      <formula1>住宅公共部分装修</formula1>
    </dataValidation>
    <dataValidation type="list" allowBlank="1" showInputMessage="1" showErrorMessage="1" sqref="C40 E40 G40 I40">
      <formula1>住宅房型</formula1>
    </dataValidation>
    <dataValidation type="list" allowBlank="1" showInputMessage="1" showErrorMessage="1" sqref="C42 E42 G42 I42">
      <formula1>住宅内部装修</formula1>
    </dataValidation>
    <dataValidation type="list" allowBlank="1" showInputMessage="1" showErrorMessage="1" sqref="C43 E43 G43 I43">
      <formula1>内部装修维护情况</formula1>
    </dataValidation>
    <dataValidation type="list" allowBlank="1" showInputMessage="1" showErrorMessage="1" sqref="D48">
      <formula1>"简单平均,加权平均"</formula1>
    </dataValidation>
  </dataValidations>
  <pageMargins left="0.708661417322835" right="0.708661417322835" top="1.06299212598425" bottom="0.94488188976378" header="0.31496062992126" footer="0.31496062992126"/>
  <pageSetup paperSize="9" scale="52" fitToHeight="0" orientation="portrait"/>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2060"/>
  </sheetPr>
  <dimension ref="A1:G23"/>
  <sheetViews>
    <sheetView view="pageLayout" zoomScale="80" zoomScaleSheetLayoutView="110" zoomScaleNormal="100" workbookViewId="0">
      <selection activeCell="B18" sqref="B18"/>
    </sheetView>
  </sheetViews>
  <sheetFormatPr defaultColWidth="8.125" defaultRowHeight="13.5" outlineLevelCol="6"/>
  <cols>
    <col min="1" max="1" width="1.75" customWidth="1"/>
    <col min="2" max="2" width="82.375" customWidth="1"/>
    <col min="3" max="4" width="12.5" customWidth="1"/>
    <col min="8" max="8" width="17.5" customWidth="1"/>
  </cols>
  <sheetData>
    <row r="1" ht="409.5" customHeight="1" spans="1:2">
      <c r="A1" s="3555"/>
      <c r="B1" s="3556"/>
    </row>
    <row r="2" spans="1:2">
      <c r="A2" s="3555"/>
      <c r="B2" s="3556"/>
    </row>
    <row r="3" spans="1:2">
      <c r="A3" s="3555"/>
      <c r="B3" s="3556"/>
    </row>
    <row r="4" spans="1:2">
      <c r="A4" s="3555"/>
      <c r="B4" s="3556"/>
    </row>
    <row r="5" spans="1:2">
      <c r="A5" s="3555"/>
      <c r="B5" s="3556"/>
    </row>
    <row r="6" spans="1:2">
      <c r="A6" s="3555"/>
      <c r="B6" s="3556"/>
    </row>
    <row r="7" spans="1:2">
      <c r="A7" s="3555"/>
      <c r="B7" s="3556"/>
    </row>
    <row r="8" spans="1:3">
      <c r="A8" s="3557" t="s">
        <v>71</v>
      </c>
      <c r="B8" s="3558" t="s">
        <v>72</v>
      </c>
      <c r="C8" s="3559"/>
    </row>
    <row r="9" spans="1:7">
      <c r="A9" s="3555"/>
      <c r="B9" s="3560" t="str">
        <f>项目基本情况!B1</f>
        <v>北京市预评估</v>
      </c>
      <c r="C9" s="3561"/>
      <c r="D9" s="3562"/>
      <c r="E9" s="3562"/>
      <c r="F9" s="3562"/>
      <c r="G9" s="3562"/>
    </row>
    <row r="10" spans="1:7">
      <c r="A10" s="3555"/>
      <c r="B10" s="3563"/>
      <c r="C10" s="3561"/>
      <c r="D10" s="3562"/>
      <c r="E10" s="3562"/>
      <c r="F10" s="3562"/>
      <c r="G10" s="3562"/>
    </row>
    <row r="11" spans="1:3">
      <c r="A11" s="3557" t="s">
        <v>71</v>
      </c>
      <c r="B11" s="3558" t="s">
        <v>73</v>
      </c>
      <c r="C11" s="3559"/>
    </row>
    <row r="12" spans="1:3">
      <c r="A12" s="3555"/>
      <c r="B12" s="3564" t="str">
        <f>项目基本情况!B4</f>
        <v>xx</v>
      </c>
      <c r="C12" s="3559"/>
    </row>
    <row r="13" spans="1:3">
      <c r="A13" s="3555"/>
      <c r="B13" s="3558"/>
      <c r="C13" s="3559"/>
    </row>
    <row r="14" spans="1:3">
      <c r="A14" s="3557" t="s">
        <v>71</v>
      </c>
      <c r="B14" s="3558" t="s">
        <v>74</v>
      </c>
      <c r="C14" s="3559"/>
    </row>
    <row r="15" spans="1:3">
      <c r="A15" s="3555"/>
      <c r="B15" s="3564" t="s">
        <v>75</v>
      </c>
      <c r="C15" s="3559"/>
    </row>
    <row r="16" spans="1:3">
      <c r="A16" s="3555"/>
      <c r="B16" s="3558"/>
      <c r="C16" s="3559"/>
    </row>
    <row r="17" spans="1:3">
      <c r="A17" s="3557" t="s">
        <v>71</v>
      </c>
      <c r="B17" s="3558" t="s">
        <v>76</v>
      </c>
      <c r="C17" s="3559"/>
    </row>
    <row r="18" s="3554" customFormat="1" spans="1:5">
      <c r="A18" s="3565"/>
      <c r="B18" s="3564" t="str">
        <f ca="1">CONCATENATE(项目基本情况!B3,"（注册号:",项目基本情况!C3,"）、",项目基本情况!D3,"（注册号:",项目基本情况!E3,")")</f>
        <v>（注册号:0）、（注册号:0)</v>
      </c>
      <c r="C18" s="3566"/>
      <c r="E18" s="3566"/>
    </row>
    <row r="19" spans="1:3">
      <c r="A19" s="3555"/>
      <c r="B19" s="3558"/>
      <c r="C19" s="3559"/>
    </row>
    <row r="20" spans="1:3">
      <c r="A20" s="3557" t="s">
        <v>71</v>
      </c>
      <c r="B20" s="3558" t="s">
        <v>77</v>
      </c>
      <c r="C20" s="3559"/>
    </row>
    <row r="21" spans="1:2">
      <c r="A21" s="3555"/>
      <c r="B21" s="3564" t="str">
        <f>"康正预评字"&amp;项目基本情况!G1&amp;"号"</f>
        <v>康正预评字号</v>
      </c>
    </row>
    <row r="22" spans="1:2">
      <c r="A22" s="3555"/>
      <c r="B22" s="3556"/>
    </row>
    <row r="23" spans="2:2">
      <c r="B23" s="3567"/>
    </row>
  </sheetData>
  <sheetProtection sheet="1" formatCells="0" formatRows="0" insertRows="0" deleteRows="0" objects="1" scenarios="1"/>
  <printOptions horizontalCentered="1"/>
  <pageMargins left="0.984251968503937" right="0.78740157480315" top="0.984251968503937" bottom="0.984251968503937" header="0.590551181102362" footer="0.590551181102362"/>
  <pageSetup paperSize="9" orientation="portrait"/>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tabSelected="1" topLeftCell="A91" workbookViewId="0">
      <selection activeCell="C122" sqref="C122"/>
    </sheetView>
  </sheetViews>
  <sheetFormatPr defaultColWidth="9" defaultRowHeight="13.5"/>
  <sheetData/>
  <pageMargins left="0.75" right="0.75" top="1" bottom="1" header="0.5" footer="0.5"/>
  <headerFooter/>
  <drawing r:id="rId1"/>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
    <tabColor rgb="FF92D050"/>
    <pageSetUpPr fitToPage="1"/>
  </sheetPr>
  <dimension ref="A1:AK75"/>
  <sheetViews>
    <sheetView view="pageBreakPreview" zoomScale="70" zoomScaleNormal="60" topLeftCell="A7" workbookViewId="0">
      <selection activeCell="C36" sqref="C36"/>
    </sheetView>
  </sheetViews>
  <sheetFormatPr defaultColWidth="9" defaultRowHeight="15"/>
  <cols>
    <col min="1" max="1" width="9" style="2044" customWidth="1"/>
    <col min="2" max="2" width="20.625" style="2045" customWidth="1"/>
    <col min="3" max="3" width="11.875" style="2045" customWidth="1"/>
    <col min="4" max="4" width="40.5" style="2044" customWidth="1"/>
    <col min="5" max="5" width="15.75" style="2044" customWidth="1"/>
    <col min="6" max="6" width="10.625" style="2044" customWidth="1"/>
    <col min="7" max="7" width="4.875" style="2044" customWidth="1"/>
    <col min="8" max="8" width="8.5" style="2044" customWidth="1"/>
    <col min="9" max="9" width="21.25" style="2044" customWidth="1"/>
    <col min="10" max="10" width="12.25" style="2044" customWidth="1"/>
    <col min="11" max="11" width="40.125" style="2046" customWidth="1"/>
    <col min="12" max="12" width="18.375" style="2044" customWidth="1"/>
    <col min="13" max="13" width="13" style="2044" customWidth="1"/>
    <col min="14" max="14" width="13.125" style="2043" customWidth="1"/>
    <col min="15" max="15" width="5.25" style="2043" customWidth="1"/>
    <col min="16" max="16" width="24.875" style="2043" customWidth="1"/>
    <col min="17" max="17" width="13.75" style="2047" customWidth="1"/>
    <col min="18" max="18" width="26.125" style="2043" customWidth="1"/>
    <col min="19" max="19" width="1.5" style="2043" customWidth="1"/>
    <col min="20" max="37" width="9" style="2043"/>
    <col min="38" max="16384" width="9" style="2044"/>
  </cols>
  <sheetData>
    <row r="1" s="2041" customFormat="1" ht="20.25" spans="1:37">
      <c r="A1" s="2048" t="s">
        <v>1133</v>
      </c>
      <c r="B1" s="2049"/>
      <c r="C1" s="2050"/>
      <c r="D1" s="2051" t="s">
        <v>97</v>
      </c>
      <c r="E1" s="2052" t="s">
        <v>121</v>
      </c>
      <c r="F1" s="2053"/>
      <c r="G1" s="2054" t="e">
        <f>MATCH(C1,'数据-取费表'!A19:A19,0)+5</f>
        <v>#N/A</v>
      </c>
      <c r="H1" s="2055"/>
      <c r="I1" s="2192"/>
      <c r="J1" s="2192"/>
      <c r="K1" s="2193"/>
      <c r="L1" s="2192"/>
      <c r="M1" s="2192"/>
      <c r="N1" s="2194"/>
      <c r="O1" s="2194"/>
      <c r="P1" s="2194"/>
      <c r="Q1" s="2288"/>
      <c r="R1" s="2194"/>
      <c r="S1" s="2194"/>
      <c r="T1" s="2194"/>
      <c r="U1" s="2194"/>
      <c r="V1" s="2194"/>
      <c r="W1" s="2194"/>
      <c r="X1" s="2194"/>
      <c r="Y1" s="2194"/>
      <c r="Z1" s="2194"/>
      <c r="AA1" s="2194"/>
      <c r="AB1" s="2194"/>
      <c r="AC1" s="2194"/>
      <c r="AD1" s="2194"/>
      <c r="AE1" s="2194"/>
      <c r="AF1" s="2194"/>
      <c r="AG1" s="2194"/>
      <c r="AH1" s="2194"/>
      <c r="AI1" s="2194"/>
      <c r="AJ1" s="2194"/>
      <c r="AK1" s="2194"/>
    </row>
    <row r="2" ht="18" customHeight="1" spans="1:13">
      <c r="A2" s="721" t="s">
        <v>868</v>
      </c>
      <c r="B2" s="2056">
        <f ca="1">IF(C2="元",IF('数据-取费表'!B29="租赁期内按合同租金",C40+L47+J29,C40+L47),ROUND(IF('数据-取费表'!B29="租赁期内按合同租金",(C40+L47+J29)/10000,(C40+L47)/10000),0))</f>
        <v>8841725</v>
      </c>
      <c r="C2" s="2057" t="str">
        <f>'数据-取费表'!B3</f>
        <v>元</v>
      </c>
      <c r="D2" s="1506"/>
      <c r="E2" s="2058"/>
      <c r="F2" s="2058"/>
      <c r="G2" s="2059"/>
      <c r="H2" s="2060"/>
      <c r="I2" s="2060"/>
      <c r="J2" s="2060"/>
      <c r="K2" s="2195"/>
      <c r="L2" s="2060"/>
      <c r="M2" s="2060"/>
    </row>
    <row r="3" ht="18" customHeight="1" spans="1:13">
      <c r="A3" s="2061" t="s">
        <v>869</v>
      </c>
      <c r="B3" s="2062">
        <f ca="1">ROUND(IF('数据-取费表'!B29="租赁期内按合同租金",(C40+L47+J29)/F43,(C40+L47)/F43),0)</f>
        <v>35856</v>
      </c>
      <c r="C3" s="2057" t="s">
        <v>1134</v>
      </c>
      <c r="D3" s="1506"/>
      <c r="E3" s="2058"/>
      <c r="F3" s="2058"/>
      <c r="G3" s="2059"/>
      <c r="H3" s="2063" t="s">
        <v>1135</v>
      </c>
      <c r="I3" s="2060"/>
      <c r="J3" s="2060"/>
      <c r="K3" s="2195"/>
      <c r="L3" s="2060"/>
      <c r="M3" s="2060"/>
    </row>
    <row r="4" ht="18" customHeight="1" spans="1:13">
      <c r="A4" s="2064" t="s">
        <v>1136</v>
      </c>
      <c r="B4" s="2065" t="s">
        <v>1137</v>
      </c>
      <c r="C4" s="2065" t="s">
        <v>1138</v>
      </c>
      <c r="D4" s="2065" t="s">
        <v>1139</v>
      </c>
      <c r="E4" s="2066" t="s">
        <v>1140</v>
      </c>
      <c r="F4" s="2067"/>
      <c r="G4" s="2068"/>
      <c r="H4" s="2064" t="s">
        <v>1136</v>
      </c>
      <c r="I4" s="2065" t="s">
        <v>1137</v>
      </c>
      <c r="J4" s="2065" t="s">
        <v>1138</v>
      </c>
      <c r="K4" s="2065" t="s">
        <v>1139</v>
      </c>
      <c r="L4" s="2066" t="s">
        <v>1140</v>
      </c>
      <c r="M4" s="2067"/>
    </row>
    <row r="5" ht="18" customHeight="1" spans="1:13">
      <c r="A5" s="2069">
        <v>1</v>
      </c>
      <c r="B5" s="2070" t="s">
        <v>1141</v>
      </c>
      <c r="C5" s="2071">
        <f ca="1">C6+C10+C12</f>
        <v>346645</v>
      </c>
      <c r="D5" s="2072" t="s">
        <v>1142</v>
      </c>
      <c r="E5" s="1506"/>
      <c r="F5" s="2073"/>
      <c r="G5" s="2068"/>
      <c r="H5" s="2069">
        <v>1</v>
      </c>
      <c r="I5" s="2070" t="s">
        <v>1141</v>
      </c>
      <c r="J5" s="2071">
        <f ca="1">J6+J10+J12</f>
        <v>0</v>
      </c>
      <c r="K5" s="2196" t="s">
        <v>1143</v>
      </c>
      <c r="L5" s="1506"/>
      <c r="M5" s="2073"/>
    </row>
    <row r="6" ht="18" customHeight="1" spans="1:13">
      <c r="A6" s="2074" t="s">
        <v>967</v>
      </c>
      <c r="B6" s="2075" t="s">
        <v>1144</v>
      </c>
      <c r="C6" s="2071">
        <f>ROUND(F6*F8*F7*(1-F9),0)</f>
        <v>346212</v>
      </c>
      <c r="D6" s="2076" t="s">
        <v>1145</v>
      </c>
      <c r="E6" s="2077" t="s">
        <v>1146</v>
      </c>
      <c r="F6" s="2078">
        <f>'数据-取费表'!B30</f>
        <v>130</v>
      </c>
      <c r="G6" s="2068"/>
      <c r="H6" s="2074" t="s">
        <v>967</v>
      </c>
      <c r="I6" s="2075" t="s">
        <v>1144</v>
      </c>
      <c r="J6" s="2071">
        <f>ROUND(M6*M8*M7*(1-M9),0)</f>
        <v>0</v>
      </c>
      <c r="K6" s="2076" t="s">
        <v>1145</v>
      </c>
      <c r="L6" s="2077" t="s">
        <v>1146</v>
      </c>
      <c r="M6" s="2078">
        <f>'数据-取费表'!B37</f>
        <v>0</v>
      </c>
    </row>
    <row r="7" ht="18" customHeight="1" spans="1:13">
      <c r="A7" s="2079"/>
      <c r="B7" s="2080"/>
      <c r="C7" s="2081"/>
      <c r="D7" s="2082"/>
      <c r="E7" s="2077" t="s">
        <v>1147</v>
      </c>
      <c r="F7" s="2078">
        <f>IF('数据-取费表'!B42="",IF(D1="仅计算典型户型",'数据-取费表'!E5,'数据-取费表'!B5),'数据-取费表'!B42)</f>
        <v>246.59</v>
      </c>
      <c r="G7" s="2068"/>
      <c r="H7" s="2083"/>
      <c r="I7" s="2080"/>
      <c r="J7" s="2081"/>
      <c r="K7" s="2082"/>
      <c r="L7" s="2077" t="s">
        <v>1147</v>
      </c>
      <c r="M7" s="2078">
        <f>IF('数据-取费表'!B42="",IF(D1="仅计算典型户型",'数据-取费表'!E5,'数据-取费表'!B5),'数据-取费表'!B42)</f>
        <v>246.59</v>
      </c>
    </row>
    <row r="8" ht="18" customHeight="1" spans="1:13">
      <c r="A8" s="2079"/>
      <c r="B8" s="2080"/>
      <c r="C8" s="2081"/>
      <c r="D8" s="2082"/>
      <c r="E8" s="2077" t="s">
        <v>1148</v>
      </c>
      <c r="F8" s="2078">
        <f>'数据-取费表'!B43</f>
        <v>12</v>
      </c>
      <c r="G8" s="2068"/>
      <c r="H8" s="2083"/>
      <c r="I8" s="2080"/>
      <c r="J8" s="2081"/>
      <c r="K8" s="2082"/>
      <c r="L8" s="2077" t="s">
        <v>1149</v>
      </c>
      <c r="M8" s="2078">
        <f>'数据-取费表'!B43</f>
        <v>12</v>
      </c>
    </row>
    <row r="9" ht="18" customHeight="1" spans="1:13">
      <c r="A9" s="2079"/>
      <c r="B9" s="2080"/>
      <c r="C9" s="2081"/>
      <c r="D9" s="2084"/>
      <c r="E9" s="2077" t="s">
        <v>1150</v>
      </c>
      <c r="F9" s="2085">
        <f>'数据-取费表'!B33</f>
        <v>0.1</v>
      </c>
      <c r="G9" s="2068"/>
      <c r="H9" s="2083"/>
      <c r="I9" s="2080"/>
      <c r="J9" s="2197"/>
      <c r="K9" s="2198"/>
      <c r="L9" s="2089" t="s">
        <v>1150</v>
      </c>
      <c r="M9" s="2085">
        <f>'数据-取费表'!B39</f>
        <v>0</v>
      </c>
    </row>
    <row r="10" ht="18" customHeight="1" spans="1:13">
      <c r="A10" s="2074" t="s">
        <v>968</v>
      </c>
      <c r="B10" s="2086" t="s">
        <v>1151</v>
      </c>
      <c r="C10" s="2087">
        <f ca="1">ROUND(IF(F10="押一",C6/12*F11,IF(F10="押二",C6/12*2*F11,IF(F10="押三",C6/12*3*F11,C11*F11))),0)</f>
        <v>433</v>
      </c>
      <c r="D10" s="2088" t="s">
        <v>1152</v>
      </c>
      <c r="E10" s="2089" t="s">
        <v>1153</v>
      </c>
      <c r="F10" s="2090" t="s">
        <v>1154</v>
      </c>
      <c r="G10" s="2068"/>
      <c r="H10" s="2074" t="s">
        <v>968</v>
      </c>
      <c r="I10" s="2086" t="s">
        <v>1151</v>
      </c>
      <c r="J10" s="2087">
        <f ca="1">ROUND(IF(M10="押一",J6/12*M11,IF(M10="押二",J6/12*2*M11,IF(M10="押三",J6/12*3*M11,J11*M11))),0)</f>
        <v>0</v>
      </c>
      <c r="K10" s="2076" t="s">
        <v>1152</v>
      </c>
      <c r="L10" s="2089" t="s">
        <v>1153</v>
      </c>
      <c r="M10" s="2090"/>
    </row>
    <row r="11" s="2042" customFormat="1" ht="18" customHeight="1" spans="1:37">
      <c r="A11" s="2091"/>
      <c r="B11" s="2092" t="s">
        <v>1155</v>
      </c>
      <c r="C11" s="2093"/>
      <c r="D11" s="2082"/>
      <c r="E11" s="2089" t="s">
        <v>1156</v>
      </c>
      <c r="F11" s="2094">
        <f ca="1">'数据-取费表'!B31</f>
        <v>0.015</v>
      </c>
      <c r="G11" s="2095"/>
      <c r="H11" s="2096"/>
      <c r="I11" s="2092" t="s">
        <v>1157</v>
      </c>
      <c r="J11" s="2093"/>
      <c r="K11" s="2082"/>
      <c r="L11" s="2089" t="s">
        <v>1156</v>
      </c>
      <c r="M11" s="2094">
        <f ca="1">'数据-取费表'!B31</f>
        <v>0.015</v>
      </c>
      <c r="N11" s="2199"/>
      <c r="O11" s="2199"/>
      <c r="P11" s="2199"/>
      <c r="Q11" s="2289"/>
      <c r="R11" s="2199"/>
      <c r="S11" s="2199"/>
      <c r="T11" s="2199"/>
      <c r="U11" s="2199"/>
      <c r="V11" s="2199"/>
      <c r="W11" s="2199"/>
      <c r="X11" s="2199"/>
      <c r="Y11" s="2199"/>
      <c r="Z11" s="2199"/>
      <c r="AA11" s="2199"/>
      <c r="AB11" s="2199"/>
      <c r="AC11" s="2199"/>
      <c r="AD11" s="2199"/>
      <c r="AE11" s="2199"/>
      <c r="AF11" s="2199"/>
      <c r="AG11" s="2199"/>
      <c r="AH11" s="2199"/>
      <c r="AI11" s="2199"/>
      <c r="AJ11" s="2199"/>
      <c r="AK11" s="2199"/>
    </row>
    <row r="12" ht="18" customHeight="1" spans="1:13">
      <c r="A12" s="2097" t="s">
        <v>969</v>
      </c>
      <c r="B12" s="2098" t="s">
        <v>1158</v>
      </c>
      <c r="C12" s="2099"/>
      <c r="D12" s="2100"/>
      <c r="E12" s="2101"/>
      <c r="F12" s="2102"/>
      <c r="G12" s="2068"/>
      <c r="H12" s="2097" t="s">
        <v>969</v>
      </c>
      <c r="I12" s="2098" t="s">
        <v>1158</v>
      </c>
      <c r="J12" s="2099"/>
      <c r="K12" s="2180"/>
      <c r="L12" s="2101"/>
      <c r="M12" s="2200"/>
    </row>
    <row r="13" s="2042" customFormat="1" ht="18" customHeight="1" spans="1:37">
      <c r="A13" s="2103">
        <v>2</v>
      </c>
      <c r="B13" s="2104" t="s">
        <v>1159</v>
      </c>
      <c r="C13" s="2105">
        <f>ROUND(C29*F13,0)</f>
        <v>938818</v>
      </c>
      <c r="D13" s="2106" t="s">
        <v>1160</v>
      </c>
      <c r="E13" s="2106" t="s">
        <v>1161</v>
      </c>
      <c r="F13" s="2107">
        <f>'数据-取费表'!E20</f>
        <v>0.76</v>
      </c>
      <c r="G13" s="2095"/>
      <c r="H13" s="2103">
        <v>2</v>
      </c>
      <c r="I13" s="2104" t="s">
        <v>1159</v>
      </c>
      <c r="J13" s="2197">
        <f>ROUND(J14*J15,0)</f>
        <v>0</v>
      </c>
      <c r="K13" s="2127" t="s">
        <v>1160</v>
      </c>
      <c r="L13" s="2201"/>
      <c r="M13" s="2202"/>
      <c r="N13" s="2199"/>
      <c r="O13" s="2199"/>
      <c r="P13" s="2199"/>
      <c r="Q13" s="2289"/>
      <c r="R13" s="2199"/>
      <c r="S13" s="2199"/>
      <c r="T13" s="2199"/>
      <c r="U13" s="2199"/>
      <c r="V13" s="2199"/>
      <c r="W13" s="2199"/>
      <c r="X13" s="2199"/>
      <c r="Y13" s="2199"/>
      <c r="Z13" s="2199"/>
      <c r="AA13" s="2199"/>
      <c r="AB13" s="2199"/>
      <c r="AC13" s="2199"/>
      <c r="AD13" s="2199"/>
      <c r="AE13" s="2199"/>
      <c r="AF13" s="2199"/>
      <c r="AG13" s="2199"/>
      <c r="AH13" s="2199"/>
      <c r="AI13" s="2199"/>
      <c r="AJ13" s="2199"/>
      <c r="AK13" s="2199"/>
    </row>
    <row r="14" s="2042" customFormat="1" ht="18" customHeight="1" spans="1:37">
      <c r="A14" s="2108" t="s">
        <v>990</v>
      </c>
      <c r="B14" s="2077" t="s">
        <v>1162</v>
      </c>
      <c r="C14" s="2109">
        <f>IF(D1="仅计算典型户型",'数据-取费表'!F18,'数据-取费表'!E18)</f>
        <v>739770</v>
      </c>
      <c r="D14" s="2110" t="s">
        <v>1163</v>
      </c>
      <c r="E14" s="2111"/>
      <c r="F14" s="2112"/>
      <c r="G14" s="2095"/>
      <c r="H14" s="2108" t="s">
        <v>967</v>
      </c>
      <c r="I14" s="2077" t="s">
        <v>1164</v>
      </c>
      <c r="J14" s="1762">
        <f>C29</f>
        <v>1235287</v>
      </c>
      <c r="K14" s="2191"/>
      <c r="L14" s="2203"/>
      <c r="M14" s="2204"/>
      <c r="N14" s="2199"/>
      <c r="O14" s="2199"/>
      <c r="P14" s="2199"/>
      <c r="Q14" s="2289"/>
      <c r="R14" s="2199"/>
      <c r="S14" s="2199"/>
      <c r="T14" s="2199"/>
      <c r="U14" s="2199"/>
      <c r="V14" s="2199"/>
      <c r="W14" s="2199"/>
      <c r="X14" s="2199"/>
      <c r="Y14" s="2199"/>
      <c r="Z14" s="2199"/>
      <c r="AA14" s="2199"/>
      <c r="AB14" s="2199"/>
      <c r="AC14" s="2199"/>
      <c r="AD14" s="2199"/>
      <c r="AE14" s="2199"/>
      <c r="AF14" s="2199"/>
      <c r="AG14" s="2199"/>
      <c r="AH14" s="2199"/>
      <c r="AI14" s="2199"/>
      <c r="AJ14" s="2199"/>
      <c r="AK14" s="2199"/>
    </row>
    <row r="15" ht="18" customHeight="1" spans="1:13">
      <c r="A15" s="2108" t="s">
        <v>992</v>
      </c>
      <c r="B15" s="2077" t="s">
        <v>979</v>
      </c>
      <c r="C15" s="1762">
        <f>ROUND(C14*F15,0)</f>
        <v>22193</v>
      </c>
      <c r="D15" s="2113" t="s">
        <v>1165</v>
      </c>
      <c r="E15" s="2113" t="s">
        <v>1166</v>
      </c>
      <c r="F15" s="2114">
        <f>'数据-取费表'!E21</f>
        <v>0.03</v>
      </c>
      <c r="G15" s="2068"/>
      <c r="H15" s="2115" t="s">
        <v>968</v>
      </c>
      <c r="I15" s="2101" t="s">
        <v>1161</v>
      </c>
      <c r="J15" s="2205">
        <f>'数据-取费表'!B40</f>
        <v>0</v>
      </c>
      <c r="K15" s="2206"/>
      <c r="L15" s="2207"/>
      <c r="M15" s="2208"/>
    </row>
    <row r="16" s="2042" customFormat="1" ht="18" customHeight="1" spans="1:37">
      <c r="A16" s="2108" t="s">
        <v>995</v>
      </c>
      <c r="B16" s="2077" t="s">
        <v>982</v>
      </c>
      <c r="C16" s="1762">
        <f>ROUND(C14*F16,0)</f>
        <v>36989</v>
      </c>
      <c r="D16" s="2077" t="s">
        <v>1165</v>
      </c>
      <c r="E16" s="2077" t="s">
        <v>1166</v>
      </c>
      <c r="F16" s="2116">
        <f>IF('数据-取费表'!B10="住宅",'数据-取费表'!E22,0)</f>
        <v>0.05</v>
      </c>
      <c r="G16" s="2095"/>
      <c r="H16" s="2103" t="s">
        <v>739</v>
      </c>
      <c r="I16" s="2104" t="s">
        <v>1167</v>
      </c>
      <c r="J16" s="2105">
        <f ca="1">ROUND(J17+J22+J23+J24,0)</f>
        <v>12353</v>
      </c>
      <c r="K16" s="2127" t="s">
        <v>1168</v>
      </c>
      <c r="L16" s="2128"/>
      <c r="M16" s="2129"/>
      <c r="N16" s="2199"/>
      <c r="O16" s="2199"/>
      <c r="P16" s="2199"/>
      <c r="Q16" s="2289"/>
      <c r="R16" s="2199"/>
      <c r="S16" s="2199"/>
      <c r="T16" s="2199"/>
      <c r="U16" s="2199"/>
      <c r="V16" s="2199"/>
      <c r="W16" s="2199"/>
      <c r="X16" s="2199"/>
      <c r="Y16" s="2199"/>
      <c r="Z16" s="2199"/>
      <c r="AA16" s="2199"/>
      <c r="AB16" s="2199"/>
      <c r="AC16" s="2199"/>
      <c r="AD16" s="2199"/>
      <c r="AE16" s="2199"/>
      <c r="AF16" s="2199"/>
      <c r="AG16" s="2199"/>
      <c r="AH16" s="2199"/>
      <c r="AI16" s="2199"/>
      <c r="AJ16" s="2199"/>
      <c r="AK16" s="2199"/>
    </row>
    <row r="17" s="2042" customFormat="1" ht="18" customHeight="1" spans="1:37">
      <c r="A17" s="2108" t="s">
        <v>1169</v>
      </c>
      <c r="B17" s="2077" t="s">
        <v>1170</v>
      </c>
      <c r="C17" s="1762">
        <f>ROUND(F17*IF(D1="仅计算典型户型",'数据-取费表'!E5,'数据-取费表'!B5),0)</f>
        <v>49318</v>
      </c>
      <c r="D17" s="2077" t="s">
        <v>1171</v>
      </c>
      <c r="E17" s="2077" t="s">
        <v>1172</v>
      </c>
      <c r="F17" s="2117">
        <f>'数据-取费表'!E23</f>
        <v>200</v>
      </c>
      <c r="G17" s="2095"/>
      <c r="H17" s="2108" t="s">
        <v>967</v>
      </c>
      <c r="I17" s="2077" t="s">
        <v>1173</v>
      </c>
      <c r="J17" s="2131">
        <f>ROUND(IF(AND(项目基本情况!B7="自然人",项目基本情况!B6="北京市"),J6*M17/(1+'数据-取费表'!F30),J18+J19+J20),0)</f>
        <v>0</v>
      </c>
      <c r="K17" s="2110" t="s">
        <v>1174</v>
      </c>
      <c r="L17" s="2132" t="s">
        <v>1175</v>
      </c>
      <c r="M17" s="2133">
        <f>IF(项目基本情况!B7="企业","——",IF('数据-取费表'!B10="住宅",IF(M6*M7*M8/12/(1+'数据-取费表'!F30)&gt;100000,4%,2.5%),IF(M6*M7*M8/12/(1+'数据-取费表'!F30)&gt;100000,12%,7%)))</f>
        <v>0.025</v>
      </c>
      <c r="N17" s="2199"/>
      <c r="O17" s="2199"/>
      <c r="P17" s="2199"/>
      <c r="Q17" s="2289"/>
      <c r="R17" s="2199"/>
      <c r="S17" s="2199"/>
      <c r="T17" s="2199"/>
      <c r="U17" s="2199"/>
      <c r="V17" s="2199"/>
      <c r="W17" s="2199"/>
      <c r="X17" s="2199"/>
      <c r="Y17" s="2199"/>
      <c r="Z17" s="2199"/>
      <c r="AA17" s="2199"/>
      <c r="AB17" s="2199"/>
      <c r="AC17" s="2199"/>
      <c r="AD17" s="2199"/>
      <c r="AE17" s="2199"/>
      <c r="AF17" s="2199"/>
      <c r="AG17" s="2199"/>
      <c r="AH17" s="2199"/>
      <c r="AI17" s="2199"/>
      <c r="AJ17" s="2199"/>
      <c r="AK17" s="2199"/>
    </row>
    <row r="18" ht="18" customHeight="1" spans="1:13">
      <c r="A18" s="2108" t="s">
        <v>1176</v>
      </c>
      <c r="B18" s="2077" t="s">
        <v>988</v>
      </c>
      <c r="C18" s="1762">
        <f>ROUND(C14*F18,0)</f>
        <v>11097</v>
      </c>
      <c r="D18" s="2077" t="s">
        <v>1165</v>
      </c>
      <c r="E18" s="2077" t="s">
        <v>1166</v>
      </c>
      <c r="F18" s="2116">
        <f>'数据-取费表'!E24</f>
        <v>0.015</v>
      </c>
      <c r="G18" s="2068"/>
      <c r="H18" s="2108" t="s">
        <v>990</v>
      </c>
      <c r="I18" s="2077" t="s">
        <v>1177</v>
      </c>
      <c r="J18" s="1762" t="str">
        <f>IF(项目基本情况!B7="自然人","——",ROUND(J6*M18/(1+'数据-取费表'!F30),0))</f>
        <v>——</v>
      </c>
      <c r="K18" s="2132" t="s">
        <v>1178</v>
      </c>
      <c r="L18" s="2077" t="s">
        <v>1166</v>
      </c>
      <c r="M18" s="2116">
        <f>'数据-取费表'!E29</f>
        <v>0.056</v>
      </c>
    </row>
    <row r="19" s="2042" customFormat="1" ht="18" customHeight="1" spans="1:37">
      <c r="A19" s="2108" t="s">
        <v>967</v>
      </c>
      <c r="B19" s="2077" t="s">
        <v>1179</v>
      </c>
      <c r="C19" s="1762">
        <f>SUM(C14:C18)</f>
        <v>859367</v>
      </c>
      <c r="D19" s="2118" t="s">
        <v>1180</v>
      </c>
      <c r="E19" s="1764"/>
      <c r="F19" s="2117"/>
      <c r="G19" s="2095"/>
      <c r="H19" s="2108" t="s">
        <v>992</v>
      </c>
      <c r="I19" s="2077" t="s">
        <v>1181</v>
      </c>
      <c r="J19" s="1762" t="str">
        <f>IF(项目基本情况!B7="自然人","——",IF(K19="按租金收入计税",ROUND(J6*M19/(1+'数据-取费表'!F30),0),ROUND(C29*M19*0.7,0)))</f>
        <v>——</v>
      </c>
      <c r="K19" s="2135"/>
      <c r="L19" s="2077" t="s">
        <v>1166</v>
      </c>
      <c r="M19" s="2116">
        <f>IF(K19="按租金收入计税",'数据-取费表'!E39,'数据-取费表'!E38)</f>
        <v>0.012</v>
      </c>
      <c r="N19" s="2199"/>
      <c r="O19" s="2199"/>
      <c r="P19" s="2199"/>
      <c r="Q19" s="2289"/>
      <c r="R19" s="2199"/>
      <c r="S19" s="2199"/>
      <c r="T19" s="2199"/>
      <c r="U19" s="2199"/>
      <c r="V19" s="2199"/>
      <c r="W19" s="2199"/>
      <c r="X19" s="2199"/>
      <c r="Y19" s="2199"/>
      <c r="Z19" s="2199"/>
      <c r="AA19" s="2199"/>
      <c r="AB19" s="2199"/>
      <c r="AC19" s="2199"/>
      <c r="AD19" s="2199"/>
      <c r="AE19" s="2199"/>
      <c r="AF19" s="2199"/>
      <c r="AG19" s="2199"/>
      <c r="AH19" s="2199"/>
      <c r="AI19" s="2199"/>
      <c r="AJ19" s="2199"/>
      <c r="AK19" s="2199"/>
    </row>
    <row r="20" s="2042" customFormat="1" ht="18" customHeight="1" spans="1:37">
      <c r="A20" s="2108" t="s">
        <v>968</v>
      </c>
      <c r="B20" s="2077" t="s">
        <v>1182</v>
      </c>
      <c r="C20" s="1762">
        <f>ROUND(C19*F20,0)</f>
        <v>17187</v>
      </c>
      <c r="D20" s="2119" t="s">
        <v>1183</v>
      </c>
      <c r="E20" s="2077" t="s">
        <v>1166</v>
      </c>
      <c r="F20" s="2116">
        <f>'数据-取费表'!E25</f>
        <v>0.02</v>
      </c>
      <c r="G20" s="2095"/>
      <c r="H20" s="2108" t="s">
        <v>995</v>
      </c>
      <c r="I20" s="2076" t="s">
        <v>1184</v>
      </c>
      <c r="J20" s="2137" t="str">
        <f>IF(项目基本情况!B7="自然人","——",ROUND(M20*M21,0))</f>
        <v>——</v>
      </c>
      <c r="K20" s="2138" t="s">
        <v>1185</v>
      </c>
      <c r="L20" s="2077" t="s">
        <v>1186</v>
      </c>
      <c r="M20" s="2121">
        <f>'数据-取费表'!E40</f>
        <v>0</v>
      </c>
      <c r="N20" s="2199"/>
      <c r="O20" s="2199"/>
      <c r="P20" s="2199"/>
      <c r="Q20" s="2289"/>
      <c r="R20" s="2199"/>
      <c r="S20" s="2199"/>
      <c r="T20" s="2199"/>
      <c r="U20" s="2199"/>
      <c r="V20" s="2199"/>
      <c r="W20" s="2199"/>
      <c r="X20" s="2199"/>
      <c r="Y20" s="2199"/>
      <c r="Z20" s="2199"/>
      <c r="AA20" s="2199"/>
      <c r="AB20" s="2199"/>
      <c r="AC20" s="2199"/>
      <c r="AD20" s="2199"/>
      <c r="AE20" s="2199"/>
      <c r="AF20" s="2199"/>
      <c r="AG20" s="2199"/>
      <c r="AH20" s="2199"/>
      <c r="AI20" s="2199"/>
      <c r="AJ20" s="2199"/>
      <c r="AK20" s="2199"/>
    </row>
    <row r="21" ht="18" customHeight="1" spans="1:13">
      <c r="A21" s="2108" t="s">
        <v>969</v>
      </c>
      <c r="B21" s="2077" t="s">
        <v>1187</v>
      </c>
      <c r="C21" s="1833">
        <f>F21</f>
        <v>0.02</v>
      </c>
      <c r="D21" s="2119" t="s">
        <v>1188</v>
      </c>
      <c r="E21" s="2077" t="s">
        <v>1189</v>
      </c>
      <c r="F21" s="2116">
        <f>'数据-取费表'!E26</f>
        <v>0.02</v>
      </c>
      <c r="G21" s="2068"/>
      <c r="H21" s="2091"/>
      <c r="I21" s="2084"/>
      <c r="J21" s="1834"/>
      <c r="K21" s="447"/>
      <c r="L21" s="2077" t="s">
        <v>1190</v>
      </c>
      <c r="M21" s="2078">
        <f>IF(D1="仅计算典型户型",'数据-取费表'!E6,'数据-取费表'!B6)</f>
        <v>0</v>
      </c>
    </row>
    <row r="22" ht="18" customHeight="1" spans="1:13">
      <c r="A22" s="2108" t="s">
        <v>1006</v>
      </c>
      <c r="B22" s="2077" t="s">
        <v>1191</v>
      </c>
      <c r="C22" s="1762"/>
      <c r="D22" s="2118" t="str">
        <f>IF(F23&lt;=1,"单利计息。","复利计息。")&amp;"建造成本、管理费用、销售费用产生的利息。"</f>
        <v>复利计息。建造成本、管理费用、销售费用产生的利息。</v>
      </c>
      <c r="E22" s="1764"/>
      <c r="F22" s="2117"/>
      <c r="G22" s="2068"/>
      <c r="H22" s="2108" t="s">
        <v>968</v>
      </c>
      <c r="I22" s="2077" t="s">
        <v>1192</v>
      </c>
      <c r="J22" s="1762">
        <f>ROUND(J14*M22,0)</f>
        <v>12353</v>
      </c>
      <c r="K22" s="2132" t="s">
        <v>1193</v>
      </c>
      <c r="L22" s="2077" t="s">
        <v>1166</v>
      </c>
      <c r="M22" s="2141">
        <f>'数据-取费表'!B45</f>
        <v>0.01</v>
      </c>
    </row>
    <row r="23" ht="18" customHeight="1" spans="1:13">
      <c r="A23" s="2108" t="s">
        <v>990</v>
      </c>
      <c r="B23" s="2077" t="s">
        <v>1194</v>
      </c>
      <c r="C23" s="1762">
        <f>IF('数据-取费表'!B24&lt;=1,ROUND(C19*F24*F23/2,0)+ROUND(C20*F24*F23/2,0),ROUND(C19*(POWER((1+F24),F23/2)-1),0)+ROUND(C20*(POWER((1+F24),F23/2)-1),0))</f>
        <v>41636</v>
      </c>
      <c r="D23" s="2120" t="str">
        <f>IF(F23&lt;=1,"(建造成本+管理费用)×利率×(建设周期÷2)","(建造成本+管理费用)×((1+利率)^(建设周期÷2)-1)")</f>
        <v>(建造成本+管理费用)×((1+利率)^(建设周期÷2)-1)</v>
      </c>
      <c r="E23" s="2077" t="s">
        <v>1195</v>
      </c>
      <c r="F23" s="2121">
        <f>'数据-取费表'!B22</f>
        <v>2</v>
      </c>
      <c r="G23" s="2068"/>
      <c r="H23" s="2108" t="s">
        <v>969</v>
      </c>
      <c r="I23" s="2077" t="s">
        <v>1196</v>
      </c>
      <c r="J23" s="1762">
        <f>ROUND(J13*M23,0)</f>
        <v>0</v>
      </c>
      <c r="K23" s="2132" t="s">
        <v>1197</v>
      </c>
      <c r="L23" s="2077" t="s">
        <v>1166</v>
      </c>
      <c r="M23" s="2142">
        <f>'数据-取费表'!B46</f>
        <v>0.001</v>
      </c>
    </row>
    <row r="24" s="2042" customFormat="1" ht="18" customHeight="1" spans="1:37">
      <c r="A24" s="2108" t="s">
        <v>992</v>
      </c>
      <c r="B24" s="2077" t="s">
        <v>1198</v>
      </c>
      <c r="C24" s="1762">
        <f>ROUND(IF('数据-取费表'!B24&lt;=1,F21*F24*F23/2,F21*(POWER((1+F24),F23/2)-1)),4)</f>
        <v>0.001</v>
      </c>
      <c r="D24" s="2120" t="str">
        <f>IF(F23&lt;=1,"销售费用×利率×(建设周期÷2)","销售费用×((1+利率)^(建设周期÷2)-1)")</f>
        <v>销售费用×((1+利率)^(建设周期÷2)-1)</v>
      </c>
      <c r="E24" s="2077" t="s">
        <v>1199</v>
      </c>
      <c r="F24" s="2122">
        <f>'数据-取费表'!E27</f>
        <v>0.0475</v>
      </c>
      <c r="G24" s="2095"/>
      <c r="H24" s="2115" t="s">
        <v>1006</v>
      </c>
      <c r="I24" s="2101" t="s">
        <v>1182</v>
      </c>
      <c r="J24" s="2123">
        <f ca="1">ROUND(J5*M24,0)</f>
        <v>0</v>
      </c>
      <c r="K24" s="2124" t="s">
        <v>1200</v>
      </c>
      <c r="L24" s="2101" t="s">
        <v>1166</v>
      </c>
      <c r="M24" s="2102">
        <f>'数据-取费表'!B47</f>
        <v>0.01</v>
      </c>
      <c r="N24" s="2199"/>
      <c r="O24" s="2199"/>
      <c r="P24" s="2199"/>
      <c r="Q24" s="2289"/>
      <c r="R24" s="2199"/>
      <c r="S24" s="2199"/>
      <c r="T24" s="2199"/>
      <c r="U24" s="2199"/>
      <c r="V24" s="2199"/>
      <c r="W24" s="2199"/>
      <c r="X24" s="2199"/>
      <c r="Y24" s="2199"/>
      <c r="Z24" s="2199"/>
      <c r="AA24" s="2199"/>
      <c r="AB24" s="2199"/>
      <c r="AC24" s="2199"/>
      <c r="AD24" s="2199"/>
      <c r="AE24" s="2199"/>
      <c r="AF24" s="2199"/>
      <c r="AG24" s="2199"/>
      <c r="AH24" s="2199"/>
      <c r="AI24" s="2199"/>
      <c r="AJ24" s="2199"/>
      <c r="AK24" s="2199"/>
    </row>
    <row r="25" s="2042" customFormat="1" ht="18" customHeight="1" spans="1:37">
      <c r="A25" s="2108" t="s">
        <v>1010</v>
      </c>
      <c r="B25" s="2077" t="s">
        <v>1201</v>
      </c>
      <c r="C25" s="1762"/>
      <c r="D25" s="2118" t="s">
        <v>1202</v>
      </c>
      <c r="E25" s="1764"/>
      <c r="F25" s="2117"/>
      <c r="G25" s="2095"/>
      <c r="H25" s="2103" t="s">
        <v>742</v>
      </c>
      <c r="I25" s="2143" t="s">
        <v>1203</v>
      </c>
      <c r="J25" s="2105">
        <f ca="1">J5-J16</f>
        <v>-12353</v>
      </c>
      <c r="K25" s="2144" t="s">
        <v>1204</v>
      </c>
      <c r="L25" s="2145"/>
      <c r="M25" s="2146"/>
      <c r="N25" s="2199"/>
      <c r="O25" s="2199"/>
      <c r="P25" s="2199"/>
      <c r="Q25" s="2289"/>
      <c r="R25" s="2199"/>
      <c r="S25" s="2199"/>
      <c r="T25" s="2199"/>
      <c r="U25" s="2199"/>
      <c r="V25" s="2199"/>
      <c r="W25" s="2199"/>
      <c r="X25" s="2199"/>
      <c r="Y25" s="2199"/>
      <c r="Z25" s="2199"/>
      <c r="AA25" s="2199"/>
      <c r="AB25" s="2199"/>
      <c r="AC25" s="2199"/>
      <c r="AD25" s="2199"/>
      <c r="AE25" s="2199"/>
      <c r="AF25" s="2199"/>
      <c r="AG25" s="2199"/>
      <c r="AH25" s="2199"/>
      <c r="AI25" s="2199"/>
      <c r="AJ25" s="2199"/>
      <c r="AK25" s="2199"/>
    </row>
    <row r="26" ht="18" customHeight="1" spans="1:13">
      <c r="A26" s="2108" t="s">
        <v>990</v>
      </c>
      <c r="B26" s="2077" t="s">
        <v>1205</v>
      </c>
      <c r="C26" s="1762">
        <f>ROUND((C19+C20)*F26,0)</f>
        <v>219139</v>
      </c>
      <c r="D26" s="2119" t="s">
        <v>1206</v>
      </c>
      <c r="E26" s="2089" t="s">
        <v>1207</v>
      </c>
      <c r="F26" s="2085">
        <f>'数据-取费表'!E28</f>
        <v>0.25</v>
      </c>
      <c r="G26" s="2043"/>
      <c r="H26" s="2069" t="s">
        <v>768</v>
      </c>
      <c r="I26" s="2070" t="s">
        <v>1208</v>
      </c>
      <c r="J26" s="2071">
        <f ca="1">IF(J5&lt;&gt;0,ROUND(J25*(1-((1+M28)/(1+M26))^M27)/(M26-M28),0),0)</f>
        <v>0</v>
      </c>
      <c r="K26" s="2138" t="s">
        <v>1209</v>
      </c>
      <c r="L26" s="2077" t="s">
        <v>1210</v>
      </c>
      <c r="M26" s="2085">
        <f>'数据-取费表'!B16</f>
        <v>0.045</v>
      </c>
    </row>
    <row r="27" ht="18" customHeight="1" spans="1:13">
      <c r="A27" s="2108" t="s">
        <v>992</v>
      </c>
      <c r="B27" s="2077" t="s">
        <v>1211</v>
      </c>
      <c r="C27" s="1762">
        <f>ROUND(F21*F26,4)</f>
        <v>0.005</v>
      </c>
      <c r="D27" s="2119" t="s">
        <v>1212</v>
      </c>
      <c r="E27" s="2113"/>
      <c r="F27" s="2114"/>
      <c r="G27" s="2043"/>
      <c r="H27" s="2083"/>
      <c r="I27" s="2080"/>
      <c r="J27" s="2081"/>
      <c r="K27" s="2148" t="s">
        <v>1213</v>
      </c>
      <c r="L27" s="2077" t="s">
        <v>1214</v>
      </c>
      <c r="M27" s="2150" t="str">
        <f>'数据-取费表'!B41</f>
        <v>——</v>
      </c>
    </row>
    <row r="28" ht="18" customHeight="1" spans="1:13">
      <c r="A28" s="2108" t="s">
        <v>1016</v>
      </c>
      <c r="B28" s="2077" t="s">
        <v>1215</v>
      </c>
      <c r="C28" s="1762">
        <f>ROUND(F28/(1+'数据-取费表'!F30),4)</f>
        <v>0.0533</v>
      </c>
      <c r="D28" s="2119" t="s">
        <v>1216</v>
      </c>
      <c r="E28" s="2077" t="s">
        <v>1166</v>
      </c>
      <c r="F28" s="2116">
        <f>'数据-取费表'!E29</f>
        <v>0.056</v>
      </c>
      <c r="G28" s="2043"/>
      <c r="H28" s="2096"/>
      <c r="I28" s="2152"/>
      <c r="J28" s="2105"/>
      <c r="K28" s="447"/>
      <c r="L28" s="2077" t="s">
        <v>1217</v>
      </c>
      <c r="M28" s="2085">
        <f>'数据-取费表'!B38</f>
        <v>0</v>
      </c>
    </row>
    <row r="29" ht="18" customHeight="1" spans="1:13">
      <c r="A29" s="2115" t="s">
        <v>1021</v>
      </c>
      <c r="B29" s="2101" t="s">
        <v>1218</v>
      </c>
      <c r="C29" s="2123">
        <f>ROUND((C19+C20+C23+C26)/(1-F21-C24-C27-C28),0)</f>
        <v>1235287</v>
      </c>
      <c r="D29" s="2124"/>
      <c r="E29" s="2101"/>
      <c r="F29" s="2125"/>
      <c r="G29" s="2043"/>
      <c r="H29" s="2126" t="s">
        <v>1219</v>
      </c>
      <c r="I29" s="2153" t="s">
        <v>1220</v>
      </c>
      <c r="J29" s="2154">
        <f ca="1">ROUND(J26/(1+F40)^F41,0)</f>
        <v>0</v>
      </c>
      <c r="K29" s="2155" t="s">
        <v>1221</v>
      </c>
      <c r="L29" s="2156"/>
      <c r="M29" s="2157">
        <f>IF(D1="仅计算典型户型",'数据-取费表'!E5,'数据-取费表'!B5)</f>
        <v>246.59</v>
      </c>
    </row>
    <row r="30" ht="18" customHeight="1" spans="1:13">
      <c r="A30" s="2103" t="s">
        <v>739</v>
      </c>
      <c r="B30" s="2104" t="s">
        <v>1167</v>
      </c>
      <c r="C30" s="2105">
        <f ca="1">ROUND(C31+C36+C37+C38,0)</f>
        <v>25001</v>
      </c>
      <c r="D30" s="2127" t="s">
        <v>1168</v>
      </c>
      <c r="E30" s="2128"/>
      <c r="F30" s="2129"/>
      <c r="G30" s="2043"/>
      <c r="H30" s="2130"/>
      <c r="I30" s="2209"/>
      <c r="J30" s="2210"/>
      <c r="K30" s="2211"/>
      <c r="L30" s="2212"/>
      <c r="M30" s="2213"/>
    </row>
    <row r="31" ht="18" customHeight="1" spans="1:13">
      <c r="A31" s="2108" t="s">
        <v>967</v>
      </c>
      <c r="B31" s="2077" t="s">
        <v>1173</v>
      </c>
      <c r="C31" s="2131">
        <f>ROUND(IF(AND(项目基本情况!B7="自然人",项目基本情况!B6="北京市"),C6*F31/(1+'数据-取费表'!F30),C32+C33+C34),0)</f>
        <v>8243</v>
      </c>
      <c r="D31" s="2110" t="s">
        <v>1174</v>
      </c>
      <c r="E31" s="2132" t="s">
        <v>1175</v>
      </c>
      <c r="F31" s="2133">
        <f>IF(项目基本情况!B7="企业","——",IF('数据-取费表'!B10="住宅",IF(F6*F7*F8/12/(1+'数据-取费表'!F30)&gt;100000,4%,2.5%),IF(F6*F7*F8/12/(1+'数据-取费表'!F30)&gt;100000,12%,7%)))</f>
        <v>0.025</v>
      </c>
      <c r="G31" s="2043"/>
      <c r="H31" s="2130"/>
      <c r="I31" s="2209"/>
      <c r="J31" s="2210"/>
      <c r="K31" s="2211"/>
      <c r="L31" s="2212"/>
      <c r="M31" s="2213"/>
    </row>
    <row r="32" ht="18" customHeight="1" spans="1:13">
      <c r="A32" s="2108" t="s">
        <v>990</v>
      </c>
      <c r="B32" s="2077" t="s">
        <v>1177</v>
      </c>
      <c r="C32" s="1762" t="str">
        <f>IF(项目基本情况!B7="自然人","——",ROUND(C6*F32/(1+'数据-取费表'!F30),0))</f>
        <v>——</v>
      </c>
      <c r="D32" s="2132" t="s">
        <v>1178</v>
      </c>
      <c r="E32" s="2077" t="s">
        <v>1166</v>
      </c>
      <c r="F32" s="2122">
        <f>'数据-取费表'!E29</f>
        <v>0.056</v>
      </c>
      <c r="G32" s="2043"/>
      <c r="H32" s="2134"/>
      <c r="I32" s="2214"/>
      <c r="J32" s="2215"/>
      <c r="K32" s="2216"/>
      <c r="L32" s="2217"/>
      <c r="M32" s="2218"/>
    </row>
    <row r="33" ht="18" customHeight="1" spans="1:13">
      <c r="A33" s="2108" t="s">
        <v>992</v>
      </c>
      <c r="B33" s="2077" t="s">
        <v>1181</v>
      </c>
      <c r="C33" s="1762" t="str">
        <f>IF(项目基本情况!B7="自然人","——",IF(D33="按租金收入计税",ROUND(C6*F33/(1+'数据-取费表'!F30),0),IF(D33="按房产原值计税",ROUND(C29*F33*0.7,0),'数据-取费表'!B44)))</f>
        <v>——</v>
      </c>
      <c r="D33" s="2135" t="s">
        <v>1222</v>
      </c>
      <c r="E33" s="2077" t="s">
        <v>1166</v>
      </c>
      <c r="F33" s="2116">
        <f>IF(D33="按票据","——",IF(D33="按租金收入计税",'数据-取费表'!E39,'数据-取费表'!E38))</f>
        <v>0.12</v>
      </c>
      <c r="G33" s="2043"/>
      <c r="H33" s="2136"/>
      <c r="I33" s="2219" t="s">
        <v>1223</v>
      </c>
      <c r="J33" s="2220"/>
      <c r="K33" s="2221"/>
      <c r="L33" s="2136"/>
      <c r="M33" s="2136"/>
    </row>
    <row r="34" ht="18" customHeight="1" spans="1:13">
      <c r="A34" s="2074" t="s">
        <v>995</v>
      </c>
      <c r="B34" s="2076" t="s">
        <v>1184</v>
      </c>
      <c r="C34" s="2137" t="str">
        <f>IF(项目基本情况!B7="自然人","——",ROUND(F34*F35,0))</f>
        <v>——</v>
      </c>
      <c r="D34" s="2138" t="s">
        <v>1185</v>
      </c>
      <c r="E34" s="2077" t="s">
        <v>1186</v>
      </c>
      <c r="F34" s="2121">
        <f>'数据-取费表'!E40</f>
        <v>0</v>
      </c>
      <c r="G34" s="2043"/>
      <c r="H34" s="2130"/>
      <c r="I34" s="1221" t="s">
        <v>1224</v>
      </c>
      <c r="J34" s="2222">
        <f>ROUND(C13*J35,0)</f>
        <v>0</v>
      </c>
      <c r="K34" s="2223"/>
      <c r="L34" s="2224"/>
      <c r="M34" s="2224"/>
    </row>
    <row r="35" ht="24.6" customHeight="1" spans="1:13">
      <c r="A35" s="2139"/>
      <c r="B35" s="2084"/>
      <c r="C35" s="1834"/>
      <c r="D35" s="447"/>
      <c r="E35" s="2077" t="s">
        <v>1190</v>
      </c>
      <c r="F35" s="2078">
        <f>IF(D1="仅计算典型户型",'数据-取费表'!E6,'数据-取费表'!B6)</f>
        <v>0</v>
      </c>
      <c r="G35" s="2043" t="s">
        <v>1225</v>
      </c>
      <c r="H35" s="2130"/>
      <c r="I35" s="2225" t="s">
        <v>1226</v>
      </c>
      <c r="J35" s="2226">
        <f>'数据-取费表'!B18</f>
        <v>0</v>
      </c>
      <c r="K35" s="2221"/>
      <c r="L35" s="2136"/>
      <c r="M35" s="2136"/>
    </row>
    <row r="36" ht="18" customHeight="1" spans="1:13">
      <c r="A36" s="2140" t="s">
        <v>968</v>
      </c>
      <c r="B36" s="2077" t="s">
        <v>1192</v>
      </c>
      <c r="C36" s="1762">
        <f>ROUND(C29*F36,0)</f>
        <v>12353</v>
      </c>
      <c r="D36" s="2132" t="s">
        <v>1227</v>
      </c>
      <c r="E36" s="2077" t="s">
        <v>1166</v>
      </c>
      <c r="F36" s="2141">
        <f>'数据-取费表'!B45</f>
        <v>0.01</v>
      </c>
      <c r="G36" s="2043"/>
      <c r="H36" s="2136"/>
      <c r="I36" s="2227" t="s">
        <v>1228</v>
      </c>
      <c r="J36" s="2228"/>
      <c r="K36" s="2229"/>
      <c r="L36" s="2136"/>
      <c r="M36" s="2136"/>
    </row>
    <row r="37" ht="18" customHeight="1" spans="1:13">
      <c r="A37" s="2108" t="s">
        <v>969</v>
      </c>
      <c r="B37" s="2077" t="s">
        <v>1196</v>
      </c>
      <c r="C37" s="1762">
        <f>ROUND(C13*F37,0)</f>
        <v>939</v>
      </c>
      <c r="D37" s="2132" t="s">
        <v>1197</v>
      </c>
      <c r="E37" s="2077" t="s">
        <v>1166</v>
      </c>
      <c r="F37" s="2142">
        <f>'数据-取费表'!B46</f>
        <v>0.001</v>
      </c>
      <c r="G37" s="2043"/>
      <c r="H37" s="2136"/>
      <c r="I37" s="2230" t="s">
        <v>1229</v>
      </c>
      <c r="J37" s="2231"/>
      <c r="K37" s="2229"/>
      <c r="L37" s="2136"/>
      <c r="M37" s="2136"/>
    </row>
    <row r="38" ht="18" customHeight="1" spans="1:13">
      <c r="A38" s="2115" t="s">
        <v>1006</v>
      </c>
      <c r="B38" s="2101" t="s">
        <v>1182</v>
      </c>
      <c r="C38" s="2123">
        <f ca="1">ROUND(C5*F38,0)</f>
        <v>3466</v>
      </c>
      <c r="D38" s="2124" t="s">
        <v>1200</v>
      </c>
      <c r="E38" s="2101" t="s">
        <v>1166</v>
      </c>
      <c r="F38" s="2102">
        <f>'数据-取费表'!B47</f>
        <v>0.01</v>
      </c>
      <c r="G38" s="2043"/>
      <c r="H38" s="2136"/>
      <c r="I38" s="1221" t="s">
        <v>1230</v>
      </c>
      <c r="J38" s="2232">
        <f ca="1">ROUND(J34/C39,3)</f>
        <v>0</v>
      </c>
      <c r="K38" s="2233"/>
      <c r="L38" s="2136"/>
      <c r="M38" s="2136"/>
    </row>
    <row r="39" ht="18" customHeight="1" spans="1:13">
      <c r="A39" s="2103" t="s">
        <v>742</v>
      </c>
      <c r="B39" s="2143" t="s">
        <v>1203</v>
      </c>
      <c r="C39" s="2105">
        <f ca="1">C5-C30</f>
        <v>321644</v>
      </c>
      <c r="D39" s="2144" t="s">
        <v>1204</v>
      </c>
      <c r="E39" s="2145"/>
      <c r="F39" s="2146"/>
      <c r="G39" s="2043"/>
      <c r="H39" s="2136"/>
      <c r="I39" s="1221" t="s">
        <v>1231</v>
      </c>
      <c r="J39" s="2232">
        <f ca="1">1-J38</f>
        <v>1</v>
      </c>
      <c r="K39" s="2233"/>
      <c r="L39" s="2136"/>
      <c r="M39" s="2136"/>
    </row>
    <row r="40" s="2043" customFormat="1" ht="18" customHeight="1" spans="1:17">
      <c r="A40" s="2069" t="s">
        <v>768</v>
      </c>
      <c r="B40" s="2070" t="s">
        <v>1232</v>
      </c>
      <c r="C40" s="2071">
        <f ca="1">ROUND(C39*(1-((1+F42)/(1+F40))^F41)/(F40-F42),0)</f>
        <v>8841725</v>
      </c>
      <c r="D40" s="2138" t="s">
        <v>1209</v>
      </c>
      <c r="E40" s="2077" t="s">
        <v>1210</v>
      </c>
      <c r="F40" s="2085">
        <f>'数据-取费表'!B16</f>
        <v>0.045</v>
      </c>
      <c r="H40" s="2147"/>
      <c r="I40" s="2230" t="s">
        <v>1233</v>
      </c>
      <c r="J40" s="2234"/>
      <c r="K40" s="2233"/>
      <c r="L40" s="2147"/>
      <c r="M40" s="2147"/>
      <c r="Q40" s="2047"/>
    </row>
    <row r="41" s="2043" customFormat="1" ht="18" customHeight="1" spans="1:17">
      <c r="A41" s="2083"/>
      <c r="B41" s="2080"/>
      <c r="C41" s="2081"/>
      <c r="D41" s="2148" t="s">
        <v>1213</v>
      </c>
      <c r="E41" s="2149" t="s">
        <v>1234</v>
      </c>
      <c r="F41" s="2150">
        <f>IF('数据-取费表'!B29="租赁期内按合同租金",'数据-取费表'!B35,IF(E41="收益年期(n)",'数据-取费表'!B34,'数据-取费表'!B13))</f>
        <v>48</v>
      </c>
      <c r="H41" s="2151"/>
      <c r="I41" s="2235" t="s">
        <v>959</v>
      </c>
      <c r="J41" s="2232">
        <f ca="1">ROUND(C13/C40,3)</f>
        <v>0.106</v>
      </c>
      <c r="K41" s="2229"/>
      <c r="L41" s="2151"/>
      <c r="M41" s="2151"/>
      <c r="Q41" s="2047"/>
    </row>
    <row r="42" s="2043" customFormat="1" ht="18" customHeight="1" spans="1:17">
      <c r="A42" s="2096"/>
      <c r="B42" s="2152"/>
      <c r="C42" s="2105"/>
      <c r="D42" s="447"/>
      <c r="E42" s="2077" t="s">
        <v>1217</v>
      </c>
      <c r="F42" s="2085">
        <f>'数据-取费表'!B32</f>
        <v>0.02</v>
      </c>
      <c r="H42" s="2151"/>
      <c r="I42" s="2235" t="s">
        <v>960</v>
      </c>
      <c r="J42" s="2236">
        <f ca="1">1-J41</f>
        <v>0.894</v>
      </c>
      <c r="K42" s="2229"/>
      <c r="L42" s="2151"/>
      <c r="M42" s="2151"/>
      <c r="Q42" s="2047"/>
    </row>
    <row r="43" s="2043" customFormat="1" ht="18" customHeight="1" spans="1:18">
      <c r="A43" s="2126" t="s">
        <v>1219</v>
      </c>
      <c r="B43" s="2153" t="s">
        <v>1235</v>
      </c>
      <c r="C43" s="2154">
        <f ca="1">ROUND(C40/F43,0)</f>
        <v>35856</v>
      </c>
      <c r="D43" s="2155" t="s">
        <v>1236</v>
      </c>
      <c r="E43" s="2156" t="s">
        <v>1237</v>
      </c>
      <c r="F43" s="2157">
        <f>IF(D1="仅计算典型户型",'数据-取费表'!E5,'数据-取费表'!B5)</f>
        <v>246.59</v>
      </c>
      <c r="G43" s="2158"/>
      <c r="H43" s="2151"/>
      <c r="I43" s="2151"/>
      <c r="J43" s="2151"/>
      <c r="K43" s="2229"/>
      <c r="L43" s="2151"/>
      <c r="M43" s="2151"/>
      <c r="O43" s="2237" t="s">
        <v>1238</v>
      </c>
      <c r="P43" s="2238"/>
      <c r="Q43" s="2253"/>
      <c r="R43" s="2238"/>
    </row>
    <row r="44" s="2043" customFormat="1" ht="18" customHeight="1" spans="1:18">
      <c r="A44" s="2159"/>
      <c r="B44" s="2159"/>
      <c r="C44" s="2160"/>
      <c r="D44" s="2159"/>
      <c r="E44" s="2159"/>
      <c r="F44" s="2159"/>
      <c r="G44" s="2158"/>
      <c r="K44" s="2239"/>
      <c r="O44" s="2240" t="s">
        <v>1239</v>
      </c>
      <c r="P44" s="2241" t="s">
        <v>1240</v>
      </c>
      <c r="Q44" s="2290" t="s">
        <v>1241</v>
      </c>
      <c r="R44" s="2291" t="s">
        <v>1242</v>
      </c>
    </row>
    <row r="45" s="2043" customFormat="1" ht="18" customHeight="1" spans="1:18">
      <c r="A45" s="2159"/>
      <c r="B45" s="2159"/>
      <c r="C45" s="2160"/>
      <c r="D45" s="2159"/>
      <c r="E45" s="2159"/>
      <c r="F45" s="2159"/>
      <c r="G45" s="2161"/>
      <c r="K45" s="2239"/>
      <c r="O45" s="2242" t="s">
        <v>976</v>
      </c>
      <c r="P45" s="2243" t="s">
        <v>1243</v>
      </c>
      <c r="Q45" s="2292">
        <f ca="1">C40+J29</f>
        <v>8841725</v>
      </c>
      <c r="R45" s="2293" t="s">
        <v>1244</v>
      </c>
    </row>
    <row r="46" s="2043" customFormat="1" ht="18" customHeight="1" spans="1:18">
      <c r="A46" s="2159"/>
      <c r="D46" s="2159"/>
      <c r="E46" s="2159"/>
      <c r="F46" s="2159"/>
      <c r="K46" s="2239"/>
      <c r="O46" s="2242" t="s">
        <v>978</v>
      </c>
      <c r="P46" s="2243" t="s">
        <v>1245</v>
      </c>
      <c r="Q46" s="2292" t="str">
        <f>J61</f>
        <v>0</v>
      </c>
      <c r="R46" s="2293" t="s">
        <v>1246</v>
      </c>
    </row>
    <row r="47" s="2043" customFormat="1" ht="21" spans="1:18">
      <c r="A47" s="2162" t="s">
        <v>1247</v>
      </c>
      <c r="C47" s="2163">
        <f ca="1">IF(C2="元",C69-C40,ROUND((C69-C40)/10000,0))</f>
        <v>-9101392</v>
      </c>
      <c r="D47" s="2164" t="str">
        <f>C2</f>
        <v>元</v>
      </c>
      <c r="E47" s="2159"/>
      <c r="F47" s="2159"/>
      <c r="I47" s="2244" t="s">
        <v>1248</v>
      </c>
      <c r="J47" s="2245"/>
      <c r="K47" s="2246"/>
      <c r="L47" s="2247">
        <f ca="1">IF(M48="住宅",0,IF(L49&gt;J52,L61,J61))</f>
        <v>0</v>
      </c>
      <c r="O47" s="2248" t="s">
        <v>1249</v>
      </c>
      <c r="P47" s="2243" t="s">
        <v>1250</v>
      </c>
      <c r="Q47" s="2292">
        <f>C29</f>
        <v>1235287</v>
      </c>
      <c r="R47" s="2293" t="s">
        <v>1244</v>
      </c>
    </row>
    <row r="48" s="2043" customFormat="1" ht="15.75" spans="1:18">
      <c r="A48" s="2064" t="s">
        <v>1136</v>
      </c>
      <c r="B48" s="2065" t="s">
        <v>1137</v>
      </c>
      <c r="C48" s="2065" t="s">
        <v>1138</v>
      </c>
      <c r="D48" s="2065" t="s">
        <v>1139</v>
      </c>
      <c r="E48" s="2165" t="s">
        <v>1140</v>
      </c>
      <c r="F48" s="2166"/>
      <c r="I48" s="2249" t="s">
        <v>1251</v>
      </c>
      <c r="J48" s="2250" t="s">
        <v>1110</v>
      </c>
      <c r="K48" s="2251" t="s">
        <v>1252</v>
      </c>
      <c r="L48" s="2252">
        <f>'数据-取费表'!B11</f>
        <v>70</v>
      </c>
      <c r="M48" s="2253" t="str">
        <f>IF('数据-取费表'!B10="住宅","住宅","非住宅")</f>
        <v>住宅</v>
      </c>
      <c r="O48" s="2248" t="s">
        <v>1253</v>
      </c>
      <c r="P48" s="2243" t="s">
        <v>1254</v>
      </c>
      <c r="Q48" s="2294" t="e">
        <f>J59</f>
        <v>#VALUE!</v>
      </c>
      <c r="R48" s="2293"/>
    </row>
    <row r="49" s="2043" customFormat="1" ht="15.75" spans="1:18">
      <c r="A49" s="2167" t="s">
        <v>1255</v>
      </c>
      <c r="B49" s="2070" t="s">
        <v>1141</v>
      </c>
      <c r="C49" s="2168">
        <f ca="1">C50+C54+C56</f>
        <v>0</v>
      </c>
      <c r="D49" s="2169"/>
      <c r="E49" s="2170"/>
      <c r="F49" s="2117"/>
      <c r="I49" s="2254" t="s">
        <v>1256</v>
      </c>
      <c r="J49" s="2255" t="s">
        <v>1257</v>
      </c>
      <c r="K49" s="2256" t="s">
        <v>1258</v>
      </c>
      <c r="L49" s="2257">
        <f>'数据-取费表'!B13</f>
        <v>48</v>
      </c>
      <c r="O49" s="2248" t="s">
        <v>1259</v>
      </c>
      <c r="P49" s="2243" t="s">
        <v>1260</v>
      </c>
      <c r="Q49" s="2294">
        <f>J53</f>
        <v>0</v>
      </c>
      <c r="R49" s="2293"/>
    </row>
    <row r="50" s="2043" customFormat="1" ht="15.75" spans="1:18">
      <c r="A50" s="2171" t="s">
        <v>967</v>
      </c>
      <c r="B50" s="2075" t="s">
        <v>1261</v>
      </c>
      <c r="C50" s="2071">
        <f>ROUND(F50*F52*F51*(1-F53),0)</f>
        <v>0</v>
      </c>
      <c r="D50" s="2172" t="s">
        <v>1262</v>
      </c>
      <c r="E50" s="2173" t="s">
        <v>1263</v>
      </c>
      <c r="F50" s="2174"/>
      <c r="I50" s="2254" t="s">
        <v>1264</v>
      </c>
      <c r="J50" s="2257">
        <f>'数据-取费表'!B27</f>
        <v>2002</v>
      </c>
      <c r="K50" s="2258" t="s">
        <v>1265</v>
      </c>
      <c r="L50" s="2259"/>
      <c r="O50" s="2248" t="s">
        <v>1266</v>
      </c>
      <c r="P50" s="2243" t="s">
        <v>1267</v>
      </c>
      <c r="Q50" s="2292">
        <f>J54</f>
        <v>48</v>
      </c>
      <c r="R50" s="2293" t="s">
        <v>1268</v>
      </c>
    </row>
    <row r="51" s="2043" customFormat="1" ht="15.75" spans="1:18">
      <c r="A51" s="2083"/>
      <c r="B51" s="2080"/>
      <c r="C51" s="2081"/>
      <c r="D51" s="2082"/>
      <c r="E51" s="2113" t="s">
        <v>1147</v>
      </c>
      <c r="F51" s="2175">
        <f>F7</f>
        <v>246.59</v>
      </c>
      <c r="I51" s="2254" t="s">
        <v>1269</v>
      </c>
      <c r="J51" s="2260">
        <f>SUMPRODUCT((I64:I66=J48)*(J63:L63=J49)*(J64:L66))</f>
        <v>60</v>
      </c>
      <c r="K51" s="2258" t="s">
        <v>1270</v>
      </c>
      <c r="L51" s="2259"/>
      <c r="O51" s="2242" t="s">
        <v>981</v>
      </c>
      <c r="P51" s="2243" t="str">
        <f>IF(C2="元","收益价值(元)","收益价值(万元)")</f>
        <v>收益价值(元)</v>
      </c>
      <c r="Q51" s="2292">
        <f ca="1">ROUND(IF(C2="元",Q45+Q46,(Q45+Q46)/10000),0)</f>
        <v>8841725</v>
      </c>
      <c r="R51" s="2293" t="s">
        <v>1271</v>
      </c>
    </row>
    <row r="52" s="2043" customFormat="1" ht="16.5" spans="1:18">
      <c r="A52" s="2083"/>
      <c r="B52" s="2080"/>
      <c r="C52" s="2081"/>
      <c r="D52" s="2082"/>
      <c r="E52" s="2077" t="s">
        <v>1149</v>
      </c>
      <c r="F52" s="2078">
        <f>F8</f>
        <v>12</v>
      </c>
      <c r="I52" s="2261" t="s">
        <v>1272</v>
      </c>
      <c r="J52" s="2262">
        <f>IF(J50="",J51,J50+J51-YEAR('数据-取费表'!B2))</f>
        <v>40</v>
      </c>
      <c r="K52" s="2263" t="s">
        <v>1273</v>
      </c>
      <c r="L52" s="2264">
        <f ca="1">ROUND(-PV('数据-取费表'!B15,J52,(C40-C13*J35)),0)</f>
        <v>162701749</v>
      </c>
      <c r="O52" s="2237" t="s">
        <v>1274</v>
      </c>
      <c r="P52" s="2238"/>
      <c r="Q52" s="2253"/>
      <c r="R52" s="2238"/>
    </row>
    <row r="53" s="2043" customFormat="1" ht="15.75" spans="1:18">
      <c r="A53" s="2096"/>
      <c r="B53" s="2152"/>
      <c r="C53" s="2105"/>
      <c r="D53" s="2084"/>
      <c r="E53" s="2077" t="s">
        <v>1150</v>
      </c>
      <c r="F53" s="2176"/>
      <c r="I53" s="2265" t="s">
        <v>1275</v>
      </c>
      <c r="J53" s="2266"/>
      <c r="K53" s="2265" t="s">
        <v>1276</v>
      </c>
      <c r="L53" s="2266"/>
      <c r="O53" s="2240" t="s">
        <v>1239</v>
      </c>
      <c r="P53" s="2241" t="s">
        <v>1240</v>
      </c>
      <c r="Q53" s="2290" t="s">
        <v>1241</v>
      </c>
      <c r="R53" s="2291" t="s">
        <v>1242</v>
      </c>
    </row>
    <row r="54" s="2043" customFormat="1" ht="29.25" customHeight="1" spans="1:18">
      <c r="A54" s="2074" t="s">
        <v>968</v>
      </c>
      <c r="B54" s="2086" t="s">
        <v>1151</v>
      </c>
      <c r="C54" s="2087">
        <f ca="1">ROUND(IF(F54="押一",C50/12*F11,IF(F54="押二",C50/12*2*F11,IF(F54="押三",C50/12*3*F11,C55*F11))),0)</f>
        <v>0</v>
      </c>
      <c r="D54" s="2088" t="s">
        <v>1152</v>
      </c>
      <c r="E54" s="2089" t="s">
        <v>1153</v>
      </c>
      <c r="F54" s="2090"/>
      <c r="I54" s="2267" t="s">
        <v>1277</v>
      </c>
      <c r="J54" s="2268">
        <f>IF(M48="住宅",IF(E1="——",MAX(J52,L49),MAX(J52,L49-'数据-取费表'!B26)),IF(E1="——",MIN(J52,L49),MIN(J52,L49-'数据-取费表'!B26)))</f>
        <v>48</v>
      </c>
      <c r="K54" s="2269" t="s">
        <v>1278</v>
      </c>
      <c r="L54" s="2270"/>
      <c r="O54" s="2242" t="s">
        <v>976</v>
      </c>
      <c r="P54" s="2243" t="s">
        <v>1243</v>
      </c>
      <c r="Q54" s="2292">
        <f ca="1">C40+J29</f>
        <v>8841725</v>
      </c>
      <c r="R54" s="2293" t="s">
        <v>1244</v>
      </c>
    </row>
    <row r="55" s="2043" customFormat="1" ht="20.25" spans="1:18">
      <c r="A55" s="2074"/>
      <c r="B55" s="2177" t="s">
        <v>1157</v>
      </c>
      <c r="C55" s="2093"/>
      <c r="D55" s="2172"/>
      <c r="E55" s="2178"/>
      <c r="F55" s="2179"/>
      <c r="I55" s="2147" t="str">
        <f>IF(M48="住宅","估价对象为住宅，收益年期仅考虑建筑物耐用年限",IF(J52&gt;L49,"建筑物剩余经济寿命超过剩余土地使用期限，需查看出让合同对于是否无偿收回的约定","剩余土地使用期限超过建筑物剩余经济寿命，需计算收益期外土地使用权价值"))</f>
        <v>估价对象为住宅，收益年期仅考虑建筑物耐用年限</v>
      </c>
      <c r="J55" s="2271"/>
      <c r="K55" s="2271"/>
      <c r="L55" s="2271"/>
      <c r="O55" s="2242" t="s">
        <v>978</v>
      </c>
      <c r="P55" s="2243" t="s">
        <v>1279</v>
      </c>
      <c r="Q55" s="2292">
        <f ca="1">L61</f>
        <v>0</v>
      </c>
      <c r="R55" s="2293" t="s">
        <v>1280</v>
      </c>
    </row>
    <row r="56" s="2043" customFormat="1" ht="20.25" spans="1:18">
      <c r="A56" s="2097" t="s">
        <v>969</v>
      </c>
      <c r="B56" s="2098" t="s">
        <v>1158</v>
      </c>
      <c r="C56" s="2099"/>
      <c r="D56" s="2180"/>
      <c r="E56" s="2181"/>
      <c r="F56" s="2182"/>
      <c r="I56" s="2272" t="s">
        <v>1281</v>
      </c>
      <c r="J56" s="2273" t="e">
        <f>ROUND(IF(J48="钢混",J58/J51,1-(1-2%)*(J51-J58)/J51),3)</f>
        <v>#VALUE!</v>
      </c>
      <c r="K56" s="2274" t="s">
        <v>1282</v>
      </c>
      <c r="L56" s="2275"/>
      <c r="O56" s="2248" t="s">
        <v>1249</v>
      </c>
      <c r="P56" s="2243" t="s">
        <v>1283</v>
      </c>
      <c r="Q56" s="2292">
        <f>IF(L56="比较法",L50,IF(L56="基准地价",L51,0))</f>
        <v>0</v>
      </c>
      <c r="R56" s="2293" t="s">
        <v>1244</v>
      </c>
    </row>
    <row r="57" s="2043" customFormat="1" ht="44.25" spans="1:18">
      <c r="A57" s="2103">
        <v>2</v>
      </c>
      <c r="B57" s="2104" t="s">
        <v>1159</v>
      </c>
      <c r="C57" s="2183">
        <f>C13</f>
        <v>938818</v>
      </c>
      <c r="D57" s="2184"/>
      <c r="E57" s="2185"/>
      <c r="F57" s="2186"/>
      <c r="I57" s="2276" t="s">
        <v>1284</v>
      </c>
      <c r="J57" s="2277" t="s">
        <v>454</v>
      </c>
      <c r="K57" s="2254" t="s">
        <v>1285</v>
      </c>
      <c r="L57" s="2257">
        <f>IF(L49&lt;J52,"——",L49-J52)</f>
        <v>8</v>
      </c>
      <c r="O57" s="2248" t="s">
        <v>1253</v>
      </c>
      <c r="P57" s="2243" t="s">
        <v>1286</v>
      </c>
      <c r="Q57" s="2294">
        <f>L53</f>
        <v>0</v>
      </c>
      <c r="R57" s="2293"/>
    </row>
    <row r="58" s="2043" customFormat="1" ht="29.25" spans="1:18">
      <c r="A58" s="2187"/>
      <c r="B58" s="2077" t="s">
        <v>1218</v>
      </c>
      <c r="C58" s="2188">
        <f>C29</f>
        <v>1235287</v>
      </c>
      <c r="D58" s="2184"/>
      <c r="E58" s="2185"/>
      <c r="F58" s="2186"/>
      <c r="I58" s="2278" t="s">
        <v>1287</v>
      </c>
      <c r="J58" s="2279" t="str">
        <f>IF(OR(M48="住宅",J52&lt;L49,J57="是"),"——",J52-L49)</f>
        <v>——</v>
      </c>
      <c r="K58" s="2254" t="s">
        <v>1288</v>
      </c>
      <c r="L58" s="2257">
        <f ca="1">IF(L49&lt;J52,"——",IF(L56="比较法",L50,IF(L56="基准地价",L51,L52)))</f>
        <v>162701749</v>
      </c>
      <c r="O58" s="2248" t="s">
        <v>1259</v>
      </c>
      <c r="P58" s="2243" t="s">
        <v>1289</v>
      </c>
      <c r="Q58" s="2292" t="e">
        <f>L59</f>
        <v>#DIV/0!</v>
      </c>
      <c r="R58" s="2293" t="s">
        <v>1290</v>
      </c>
    </row>
    <row r="59" s="2043" customFormat="1" ht="29.25" spans="1:18">
      <c r="A59" s="2189" t="s">
        <v>739</v>
      </c>
      <c r="B59" s="2190" t="s">
        <v>1167</v>
      </c>
      <c r="C59" s="1716">
        <f ca="1">ROUND(C60+C65+C66+C67,0)</f>
        <v>13292</v>
      </c>
      <c r="D59" s="2191" t="s">
        <v>1168</v>
      </c>
      <c r="E59" s="1764"/>
      <c r="F59" s="2117"/>
      <c r="I59" s="2278" t="s">
        <v>1291</v>
      </c>
      <c r="J59" s="2280" t="e">
        <f>IF(J56&lt;0.4,0.4,J56)</f>
        <v>#VALUE!</v>
      </c>
      <c r="K59" s="2263" t="s">
        <v>1292</v>
      </c>
      <c r="L59" s="2257" t="e">
        <f>ROUND(POWER(1+L53,L48-L49)*(POWER(1+L53,L49)-1)/(POWER(1+L53,L48)-1),4)</f>
        <v>#DIV/0!</v>
      </c>
      <c r="O59" s="2248" t="s">
        <v>1266</v>
      </c>
      <c r="P59" s="2243" t="str">
        <f>K60</f>
        <v>建筑物剩余耐用年限下的土地年期修正系数Kn</v>
      </c>
      <c r="Q59" s="2292" t="e">
        <f>L60</f>
        <v>#DIV/0!</v>
      </c>
      <c r="R59" s="2293" t="s">
        <v>1293</v>
      </c>
    </row>
    <row r="60" s="2043" customFormat="1" ht="29.25" spans="1:18">
      <c r="A60" s="2108" t="s">
        <v>1294</v>
      </c>
      <c r="B60" s="2077" t="s">
        <v>1173</v>
      </c>
      <c r="C60" s="2131">
        <f ca="1">ROUND(IF(AND(项目基本情况!B7="自然人",项目基本情况!B6="北京市"),C50*F60/(1+'数据-取费表'!F30),C61+C62+C63),0)</f>
        <v>0</v>
      </c>
      <c r="D60" s="2110" t="s">
        <v>1174</v>
      </c>
      <c r="E60" s="2132" t="s">
        <v>1175</v>
      </c>
      <c r="F60" s="2133">
        <f>IF(项目基本情况!B7="企业","——",IF('数据-取费表'!B10="住宅",IF(F50*F51*F52/12/(1+'数据-取费表'!F30)&gt;100000,4%,2.5%),IF(F50*F51*F52/12/(1+'数据-取费表'!F30)&gt;100000,12%,7%)))</f>
        <v>0.025</v>
      </c>
      <c r="I60" s="2278" t="s">
        <v>1295</v>
      </c>
      <c r="J60" s="2279" t="str">
        <f>IF(OR(M48="住宅",J52&lt;L49,J57="是"),"——",ROUND(C29*J59,0))</f>
        <v>——</v>
      </c>
      <c r="K60" s="2263" t="str">
        <f>IF(E1="——","建筑物剩余耐用年限下的土地年期修正系数Kn",IF(E1="在建（套用方法）","续建工期及建筑物耐用年限下的土地年期修正系数Kn","建设期及建筑物耐用年限下的土地年期修正系数Kn"))</f>
        <v>建筑物剩余耐用年限下的土地年期修正系数Kn</v>
      </c>
      <c r="L60" s="2257" t="e">
        <f>ROUND(IF(E1="在建（套用方法）",M60,IF(E1="土地（套用方法）",N60,POWER(1+L53,L48-J52)*(POWER(1+L53,J52)-1)/(POWER(1+L53,L48)-1))),4)</f>
        <v>#DIV/0!</v>
      </c>
      <c r="M60" s="2238" t="e">
        <f>ROUND(POWER(1+L53,L48-(J52+'数据-取费表'!B26))*(POWER(1+L53,(J52+'数据-取费表'!B26))-1)/(POWER(1+L53,L48)-1),4)</f>
        <v>#DIV/0!</v>
      </c>
      <c r="N60" s="2238" t="e">
        <f>ROUND(POWER(1+L53,L48-(J52+'数据-取费表'!B22))*(POWER(1+L53,(J52+'数据-取费表'!B22))-1)/(POWER(1+L53,L48)-1),4)</f>
        <v>#DIV/0!</v>
      </c>
      <c r="O60" s="2242" t="s">
        <v>981</v>
      </c>
      <c r="P60" s="2243" t="str">
        <f>IF(C2="元","收益价值(元)","收益价值(万元)")</f>
        <v>收益价值(元)</v>
      </c>
      <c r="Q60" s="2292">
        <f ca="1">ROUND(IF(C2="元",Q54+Q55,(Q54+Q55)/10000),0)</f>
        <v>8841725</v>
      </c>
      <c r="R60" s="2293" t="s">
        <v>1271</v>
      </c>
    </row>
    <row r="61" s="2043" customFormat="1" ht="16.5" spans="1:18">
      <c r="A61" s="2108" t="s">
        <v>1296</v>
      </c>
      <c r="B61" s="2077" t="s">
        <v>1177</v>
      </c>
      <c r="C61" s="1762" t="str">
        <f ca="1">IF(项目基本情况!B7="自然人","——",ROUND(C49*F61/(1+'数据-取费表'!F30),0))</f>
        <v>——</v>
      </c>
      <c r="D61" s="2132" t="s">
        <v>1297</v>
      </c>
      <c r="E61" s="2077" t="s">
        <v>1166</v>
      </c>
      <c r="F61" s="2122">
        <f t="shared" ref="F61:F67" si="0">F32</f>
        <v>0.056</v>
      </c>
      <c r="I61" s="2281" t="s">
        <v>1298</v>
      </c>
      <c r="J61" s="2282" t="str">
        <f>IF(OR(M48="住宅",J52&lt;L49,J57="是"),"0",ROUND(J60/(1+J53)^J54,0))</f>
        <v>0</v>
      </c>
      <c r="K61" s="2283" t="s">
        <v>1299</v>
      </c>
      <c r="L61" s="2282">
        <f ca="1">IF(OR(M48="住宅",L49&lt;J52),0,ROUND(L58*(L59/L60-1),0))</f>
        <v>0</v>
      </c>
      <c r="O61" s="2237" t="s">
        <v>1300</v>
      </c>
      <c r="P61" s="2238"/>
      <c r="Q61" s="2253"/>
      <c r="R61" s="2238"/>
    </row>
    <row r="62" s="2043" customFormat="1" ht="15.75" spans="1:18">
      <c r="A62" s="2108" t="s">
        <v>1301</v>
      </c>
      <c r="B62" s="2077" t="s">
        <v>1181</v>
      </c>
      <c r="C62" s="1762" t="str">
        <f>IF(项目基本情况!B7="自然人","——",IF(D62="按租金收入计税",ROUND(C50*F62/(1+'数据-取费表'!F30),0),IF(D62="按房产原值计税",ROUND(C58*F62*0.7,0),'数据-取费表'!B44)))</f>
        <v>——</v>
      </c>
      <c r="D62" s="2135" t="s">
        <v>1302</v>
      </c>
      <c r="E62" s="2077" t="s">
        <v>1166</v>
      </c>
      <c r="F62" s="2116">
        <f t="shared" si="0"/>
        <v>0.12</v>
      </c>
      <c r="O62" s="2240" t="s">
        <v>1239</v>
      </c>
      <c r="P62" s="2241" t="s">
        <v>1240</v>
      </c>
      <c r="Q62" s="2290" t="s">
        <v>1241</v>
      </c>
      <c r="R62" s="2291" t="s">
        <v>1242</v>
      </c>
    </row>
    <row r="63" s="2043" customFormat="1" ht="15.75" spans="1:18">
      <c r="A63" s="2171" t="s">
        <v>1303</v>
      </c>
      <c r="B63" s="2076" t="s">
        <v>1184</v>
      </c>
      <c r="C63" s="2137" t="str">
        <f>IF(项目基本情况!B7="自然人","——",ROUND(F63*F64,0))</f>
        <v>——</v>
      </c>
      <c r="D63" s="2138" t="s">
        <v>1185</v>
      </c>
      <c r="E63" s="2077" t="s">
        <v>1186</v>
      </c>
      <c r="F63" s="2121">
        <f t="shared" si="0"/>
        <v>0</v>
      </c>
      <c r="I63" s="2284" t="s">
        <v>1304</v>
      </c>
      <c r="J63" s="2285" t="s">
        <v>1305</v>
      </c>
      <c r="K63" s="2285" t="s">
        <v>1306</v>
      </c>
      <c r="L63" s="2285" t="s">
        <v>1307</v>
      </c>
      <c r="M63" s="2286" t="s">
        <v>1308</v>
      </c>
      <c r="O63" s="2242" t="s">
        <v>976</v>
      </c>
      <c r="P63" s="2243" t="s">
        <v>1243</v>
      </c>
      <c r="Q63" s="2292">
        <f ca="1">C40+J29</f>
        <v>8841725</v>
      </c>
      <c r="R63" s="2293" t="s">
        <v>1244</v>
      </c>
    </row>
    <row r="64" s="2043" customFormat="1" ht="20.25" spans="1:18">
      <c r="A64" s="2091"/>
      <c r="B64" s="2084"/>
      <c r="C64" s="1834"/>
      <c r="D64" s="447"/>
      <c r="E64" s="2077" t="s">
        <v>1190</v>
      </c>
      <c r="F64" s="2078">
        <f t="shared" si="0"/>
        <v>0</v>
      </c>
      <c r="I64" s="2284" t="s">
        <v>1309</v>
      </c>
      <c r="J64" s="2285">
        <v>70</v>
      </c>
      <c r="K64" s="2285">
        <v>50</v>
      </c>
      <c r="L64" s="2285">
        <v>80</v>
      </c>
      <c r="M64" s="2287">
        <v>0.02</v>
      </c>
      <c r="O64" s="2242" t="s">
        <v>978</v>
      </c>
      <c r="P64" s="2243" t="s">
        <v>1279</v>
      </c>
      <c r="Q64" s="2292">
        <f ca="1">L61</f>
        <v>0</v>
      </c>
      <c r="R64" s="2293" t="s">
        <v>1280</v>
      </c>
    </row>
    <row r="65" s="2043" customFormat="1" ht="24" spans="1:18">
      <c r="A65" s="2108" t="s">
        <v>1310</v>
      </c>
      <c r="B65" s="2077" t="s">
        <v>1192</v>
      </c>
      <c r="C65" s="1762">
        <f>ROUND(C58*F65,0)</f>
        <v>12353</v>
      </c>
      <c r="D65" s="2132" t="s">
        <v>1227</v>
      </c>
      <c r="E65" s="2077" t="s">
        <v>1166</v>
      </c>
      <c r="F65" s="2141">
        <f t="shared" si="0"/>
        <v>0.01</v>
      </c>
      <c r="I65" s="2284" t="s">
        <v>1311</v>
      </c>
      <c r="J65" s="2285">
        <v>50</v>
      </c>
      <c r="K65" s="2285">
        <v>35</v>
      </c>
      <c r="L65" s="2285">
        <v>60</v>
      </c>
      <c r="M65" s="2286">
        <v>0</v>
      </c>
      <c r="O65" s="2248" t="s">
        <v>1249</v>
      </c>
      <c r="P65" s="2243" t="s">
        <v>1283</v>
      </c>
      <c r="Q65" s="2299">
        <f ca="1">L52</f>
        <v>162701749</v>
      </c>
      <c r="R65" s="2300" t="s">
        <v>1312</v>
      </c>
    </row>
    <row r="66" s="2043" customFormat="1" ht="20.25" spans="1:18">
      <c r="A66" s="2108" t="s">
        <v>1313</v>
      </c>
      <c r="B66" s="2077" t="s">
        <v>1196</v>
      </c>
      <c r="C66" s="1762">
        <f>ROUND(C57*F66,0)</f>
        <v>939</v>
      </c>
      <c r="D66" s="2132" t="s">
        <v>1197</v>
      </c>
      <c r="E66" s="2077" t="s">
        <v>1166</v>
      </c>
      <c r="F66" s="2142">
        <f t="shared" si="0"/>
        <v>0.001</v>
      </c>
      <c r="I66" s="2284" t="s">
        <v>1314</v>
      </c>
      <c r="J66" s="2285">
        <v>40</v>
      </c>
      <c r="K66" s="2285">
        <v>30</v>
      </c>
      <c r="L66" s="2285">
        <v>50</v>
      </c>
      <c r="M66" s="2287">
        <v>0.02</v>
      </c>
      <c r="O66" s="2248" t="s">
        <v>1253</v>
      </c>
      <c r="P66" s="2298" t="s">
        <v>1315</v>
      </c>
      <c r="Q66" s="2292">
        <f ca="1">ROUND(Q67-Q68*Q69,0)</f>
        <v>321644</v>
      </c>
      <c r="R66" s="2293"/>
    </row>
    <row r="67" s="2043" customFormat="1" ht="15.75" spans="1:18">
      <c r="A67" s="2108" t="s">
        <v>1316</v>
      </c>
      <c r="B67" s="2077" t="s">
        <v>1182</v>
      </c>
      <c r="C67" s="1762">
        <f ca="1">ROUND(C49*F67,0)</f>
        <v>0</v>
      </c>
      <c r="D67" s="2132" t="s">
        <v>1200</v>
      </c>
      <c r="E67" s="2077" t="s">
        <v>1166</v>
      </c>
      <c r="F67" s="2085">
        <f t="shared" si="0"/>
        <v>0.01</v>
      </c>
      <c r="O67" s="2248" t="s">
        <v>1317</v>
      </c>
      <c r="P67" s="2298" t="s">
        <v>1318</v>
      </c>
      <c r="Q67" s="2292">
        <f ca="1">C39</f>
        <v>321644</v>
      </c>
      <c r="R67" s="2293" t="s">
        <v>1244</v>
      </c>
    </row>
    <row r="68" ht="15.75" spans="1:18">
      <c r="A68" s="2189" t="s">
        <v>742</v>
      </c>
      <c r="B68" s="2295" t="s">
        <v>1203</v>
      </c>
      <c r="C68" s="1716">
        <f ca="1">C49-C59</f>
        <v>-13292</v>
      </c>
      <c r="D68" s="2110" t="s">
        <v>1204</v>
      </c>
      <c r="E68" s="2296"/>
      <c r="F68" s="2297"/>
      <c r="H68" s="2043"/>
      <c r="I68" s="2043"/>
      <c r="J68" s="2043"/>
      <c r="K68" s="2043"/>
      <c r="L68" s="2043"/>
      <c r="M68" s="2043"/>
      <c r="O68" s="2248" t="s">
        <v>1319</v>
      </c>
      <c r="P68" s="2298" t="s">
        <v>1320</v>
      </c>
      <c r="Q68" s="2292">
        <f>C13</f>
        <v>938818</v>
      </c>
      <c r="R68" s="2293" t="s">
        <v>1244</v>
      </c>
    </row>
    <row r="69" ht="15.75" spans="1:18">
      <c r="A69" s="2069" t="s">
        <v>768</v>
      </c>
      <c r="B69" s="2070" t="s">
        <v>1232</v>
      </c>
      <c r="C69" s="2071">
        <f ca="1">ROUND(C68*(1-((1+F71)/(1+F69))^F70)/(F69-F71),0)</f>
        <v>-259667</v>
      </c>
      <c r="D69" s="2138" t="s">
        <v>1209</v>
      </c>
      <c r="E69" s="2077" t="s">
        <v>1210</v>
      </c>
      <c r="F69" s="2085">
        <f>F40</f>
        <v>0.045</v>
      </c>
      <c r="H69" s="2043"/>
      <c r="I69" s="2043"/>
      <c r="J69" s="2043"/>
      <c r="K69" s="2043"/>
      <c r="L69" s="2043"/>
      <c r="M69" s="2043"/>
      <c r="O69" s="2248" t="s">
        <v>1321</v>
      </c>
      <c r="P69" s="2298" t="s">
        <v>1322</v>
      </c>
      <c r="Q69" s="2294">
        <f>J35</f>
        <v>0</v>
      </c>
      <c r="R69" s="2293"/>
    </row>
    <row r="70" ht="15.75" spans="1:18">
      <c r="A70" s="2083"/>
      <c r="B70" s="2080"/>
      <c r="C70" s="2081"/>
      <c r="D70" s="2148" t="s">
        <v>1213</v>
      </c>
      <c r="E70" s="2077" t="s">
        <v>1214</v>
      </c>
      <c r="F70" s="2150">
        <f>F41</f>
        <v>48</v>
      </c>
      <c r="H70" s="2043"/>
      <c r="I70" s="2043"/>
      <c r="J70" s="2043"/>
      <c r="K70" s="2043"/>
      <c r="L70" s="2043"/>
      <c r="M70" s="2043"/>
      <c r="O70" s="2248" t="s">
        <v>1259</v>
      </c>
      <c r="P70" s="2243" t="s">
        <v>1286</v>
      </c>
      <c r="Q70" s="2294">
        <f>L53</f>
        <v>0</v>
      </c>
      <c r="R70" s="2293"/>
    </row>
    <row r="71" ht="20.25" spans="1:18">
      <c r="A71" s="2096"/>
      <c r="B71" s="2152"/>
      <c r="C71" s="2105"/>
      <c r="D71" s="447"/>
      <c r="E71" s="2077" t="s">
        <v>1217</v>
      </c>
      <c r="F71" s="2176"/>
      <c r="H71" s="2043"/>
      <c r="M71" s="2043"/>
      <c r="O71" s="2248" t="s">
        <v>1266</v>
      </c>
      <c r="P71" s="2243" t="s">
        <v>1289</v>
      </c>
      <c r="Q71" s="2292" t="e">
        <f>L59</f>
        <v>#DIV/0!</v>
      </c>
      <c r="R71" s="2293" t="s">
        <v>1290</v>
      </c>
    </row>
    <row r="72" ht="15.75" spans="1:18">
      <c r="A72" s="2126" t="s">
        <v>1219</v>
      </c>
      <c r="B72" s="2153" t="s">
        <v>1235</v>
      </c>
      <c r="C72" s="2154">
        <f ca="1">ROUND(C69/F72,0)</f>
        <v>-1053</v>
      </c>
      <c r="D72" s="2155" t="s">
        <v>1236</v>
      </c>
      <c r="E72" s="2156" t="s">
        <v>1237</v>
      </c>
      <c r="F72" s="2157">
        <f>F43</f>
        <v>246.59</v>
      </c>
      <c r="O72" s="2248" t="s">
        <v>1323</v>
      </c>
      <c r="P72" s="2243" t="str">
        <f>K60</f>
        <v>建筑物剩余耐用年限下的土地年期修正系数Kn</v>
      </c>
      <c r="Q72" s="2292" t="e">
        <f>L60</f>
        <v>#DIV/0!</v>
      </c>
      <c r="R72" s="2293" t="s">
        <v>1293</v>
      </c>
    </row>
    <row r="73" ht="15.75" spans="1:18">
      <c r="A73" s="2043"/>
      <c r="B73" s="2047"/>
      <c r="C73" s="2047"/>
      <c r="D73" s="2043"/>
      <c r="E73" s="2043"/>
      <c r="F73" s="2043"/>
      <c r="O73" s="2242" t="s">
        <v>981</v>
      </c>
      <c r="P73" s="2243" t="str">
        <f>IF(C2="元","收益价值(元)","收益价值(万元)")</f>
        <v>收益价值(元)</v>
      </c>
      <c r="Q73" s="2292">
        <f ca="1">ROUND(IF(C2="元",Q63+Q64,(Q63+Q64)/10000),0)</f>
        <v>8841725</v>
      </c>
      <c r="R73" s="2293" t="s">
        <v>1271</v>
      </c>
    </row>
    <row r="74" spans="1:6">
      <c r="A74" s="2043"/>
      <c r="B74" s="2047"/>
      <c r="C74" s="2047"/>
      <c r="D74" s="2043"/>
      <c r="E74" s="2043"/>
      <c r="F74" s="2043"/>
    </row>
    <row r="75" spans="1:6">
      <c r="A75" s="2043"/>
      <c r="B75" s="2047"/>
      <c r="C75" s="2047"/>
      <c r="D75" s="2043"/>
      <c r="E75" s="2043"/>
      <c r="F75" s="2043"/>
    </row>
  </sheetData>
  <sheetProtection password="CEE9" sheet="1" formatCells="0" formatColumns="0" formatRows="0" objects="1" scenarios="1"/>
  <mergeCells count="1">
    <mergeCell ref="K54:L54"/>
  </mergeCells>
  <conditionalFormatting sqref="C11">
    <cfRule type="expression" dxfId="11" priority="3">
      <formula>$F$10="自定义"</formula>
    </cfRule>
  </conditionalFormatting>
  <conditionalFormatting sqref="J11">
    <cfRule type="expression" dxfId="11" priority="2">
      <formula>$M$10="自定义"</formula>
    </cfRule>
  </conditionalFormatting>
  <conditionalFormatting sqref="C55">
    <cfRule type="expression" dxfId="11" priority="1">
      <formula>$F$54="自定义"</formula>
    </cfRule>
  </conditionalFormatting>
  <conditionalFormatting sqref="I56">
    <cfRule type="expression" dxfId="12" priority="7">
      <formula>$J$52&gt;$L$49</formula>
    </cfRule>
  </conditionalFormatting>
  <conditionalFormatting sqref="K56">
    <cfRule type="expression" dxfId="12" priority="6">
      <formula>$L$49&gt;$J$52</formula>
    </cfRule>
  </conditionalFormatting>
  <conditionalFormatting sqref="I61">
    <cfRule type="expression" dxfId="12" priority="5">
      <formula>$J$52&gt;$L$49</formula>
    </cfRule>
  </conditionalFormatting>
  <conditionalFormatting sqref="K61">
    <cfRule type="expression" dxfId="12" priority="4">
      <formula>$L$49&gt;$J$52</formula>
    </cfRule>
  </conditionalFormatting>
  <dataValidations count="10">
    <dataValidation type="list" allowBlank="1" showInputMessage="1" showErrorMessage="1" sqref="J49">
      <formula1>"非生产用房,生产用房,受腐蚀的生产用房"</formula1>
    </dataValidation>
    <dataValidation type="list" allowBlank="1" showInputMessage="1" showErrorMessage="1" sqref="D1">
      <formula1>"估价对象,仅计算典型户型"</formula1>
    </dataValidation>
    <dataValidation type="list" allowBlank="1" showInputMessage="1" showErrorMessage="1" sqref="E1">
      <formula1>"在建（套用方法）,土地（套用方法）,——"</formula1>
    </dataValidation>
    <dataValidation type="list" allowBlank="1" showInputMessage="1" showErrorMessage="1" sqref="F10 M10 F54">
      <formula1>"押一,押二,押三,自定义"</formula1>
    </dataValidation>
    <dataValidation type="list" allowBlank="1" showInputMessage="1" showErrorMessage="1" sqref="K19">
      <formula1>"按租金收入计税,按房产原值计税"</formula1>
    </dataValidation>
    <dataValidation type="list" allowBlank="1" showInputMessage="1" showErrorMessage="1" sqref="D33 D62">
      <formula1>"按租金收入计税,按房产原值计税,按票据"</formula1>
    </dataValidation>
    <dataValidation type="list" allowBlank="1" showInputMessage="1" showErrorMessage="1" sqref="E41">
      <formula1>"收益年期(n),设定收益年期(n)"</formula1>
    </dataValidation>
    <dataValidation type="list" allowBlank="1" showInputMessage="1" showErrorMessage="1" sqref="J48">
      <formula1>"钢,钢混,砖混"</formula1>
    </dataValidation>
    <dataValidation type="list" allowBlank="1" showInputMessage="1" showErrorMessage="1" sqref="L56">
      <formula1>"比较法,基准地价,收益还原"</formula1>
    </dataValidation>
    <dataValidation type="list" allowBlank="1" showInputMessage="1" showErrorMessage="1" sqref="J57">
      <formula1>判定</formula1>
    </dataValidation>
  </dataValidations>
  <pageMargins left="0.7" right="0.7" top="0.75" bottom="0.75" header="0.3" footer="0.3"/>
  <pageSetup paperSize="9" scale="75" fitToHeight="0" orientation="portrait"/>
  <headerFooter/>
  <colBreaks count="2" manualBreakCount="2">
    <brk id="6" max="1048575" man="1"/>
    <brk id="13" max="1048575" man="1"/>
  </colBreaks>
  <legacyDrawing r:id="rId2"/>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W44"/>
  <sheetViews>
    <sheetView zoomScale="80" zoomScaleNormal="80" workbookViewId="0">
      <selection activeCell="C13" sqref="C13:H13"/>
    </sheetView>
  </sheetViews>
  <sheetFormatPr defaultColWidth="9" defaultRowHeight="13.15" customHeight="1"/>
  <cols>
    <col min="1" max="1" width="9.5" style="1847" customWidth="1"/>
    <col min="2" max="2" width="8.875" style="1847"/>
    <col min="3" max="5" width="12.875" style="1847" customWidth="1"/>
    <col min="6" max="6" width="47.5" style="1847" customWidth="1"/>
    <col min="7" max="7" width="13" style="1848" customWidth="1"/>
    <col min="8" max="8" width="8.875" style="1849"/>
    <col min="9" max="9" width="8.875" style="1850"/>
    <col min="10" max="10" width="5.75" style="1851" customWidth="1"/>
    <col min="11" max="11" width="11.75" style="1851" customWidth="1"/>
    <col min="12" max="13" width="10.75" style="1851" customWidth="1"/>
    <col min="14" max="14" width="10" style="1851" customWidth="1"/>
    <col min="15" max="16" width="10.5" style="1851" customWidth="1"/>
    <col min="17" max="17" width="10" style="1851" customWidth="1"/>
    <col min="18" max="18" width="10.125" style="1851" customWidth="1"/>
    <col min="19" max="19" width="10" style="1851" customWidth="1"/>
    <col min="20" max="20" width="26.125" style="1851" customWidth="1"/>
    <col min="21" max="21" width="8.875" style="1851"/>
    <col min="22" max="22" width="8.875" style="1850"/>
    <col min="23" max="23" width="8.875" style="1849"/>
    <col min="24" max="256" width="8.875" style="1847"/>
    <col min="257" max="257" width="9.5" style="1847" customWidth="1"/>
    <col min="258" max="258" width="8.875" style="1847"/>
    <col min="259" max="261" width="12.875" style="1847" customWidth="1"/>
    <col min="262" max="262" width="47.5" style="1847" customWidth="1"/>
    <col min="263" max="263" width="13" style="1847" customWidth="1"/>
    <col min="264" max="265" width="8.875" style="1847"/>
    <col min="266" max="266" width="5.75" style="1847" customWidth="1"/>
    <col min="267" max="267" width="11.75" style="1847" customWidth="1"/>
    <col min="268" max="269" width="10.75" style="1847" customWidth="1"/>
    <col min="270" max="270" width="10" style="1847" customWidth="1"/>
    <col min="271" max="272" width="10.5" style="1847" customWidth="1"/>
    <col min="273" max="273" width="10" style="1847" customWidth="1"/>
    <col min="274" max="274" width="10.125" style="1847" customWidth="1"/>
    <col min="275" max="275" width="10" style="1847" customWidth="1"/>
    <col min="276" max="276" width="26.125" style="1847" customWidth="1"/>
    <col min="277" max="512" width="8.875" style="1847"/>
    <col min="513" max="513" width="9.5" style="1847" customWidth="1"/>
    <col min="514" max="514" width="8.875" style="1847"/>
    <col min="515" max="517" width="12.875" style="1847" customWidth="1"/>
    <col min="518" max="518" width="47.5" style="1847" customWidth="1"/>
    <col min="519" max="519" width="13" style="1847" customWidth="1"/>
    <col min="520" max="521" width="8.875" style="1847"/>
    <col min="522" max="522" width="5.75" style="1847" customWidth="1"/>
    <col min="523" max="523" width="11.75" style="1847" customWidth="1"/>
    <col min="524" max="525" width="10.75" style="1847" customWidth="1"/>
    <col min="526" max="526" width="10" style="1847" customWidth="1"/>
    <col min="527" max="528" width="10.5" style="1847" customWidth="1"/>
    <col min="529" max="529" width="10" style="1847" customWidth="1"/>
    <col min="530" max="530" width="10.125" style="1847" customWidth="1"/>
    <col min="531" max="531" width="10" style="1847" customWidth="1"/>
    <col min="532" max="532" width="26.125" style="1847" customWidth="1"/>
    <col min="533" max="768" width="8.875" style="1847"/>
    <col min="769" max="769" width="9.5" style="1847" customWidth="1"/>
    <col min="770" max="770" width="8.875" style="1847"/>
    <col min="771" max="773" width="12.875" style="1847" customWidth="1"/>
    <col min="774" max="774" width="47.5" style="1847" customWidth="1"/>
    <col min="775" max="775" width="13" style="1847" customWidth="1"/>
    <col min="776" max="777" width="8.875" style="1847"/>
    <col min="778" max="778" width="5.75" style="1847" customWidth="1"/>
    <col min="779" max="779" width="11.75" style="1847" customWidth="1"/>
    <col min="780" max="781" width="10.75" style="1847" customWidth="1"/>
    <col min="782" max="782" width="10" style="1847" customWidth="1"/>
    <col min="783" max="784" width="10.5" style="1847" customWidth="1"/>
    <col min="785" max="785" width="10" style="1847" customWidth="1"/>
    <col min="786" max="786" width="10.125" style="1847" customWidth="1"/>
    <col min="787" max="787" width="10" style="1847" customWidth="1"/>
    <col min="788" max="788" width="26.125" style="1847" customWidth="1"/>
    <col min="789" max="1024" width="8.875" style="1847"/>
    <col min="1025" max="1025" width="9.5" style="1847" customWidth="1"/>
    <col min="1026" max="1026" width="8.875" style="1847"/>
    <col min="1027" max="1029" width="12.875" style="1847" customWidth="1"/>
    <col min="1030" max="1030" width="47.5" style="1847" customWidth="1"/>
    <col min="1031" max="1031" width="13" style="1847" customWidth="1"/>
    <col min="1032" max="1033" width="8.875" style="1847"/>
    <col min="1034" max="1034" width="5.75" style="1847" customWidth="1"/>
    <col min="1035" max="1035" width="11.75" style="1847" customWidth="1"/>
    <col min="1036" max="1037" width="10.75" style="1847" customWidth="1"/>
    <col min="1038" max="1038" width="10" style="1847" customWidth="1"/>
    <col min="1039" max="1040" width="10.5" style="1847" customWidth="1"/>
    <col min="1041" max="1041" width="10" style="1847" customWidth="1"/>
    <col min="1042" max="1042" width="10.125" style="1847" customWidth="1"/>
    <col min="1043" max="1043" width="10" style="1847" customWidth="1"/>
    <col min="1044" max="1044" width="26.125" style="1847" customWidth="1"/>
    <col min="1045" max="1280" width="8.875" style="1847"/>
    <col min="1281" max="1281" width="9.5" style="1847" customWidth="1"/>
    <col min="1282" max="1282" width="8.875" style="1847"/>
    <col min="1283" max="1285" width="12.875" style="1847" customWidth="1"/>
    <col min="1286" max="1286" width="47.5" style="1847" customWidth="1"/>
    <col min="1287" max="1287" width="13" style="1847" customWidth="1"/>
    <col min="1288" max="1289" width="8.875" style="1847"/>
    <col min="1290" max="1290" width="5.75" style="1847" customWidth="1"/>
    <col min="1291" max="1291" width="11.75" style="1847" customWidth="1"/>
    <col min="1292" max="1293" width="10.75" style="1847" customWidth="1"/>
    <col min="1294" max="1294" width="10" style="1847" customWidth="1"/>
    <col min="1295" max="1296" width="10.5" style="1847" customWidth="1"/>
    <col min="1297" max="1297" width="10" style="1847" customWidth="1"/>
    <col min="1298" max="1298" width="10.125" style="1847" customWidth="1"/>
    <col min="1299" max="1299" width="10" style="1847" customWidth="1"/>
    <col min="1300" max="1300" width="26.125" style="1847" customWidth="1"/>
    <col min="1301" max="1536" width="8.875" style="1847"/>
    <col min="1537" max="1537" width="9.5" style="1847" customWidth="1"/>
    <col min="1538" max="1538" width="8.875" style="1847"/>
    <col min="1539" max="1541" width="12.875" style="1847" customWidth="1"/>
    <col min="1542" max="1542" width="47.5" style="1847" customWidth="1"/>
    <col min="1543" max="1543" width="13" style="1847" customWidth="1"/>
    <col min="1544" max="1545" width="8.875" style="1847"/>
    <col min="1546" max="1546" width="5.75" style="1847" customWidth="1"/>
    <col min="1547" max="1547" width="11.75" style="1847" customWidth="1"/>
    <col min="1548" max="1549" width="10.75" style="1847" customWidth="1"/>
    <col min="1550" max="1550" width="10" style="1847" customWidth="1"/>
    <col min="1551" max="1552" width="10.5" style="1847" customWidth="1"/>
    <col min="1553" max="1553" width="10" style="1847" customWidth="1"/>
    <col min="1554" max="1554" width="10.125" style="1847" customWidth="1"/>
    <col min="1555" max="1555" width="10" style="1847" customWidth="1"/>
    <col min="1556" max="1556" width="26.125" style="1847" customWidth="1"/>
    <col min="1557" max="1792" width="8.875" style="1847"/>
    <col min="1793" max="1793" width="9.5" style="1847" customWidth="1"/>
    <col min="1794" max="1794" width="8.875" style="1847"/>
    <col min="1795" max="1797" width="12.875" style="1847" customWidth="1"/>
    <col min="1798" max="1798" width="47.5" style="1847" customWidth="1"/>
    <col min="1799" max="1799" width="13" style="1847" customWidth="1"/>
    <col min="1800" max="1801" width="8.875" style="1847"/>
    <col min="1802" max="1802" width="5.75" style="1847" customWidth="1"/>
    <col min="1803" max="1803" width="11.75" style="1847" customWidth="1"/>
    <col min="1804" max="1805" width="10.75" style="1847" customWidth="1"/>
    <col min="1806" max="1806" width="10" style="1847" customWidth="1"/>
    <col min="1807" max="1808" width="10.5" style="1847" customWidth="1"/>
    <col min="1809" max="1809" width="10" style="1847" customWidth="1"/>
    <col min="1810" max="1810" width="10.125" style="1847" customWidth="1"/>
    <col min="1811" max="1811" width="10" style="1847" customWidth="1"/>
    <col min="1812" max="1812" width="26.125" style="1847" customWidth="1"/>
    <col min="1813" max="2048" width="8.875" style="1847"/>
    <col min="2049" max="2049" width="9.5" style="1847" customWidth="1"/>
    <col min="2050" max="2050" width="8.875" style="1847"/>
    <col min="2051" max="2053" width="12.875" style="1847" customWidth="1"/>
    <col min="2054" max="2054" width="47.5" style="1847" customWidth="1"/>
    <col min="2055" max="2055" width="13" style="1847" customWidth="1"/>
    <col min="2056" max="2057" width="8.875" style="1847"/>
    <col min="2058" max="2058" width="5.75" style="1847" customWidth="1"/>
    <col min="2059" max="2059" width="11.75" style="1847" customWidth="1"/>
    <col min="2060" max="2061" width="10.75" style="1847" customWidth="1"/>
    <col min="2062" max="2062" width="10" style="1847" customWidth="1"/>
    <col min="2063" max="2064" width="10.5" style="1847" customWidth="1"/>
    <col min="2065" max="2065" width="10" style="1847" customWidth="1"/>
    <col min="2066" max="2066" width="10.125" style="1847" customWidth="1"/>
    <col min="2067" max="2067" width="10" style="1847" customWidth="1"/>
    <col min="2068" max="2068" width="26.125" style="1847" customWidth="1"/>
    <col min="2069" max="2304" width="8.875" style="1847"/>
    <col min="2305" max="2305" width="9.5" style="1847" customWidth="1"/>
    <col min="2306" max="2306" width="8.875" style="1847"/>
    <col min="2307" max="2309" width="12.875" style="1847" customWidth="1"/>
    <col min="2310" max="2310" width="47.5" style="1847" customWidth="1"/>
    <col min="2311" max="2311" width="13" style="1847" customWidth="1"/>
    <col min="2312" max="2313" width="8.875" style="1847"/>
    <col min="2314" max="2314" width="5.75" style="1847" customWidth="1"/>
    <col min="2315" max="2315" width="11.75" style="1847" customWidth="1"/>
    <col min="2316" max="2317" width="10.75" style="1847" customWidth="1"/>
    <col min="2318" max="2318" width="10" style="1847" customWidth="1"/>
    <col min="2319" max="2320" width="10.5" style="1847" customWidth="1"/>
    <col min="2321" max="2321" width="10" style="1847" customWidth="1"/>
    <col min="2322" max="2322" width="10.125" style="1847" customWidth="1"/>
    <col min="2323" max="2323" width="10" style="1847" customWidth="1"/>
    <col min="2324" max="2324" width="26.125" style="1847" customWidth="1"/>
    <col min="2325" max="2560" width="8.875" style="1847"/>
    <col min="2561" max="2561" width="9.5" style="1847" customWidth="1"/>
    <col min="2562" max="2562" width="8.875" style="1847"/>
    <col min="2563" max="2565" width="12.875" style="1847" customWidth="1"/>
    <col min="2566" max="2566" width="47.5" style="1847" customWidth="1"/>
    <col min="2567" max="2567" width="13" style="1847" customWidth="1"/>
    <col min="2568" max="2569" width="8.875" style="1847"/>
    <col min="2570" max="2570" width="5.75" style="1847" customWidth="1"/>
    <col min="2571" max="2571" width="11.75" style="1847" customWidth="1"/>
    <col min="2572" max="2573" width="10.75" style="1847" customWidth="1"/>
    <col min="2574" max="2574" width="10" style="1847" customWidth="1"/>
    <col min="2575" max="2576" width="10.5" style="1847" customWidth="1"/>
    <col min="2577" max="2577" width="10" style="1847" customWidth="1"/>
    <col min="2578" max="2578" width="10.125" style="1847" customWidth="1"/>
    <col min="2579" max="2579" width="10" style="1847" customWidth="1"/>
    <col min="2580" max="2580" width="26.125" style="1847" customWidth="1"/>
    <col min="2581" max="2816" width="8.875" style="1847"/>
    <col min="2817" max="2817" width="9.5" style="1847" customWidth="1"/>
    <col min="2818" max="2818" width="8.875" style="1847"/>
    <col min="2819" max="2821" width="12.875" style="1847" customWidth="1"/>
    <col min="2822" max="2822" width="47.5" style="1847" customWidth="1"/>
    <col min="2823" max="2823" width="13" style="1847" customWidth="1"/>
    <col min="2824" max="2825" width="8.875" style="1847"/>
    <col min="2826" max="2826" width="5.75" style="1847" customWidth="1"/>
    <col min="2827" max="2827" width="11.75" style="1847" customWidth="1"/>
    <col min="2828" max="2829" width="10.75" style="1847" customWidth="1"/>
    <col min="2830" max="2830" width="10" style="1847" customWidth="1"/>
    <col min="2831" max="2832" width="10.5" style="1847" customWidth="1"/>
    <col min="2833" max="2833" width="10" style="1847" customWidth="1"/>
    <col min="2834" max="2834" width="10.125" style="1847" customWidth="1"/>
    <col min="2835" max="2835" width="10" style="1847" customWidth="1"/>
    <col min="2836" max="2836" width="26.125" style="1847" customWidth="1"/>
    <col min="2837" max="3072" width="8.875" style="1847"/>
    <col min="3073" max="3073" width="9.5" style="1847" customWidth="1"/>
    <col min="3074" max="3074" width="8.875" style="1847"/>
    <col min="3075" max="3077" width="12.875" style="1847" customWidth="1"/>
    <col min="3078" max="3078" width="47.5" style="1847" customWidth="1"/>
    <col min="3079" max="3079" width="13" style="1847" customWidth="1"/>
    <col min="3080" max="3081" width="8.875" style="1847"/>
    <col min="3082" max="3082" width="5.75" style="1847" customWidth="1"/>
    <col min="3083" max="3083" width="11.75" style="1847" customWidth="1"/>
    <col min="3084" max="3085" width="10.75" style="1847" customWidth="1"/>
    <col min="3086" max="3086" width="10" style="1847" customWidth="1"/>
    <col min="3087" max="3088" width="10.5" style="1847" customWidth="1"/>
    <col min="3089" max="3089" width="10" style="1847" customWidth="1"/>
    <col min="3090" max="3090" width="10.125" style="1847" customWidth="1"/>
    <col min="3091" max="3091" width="10" style="1847" customWidth="1"/>
    <col min="3092" max="3092" width="26.125" style="1847" customWidth="1"/>
    <col min="3093" max="3328" width="8.875" style="1847"/>
    <col min="3329" max="3329" width="9.5" style="1847" customWidth="1"/>
    <col min="3330" max="3330" width="8.875" style="1847"/>
    <col min="3331" max="3333" width="12.875" style="1847" customWidth="1"/>
    <col min="3334" max="3334" width="47.5" style="1847" customWidth="1"/>
    <col min="3335" max="3335" width="13" style="1847" customWidth="1"/>
    <col min="3336" max="3337" width="8.875" style="1847"/>
    <col min="3338" max="3338" width="5.75" style="1847" customWidth="1"/>
    <col min="3339" max="3339" width="11.75" style="1847" customWidth="1"/>
    <col min="3340" max="3341" width="10.75" style="1847" customWidth="1"/>
    <col min="3342" max="3342" width="10" style="1847" customWidth="1"/>
    <col min="3343" max="3344" width="10.5" style="1847" customWidth="1"/>
    <col min="3345" max="3345" width="10" style="1847" customWidth="1"/>
    <col min="3346" max="3346" width="10.125" style="1847" customWidth="1"/>
    <col min="3347" max="3347" width="10" style="1847" customWidth="1"/>
    <col min="3348" max="3348" width="26.125" style="1847" customWidth="1"/>
    <col min="3349" max="3584" width="8.875" style="1847"/>
    <col min="3585" max="3585" width="9.5" style="1847" customWidth="1"/>
    <col min="3586" max="3586" width="8.875" style="1847"/>
    <col min="3587" max="3589" width="12.875" style="1847" customWidth="1"/>
    <col min="3590" max="3590" width="47.5" style="1847" customWidth="1"/>
    <col min="3591" max="3591" width="13" style="1847" customWidth="1"/>
    <col min="3592" max="3593" width="8.875" style="1847"/>
    <col min="3594" max="3594" width="5.75" style="1847" customWidth="1"/>
    <col min="3595" max="3595" width="11.75" style="1847" customWidth="1"/>
    <col min="3596" max="3597" width="10.75" style="1847" customWidth="1"/>
    <col min="3598" max="3598" width="10" style="1847" customWidth="1"/>
    <col min="3599" max="3600" width="10.5" style="1847" customWidth="1"/>
    <col min="3601" max="3601" width="10" style="1847" customWidth="1"/>
    <col min="3602" max="3602" width="10.125" style="1847" customWidth="1"/>
    <col min="3603" max="3603" width="10" style="1847" customWidth="1"/>
    <col min="3604" max="3604" width="26.125" style="1847" customWidth="1"/>
    <col min="3605" max="3840" width="8.875" style="1847"/>
    <col min="3841" max="3841" width="9.5" style="1847" customWidth="1"/>
    <col min="3842" max="3842" width="8.875" style="1847"/>
    <col min="3843" max="3845" width="12.875" style="1847" customWidth="1"/>
    <col min="3846" max="3846" width="47.5" style="1847" customWidth="1"/>
    <col min="3847" max="3847" width="13" style="1847" customWidth="1"/>
    <col min="3848" max="3849" width="8.875" style="1847"/>
    <col min="3850" max="3850" width="5.75" style="1847" customWidth="1"/>
    <col min="3851" max="3851" width="11.75" style="1847" customWidth="1"/>
    <col min="3852" max="3853" width="10.75" style="1847" customWidth="1"/>
    <col min="3854" max="3854" width="10" style="1847" customWidth="1"/>
    <col min="3855" max="3856" width="10.5" style="1847" customWidth="1"/>
    <col min="3857" max="3857" width="10" style="1847" customWidth="1"/>
    <col min="3858" max="3858" width="10.125" style="1847" customWidth="1"/>
    <col min="3859" max="3859" width="10" style="1847" customWidth="1"/>
    <col min="3860" max="3860" width="26.125" style="1847" customWidth="1"/>
    <col min="3861" max="4096" width="8.875" style="1847"/>
    <col min="4097" max="4097" width="9.5" style="1847" customWidth="1"/>
    <col min="4098" max="4098" width="8.875" style="1847"/>
    <col min="4099" max="4101" width="12.875" style="1847" customWidth="1"/>
    <col min="4102" max="4102" width="47.5" style="1847" customWidth="1"/>
    <col min="4103" max="4103" width="13" style="1847" customWidth="1"/>
    <col min="4104" max="4105" width="8.875" style="1847"/>
    <col min="4106" max="4106" width="5.75" style="1847" customWidth="1"/>
    <col min="4107" max="4107" width="11.75" style="1847" customWidth="1"/>
    <col min="4108" max="4109" width="10.75" style="1847" customWidth="1"/>
    <col min="4110" max="4110" width="10" style="1847" customWidth="1"/>
    <col min="4111" max="4112" width="10.5" style="1847" customWidth="1"/>
    <col min="4113" max="4113" width="10" style="1847" customWidth="1"/>
    <col min="4114" max="4114" width="10.125" style="1847" customWidth="1"/>
    <col min="4115" max="4115" width="10" style="1847" customWidth="1"/>
    <col min="4116" max="4116" width="26.125" style="1847" customWidth="1"/>
    <col min="4117" max="4352" width="8.875" style="1847"/>
    <col min="4353" max="4353" width="9.5" style="1847" customWidth="1"/>
    <col min="4354" max="4354" width="8.875" style="1847"/>
    <col min="4355" max="4357" width="12.875" style="1847" customWidth="1"/>
    <col min="4358" max="4358" width="47.5" style="1847" customWidth="1"/>
    <col min="4359" max="4359" width="13" style="1847" customWidth="1"/>
    <col min="4360" max="4361" width="8.875" style="1847"/>
    <col min="4362" max="4362" width="5.75" style="1847" customWidth="1"/>
    <col min="4363" max="4363" width="11.75" style="1847" customWidth="1"/>
    <col min="4364" max="4365" width="10.75" style="1847" customWidth="1"/>
    <col min="4366" max="4366" width="10" style="1847" customWidth="1"/>
    <col min="4367" max="4368" width="10.5" style="1847" customWidth="1"/>
    <col min="4369" max="4369" width="10" style="1847" customWidth="1"/>
    <col min="4370" max="4370" width="10.125" style="1847" customWidth="1"/>
    <col min="4371" max="4371" width="10" style="1847" customWidth="1"/>
    <col min="4372" max="4372" width="26.125" style="1847" customWidth="1"/>
    <col min="4373" max="4608" width="8.875" style="1847"/>
    <col min="4609" max="4609" width="9.5" style="1847" customWidth="1"/>
    <col min="4610" max="4610" width="8.875" style="1847"/>
    <col min="4611" max="4613" width="12.875" style="1847" customWidth="1"/>
    <col min="4614" max="4614" width="47.5" style="1847" customWidth="1"/>
    <col min="4615" max="4615" width="13" style="1847" customWidth="1"/>
    <col min="4616" max="4617" width="8.875" style="1847"/>
    <col min="4618" max="4618" width="5.75" style="1847" customWidth="1"/>
    <col min="4619" max="4619" width="11.75" style="1847" customWidth="1"/>
    <col min="4620" max="4621" width="10.75" style="1847" customWidth="1"/>
    <col min="4622" max="4622" width="10" style="1847" customWidth="1"/>
    <col min="4623" max="4624" width="10.5" style="1847" customWidth="1"/>
    <col min="4625" max="4625" width="10" style="1847" customWidth="1"/>
    <col min="4626" max="4626" width="10.125" style="1847" customWidth="1"/>
    <col min="4627" max="4627" width="10" style="1847" customWidth="1"/>
    <col min="4628" max="4628" width="26.125" style="1847" customWidth="1"/>
    <col min="4629" max="4864" width="8.875" style="1847"/>
    <col min="4865" max="4865" width="9.5" style="1847" customWidth="1"/>
    <col min="4866" max="4866" width="8.875" style="1847"/>
    <col min="4867" max="4869" width="12.875" style="1847" customWidth="1"/>
    <col min="4870" max="4870" width="47.5" style="1847" customWidth="1"/>
    <col min="4871" max="4871" width="13" style="1847" customWidth="1"/>
    <col min="4872" max="4873" width="8.875" style="1847"/>
    <col min="4874" max="4874" width="5.75" style="1847" customWidth="1"/>
    <col min="4875" max="4875" width="11.75" style="1847" customWidth="1"/>
    <col min="4876" max="4877" width="10.75" style="1847" customWidth="1"/>
    <col min="4878" max="4878" width="10" style="1847" customWidth="1"/>
    <col min="4879" max="4880" width="10.5" style="1847" customWidth="1"/>
    <col min="4881" max="4881" width="10" style="1847" customWidth="1"/>
    <col min="4882" max="4882" width="10.125" style="1847" customWidth="1"/>
    <col min="4883" max="4883" width="10" style="1847" customWidth="1"/>
    <col min="4884" max="4884" width="26.125" style="1847" customWidth="1"/>
    <col min="4885" max="5120" width="8.875" style="1847"/>
    <col min="5121" max="5121" width="9.5" style="1847" customWidth="1"/>
    <col min="5122" max="5122" width="8.875" style="1847"/>
    <col min="5123" max="5125" width="12.875" style="1847" customWidth="1"/>
    <col min="5126" max="5126" width="47.5" style="1847" customWidth="1"/>
    <col min="5127" max="5127" width="13" style="1847" customWidth="1"/>
    <col min="5128" max="5129" width="8.875" style="1847"/>
    <col min="5130" max="5130" width="5.75" style="1847" customWidth="1"/>
    <col min="5131" max="5131" width="11.75" style="1847" customWidth="1"/>
    <col min="5132" max="5133" width="10.75" style="1847" customWidth="1"/>
    <col min="5134" max="5134" width="10" style="1847" customWidth="1"/>
    <col min="5135" max="5136" width="10.5" style="1847" customWidth="1"/>
    <col min="5137" max="5137" width="10" style="1847" customWidth="1"/>
    <col min="5138" max="5138" width="10.125" style="1847" customWidth="1"/>
    <col min="5139" max="5139" width="10" style="1847" customWidth="1"/>
    <col min="5140" max="5140" width="26.125" style="1847" customWidth="1"/>
    <col min="5141" max="5376" width="8.875" style="1847"/>
    <col min="5377" max="5377" width="9.5" style="1847" customWidth="1"/>
    <col min="5378" max="5378" width="8.875" style="1847"/>
    <col min="5379" max="5381" width="12.875" style="1847" customWidth="1"/>
    <col min="5382" max="5382" width="47.5" style="1847" customWidth="1"/>
    <col min="5383" max="5383" width="13" style="1847" customWidth="1"/>
    <col min="5384" max="5385" width="8.875" style="1847"/>
    <col min="5386" max="5386" width="5.75" style="1847" customWidth="1"/>
    <col min="5387" max="5387" width="11.75" style="1847" customWidth="1"/>
    <col min="5388" max="5389" width="10.75" style="1847" customWidth="1"/>
    <col min="5390" max="5390" width="10" style="1847" customWidth="1"/>
    <col min="5391" max="5392" width="10.5" style="1847" customWidth="1"/>
    <col min="5393" max="5393" width="10" style="1847" customWidth="1"/>
    <col min="5394" max="5394" width="10.125" style="1847" customWidth="1"/>
    <col min="5395" max="5395" width="10" style="1847" customWidth="1"/>
    <col min="5396" max="5396" width="26.125" style="1847" customWidth="1"/>
    <col min="5397" max="5632" width="8.875" style="1847"/>
    <col min="5633" max="5633" width="9.5" style="1847" customWidth="1"/>
    <col min="5634" max="5634" width="8.875" style="1847"/>
    <col min="5635" max="5637" width="12.875" style="1847" customWidth="1"/>
    <col min="5638" max="5638" width="47.5" style="1847" customWidth="1"/>
    <col min="5639" max="5639" width="13" style="1847" customWidth="1"/>
    <col min="5640" max="5641" width="8.875" style="1847"/>
    <col min="5642" max="5642" width="5.75" style="1847" customWidth="1"/>
    <col min="5643" max="5643" width="11.75" style="1847" customWidth="1"/>
    <col min="5644" max="5645" width="10.75" style="1847" customWidth="1"/>
    <col min="5646" max="5646" width="10" style="1847" customWidth="1"/>
    <col min="5647" max="5648" width="10.5" style="1847" customWidth="1"/>
    <col min="5649" max="5649" width="10" style="1847" customWidth="1"/>
    <col min="5650" max="5650" width="10.125" style="1847" customWidth="1"/>
    <col min="5651" max="5651" width="10" style="1847" customWidth="1"/>
    <col min="5652" max="5652" width="26.125" style="1847" customWidth="1"/>
    <col min="5653" max="5888" width="8.875" style="1847"/>
    <col min="5889" max="5889" width="9.5" style="1847" customWidth="1"/>
    <col min="5890" max="5890" width="8.875" style="1847"/>
    <col min="5891" max="5893" width="12.875" style="1847" customWidth="1"/>
    <col min="5894" max="5894" width="47.5" style="1847" customWidth="1"/>
    <col min="5895" max="5895" width="13" style="1847" customWidth="1"/>
    <col min="5896" max="5897" width="8.875" style="1847"/>
    <col min="5898" max="5898" width="5.75" style="1847" customWidth="1"/>
    <col min="5899" max="5899" width="11.75" style="1847" customWidth="1"/>
    <col min="5900" max="5901" width="10.75" style="1847" customWidth="1"/>
    <col min="5902" max="5902" width="10" style="1847" customWidth="1"/>
    <col min="5903" max="5904" width="10.5" style="1847" customWidth="1"/>
    <col min="5905" max="5905" width="10" style="1847" customWidth="1"/>
    <col min="5906" max="5906" width="10.125" style="1847" customWidth="1"/>
    <col min="5907" max="5907" width="10" style="1847" customWidth="1"/>
    <col min="5908" max="5908" width="26.125" style="1847" customWidth="1"/>
    <col min="5909" max="6144" width="8.875" style="1847"/>
    <col min="6145" max="6145" width="9.5" style="1847" customWidth="1"/>
    <col min="6146" max="6146" width="8.875" style="1847"/>
    <col min="6147" max="6149" width="12.875" style="1847" customWidth="1"/>
    <col min="6150" max="6150" width="47.5" style="1847" customWidth="1"/>
    <col min="6151" max="6151" width="13" style="1847" customWidth="1"/>
    <col min="6152" max="6153" width="8.875" style="1847"/>
    <col min="6154" max="6154" width="5.75" style="1847" customWidth="1"/>
    <col min="6155" max="6155" width="11.75" style="1847" customWidth="1"/>
    <col min="6156" max="6157" width="10.75" style="1847" customWidth="1"/>
    <col min="6158" max="6158" width="10" style="1847" customWidth="1"/>
    <col min="6159" max="6160" width="10.5" style="1847" customWidth="1"/>
    <col min="6161" max="6161" width="10" style="1847" customWidth="1"/>
    <col min="6162" max="6162" width="10.125" style="1847" customWidth="1"/>
    <col min="6163" max="6163" width="10" style="1847" customWidth="1"/>
    <col min="6164" max="6164" width="26.125" style="1847" customWidth="1"/>
    <col min="6165" max="6400" width="8.875" style="1847"/>
    <col min="6401" max="6401" width="9.5" style="1847" customWidth="1"/>
    <col min="6402" max="6402" width="8.875" style="1847"/>
    <col min="6403" max="6405" width="12.875" style="1847" customWidth="1"/>
    <col min="6406" max="6406" width="47.5" style="1847" customWidth="1"/>
    <col min="6407" max="6407" width="13" style="1847" customWidth="1"/>
    <col min="6408" max="6409" width="8.875" style="1847"/>
    <col min="6410" max="6410" width="5.75" style="1847" customWidth="1"/>
    <col min="6411" max="6411" width="11.75" style="1847" customWidth="1"/>
    <col min="6412" max="6413" width="10.75" style="1847" customWidth="1"/>
    <col min="6414" max="6414" width="10" style="1847" customWidth="1"/>
    <col min="6415" max="6416" width="10.5" style="1847" customWidth="1"/>
    <col min="6417" max="6417" width="10" style="1847" customWidth="1"/>
    <col min="6418" max="6418" width="10.125" style="1847" customWidth="1"/>
    <col min="6419" max="6419" width="10" style="1847" customWidth="1"/>
    <col min="6420" max="6420" width="26.125" style="1847" customWidth="1"/>
    <col min="6421" max="6656" width="8.875" style="1847"/>
    <col min="6657" max="6657" width="9.5" style="1847" customWidth="1"/>
    <col min="6658" max="6658" width="8.875" style="1847"/>
    <col min="6659" max="6661" width="12.875" style="1847" customWidth="1"/>
    <col min="6662" max="6662" width="47.5" style="1847" customWidth="1"/>
    <col min="6663" max="6663" width="13" style="1847" customWidth="1"/>
    <col min="6664" max="6665" width="8.875" style="1847"/>
    <col min="6666" max="6666" width="5.75" style="1847" customWidth="1"/>
    <col min="6667" max="6667" width="11.75" style="1847" customWidth="1"/>
    <col min="6668" max="6669" width="10.75" style="1847" customWidth="1"/>
    <col min="6670" max="6670" width="10" style="1847" customWidth="1"/>
    <col min="6671" max="6672" width="10.5" style="1847" customWidth="1"/>
    <col min="6673" max="6673" width="10" style="1847" customWidth="1"/>
    <col min="6674" max="6674" width="10.125" style="1847" customWidth="1"/>
    <col min="6675" max="6675" width="10" style="1847" customWidth="1"/>
    <col min="6676" max="6676" width="26.125" style="1847" customWidth="1"/>
    <col min="6677" max="6912" width="8.875" style="1847"/>
    <col min="6913" max="6913" width="9.5" style="1847" customWidth="1"/>
    <col min="6914" max="6914" width="8.875" style="1847"/>
    <col min="6915" max="6917" width="12.875" style="1847" customWidth="1"/>
    <col min="6918" max="6918" width="47.5" style="1847" customWidth="1"/>
    <col min="6919" max="6919" width="13" style="1847" customWidth="1"/>
    <col min="6920" max="6921" width="8.875" style="1847"/>
    <col min="6922" max="6922" width="5.75" style="1847" customWidth="1"/>
    <col min="6923" max="6923" width="11.75" style="1847" customWidth="1"/>
    <col min="6924" max="6925" width="10.75" style="1847" customWidth="1"/>
    <col min="6926" max="6926" width="10" style="1847" customWidth="1"/>
    <col min="6927" max="6928" width="10.5" style="1847" customWidth="1"/>
    <col min="6929" max="6929" width="10" style="1847" customWidth="1"/>
    <col min="6930" max="6930" width="10.125" style="1847" customWidth="1"/>
    <col min="6931" max="6931" width="10" style="1847" customWidth="1"/>
    <col min="6932" max="6932" width="26.125" style="1847" customWidth="1"/>
    <col min="6933" max="7168" width="8.875" style="1847"/>
    <col min="7169" max="7169" width="9.5" style="1847" customWidth="1"/>
    <col min="7170" max="7170" width="8.875" style="1847"/>
    <col min="7171" max="7173" width="12.875" style="1847" customWidth="1"/>
    <col min="7174" max="7174" width="47.5" style="1847" customWidth="1"/>
    <col min="7175" max="7175" width="13" style="1847" customWidth="1"/>
    <col min="7176" max="7177" width="8.875" style="1847"/>
    <col min="7178" max="7178" width="5.75" style="1847" customWidth="1"/>
    <col min="7179" max="7179" width="11.75" style="1847" customWidth="1"/>
    <col min="7180" max="7181" width="10.75" style="1847" customWidth="1"/>
    <col min="7182" max="7182" width="10" style="1847" customWidth="1"/>
    <col min="7183" max="7184" width="10.5" style="1847" customWidth="1"/>
    <col min="7185" max="7185" width="10" style="1847" customWidth="1"/>
    <col min="7186" max="7186" width="10.125" style="1847" customWidth="1"/>
    <col min="7187" max="7187" width="10" style="1847" customWidth="1"/>
    <col min="7188" max="7188" width="26.125" style="1847" customWidth="1"/>
    <col min="7189" max="7424" width="8.875" style="1847"/>
    <col min="7425" max="7425" width="9.5" style="1847" customWidth="1"/>
    <col min="7426" max="7426" width="8.875" style="1847"/>
    <col min="7427" max="7429" width="12.875" style="1847" customWidth="1"/>
    <col min="7430" max="7430" width="47.5" style="1847" customWidth="1"/>
    <col min="7431" max="7431" width="13" style="1847" customWidth="1"/>
    <col min="7432" max="7433" width="8.875" style="1847"/>
    <col min="7434" max="7434" width="5.75" style="1847" customWidth="1"/>
    <col min="7435" max="7435" width="11.75" style="1847" customWidth="1"/>
    <col min="7436" max="7437" width="10.75" style="1847" customWidth="1"/>
    <col min="7438" max="7438" width="10" style="1847" customWidth="1"/>
    <col min="7439" max="7440" width="10.5" style="1847" customWidth="1"/>
    <col min="7441" max="7441" width="10" style="1847" customWidth="1"/>
    <col min="7442" max="7442" width="10.125" style="1847" customWidth="1"/>
    <col min="7443" max="7443" width="10" style="1847" customWidth="1"/>
    <col min="7444" max="7444" width="26.125" style="1847" customWidth="1"/>
    <col min="7445" max="7680" width="8.875" style="1847"/>
    <col min="7681" max="7681" width="9.5" style="1847" customWidth="1"/>
    <col min="7682" max="7682" width="8.875" style="1847"/>
    <col min="7683" max="7685" width="12.875" style="1847" customWidth="1"/>
    <col min="7686" max="7686" width="47.5" style="1847" customWidth="1"/>
    <col min="7687" max="7687" width="13" style="1847" customWidth="1"/>
    <col min="7688" max="7689" width="8.875" style="1847"/>
    <col min="7690" max="7690" width="5.75" style="1847" customWidth="1"/>
    <col min="7691" max="7691" width="11.75" style="1847" customWidth="1"/>
    <col min="7692" max="7693" width="10.75" style="1847" customWidth="1"/>
    <col min="7694" max="7694" width="10" style="1847" customWidth="1"/>
    <col min="7695" max="7696" width="10.5" style="1847" customWidth="1"/>
    <col min="7697" max="7697" width="10" style="1847" customWidth="1"/>
    <col min="7698" max="7698" width="10.125" style="1847" customWidth="1"/>
    <col min="7699" max="7699" width="10" style="1847" customWidth="1"/>
    <col min="7700" max="7700" width="26.125" style="1847" customWidth="1"/>
    <col min="7701" max="7936" width="8.875" style="1847"/>
    <col min="7937" max="7937" width="9.5" style="1847" customWidth="1"/>
    <col min="7938" max="7938" width="8.875" style="1847"/>
    <col min="7939" max="7941" width="12.875" style="1847" customWidth="1"/>
    <col min="7942" max="7942" width="47.5" style="1847" customWidth="1"/>
    <col min="7943" max="7943" width="13" style="1847" customWidth="1"/>
    <col min="7944" max="7945" width="8.875" style="1847"/>
    <col min="7946" max="7946" width="5.75" style="1847" customWidth="1"/>
    <col min="7947" max="7947" width="11.75" style="1847" customWidth="1"/>
    <col min="7948" max="7949" width="10.75" style="1847" customWidth="1"/>
    <col min="7950" max="7950" width="10" style="1847" customWidth="1"/>
    <col min="7951" max="7952" width="10.5" style="1847" customWidth="1"/>
    <col min="7953" max="7953" width="10" style="1847" customWidth="1"/>
    <col min="7954" max="7954" width="10.125" style="1847" customWidth="1"/>
    <col min="7955" max="7955" width="10" style="1847" customWidth="1"/>
    <col min="7956" max="7956" width="26.125" style="1847" customWidth="1"/>
    <col min="7957" max="8192" width="8.875" style="1847"/>
    <col min="8193" max="8193" width="9.5" style="1847" customWidth="1"/>
    <col min="8194" max="8194" width="8.875" style="1847"/>
    <col min="8195" max="8197" width="12.875" style="1847" customWidth="1"/>
    <col min="8198" max="8198" width="47.5" style="1847" customWidth="1"/>
    <col min="8199" max="8199" width="13" style="1847" customWidth="1"/>
    <col min="8200" max="8201" width="8.875" style="1847"/>
    <col min="8202" max="8202" width="5.75" style="1847" customWidth="1"/>
    <col min="8203" max="8203" width="11.75" style="1847" customWidth="1"/>
    <col min="8204" max="8205" width="10.75" style="1847" customWidth="1"/>
    <col min="8206" max="8206" width="10" style="1847" customWidth="1"/>
    <col min="8207" max="8208" width="10.5" style="1847" customWidth="1"/>
    <col min="8209" max="8209" width="10" style="1847" customWidth="1"/>
    <col min="8210" max="8210" width="10.125" style="1847" customWidth="1"/>
    <col min="8211" max="8211" width="10" style="1847" customWidth="1"/>
    <col min="8212" max="8212" width="26.125" style="1847" customWidth="1"/>
    <col min="8213" max="8448" width="8.875" style="1847"/>
    <col min="8449" max="8449" width="9.5" style="1847" customWidth="1"/>
    <col min="8450" max="8450" width="8.875" style="1847"/>
    <col min="8451" max="8453" width="12.875" style="1847" customWidth="1"/>
    <col min="8454" max="8454" width="47.5" style="1847" customWidth="1"/>
    <col min="8455" max="8455" width="13" style="1847" customWidth="1"/>
    <col min="8456" max="8457" width="8.875" style="1847"/>
    <col min="8458" max="8458" width="5.75" style="1847" customWidth="1"/>
    <col min="8459" max="8459" width="11.75" style="1847" customWidth="1"/>
    <col min="8460" max="8461" width="10.75" style="1847" customWidth="1"/>
    <col min="8462" max="8462" width="10" style="1847" customWidth="1"/>
    <col min="8463" max="8464" width="10.5" style="1847" customWidth="1"/>
    <col min="8465" max="8465" width="10" style="1847" customWidth="1"/>
    <col min="8466" max="8466" width="10.125" style="1847" customWidth="1"/>
    <col min="8467" max="8467" width="10" style="1847" customWidth="1"/>
    <col min="8468" max="8468" width="26.125" style="1847" customWidth="1"/>
    <col min="8469" max="8704" width="8.875" style="1847"/>
    <col min="8705" max="8705" width="9.5" style="1847" customWidth="1"/>
    <col min="8706" max="8706" width="8.875" style="1847"/>
    <col min="8707" max="8709" width="12.875" style="1847" customWidth="1"/>
    <col min="8710" max="8710" width="47.5" style="1847" customWidth="1"/>
    <col min="8711" max="8711" width="13" style="1847" customWidth="1"/>
    <col min="8712" max="8713" width="8.875" style="1847"/>
    <col min="8714" max="8714" width="5.75" style="1847" customWidth="1"/>
    <col min="8715" max="8715" width="11.75" style="1847" customWidth="1"/>
    <col min="8716" max="8717" width="10.75" style="1847" customWidth="1"/>
    <col min="8718" max="8718" width="10" style="1847" customWidth="1"/>
    <col min="8719" max="8720" width="10.5" style="1847" customWidth="1"/>
    <col min="8721" max="8721" width="10" style="1847" customWidth="1"/>
    <col min="8722" max="8722" width="10.125" style="1847" customWidth="1"/>
    <col min="8723" max="8723" width="10" style="1847" customWidth="1"/>
    <col min="8724" max="8724" width="26.125" style="1847" customWidth="1"/>
    <col min="8725" max="8960" width="8.875" style="1847"/>
    <col min="8961" max="8961" width="9.5" style="1847" customWidth="1"/>
    <col min="8962" max="8962" width="8.875" style="1847"/>
    <col min="8963" max="8965" width="12.875" style="1847" customWidth="1"/>
    <col min="8966" max="8966" width="47.5" style="1847" customWidth="1"/>
    <col min="8967" max="8967" width="13" style="1847" customWidth="1"/>
    <col min="8968" max="8969" width="8.875" style="1847"/>
    <col min="8970" max="8970" width="5.75" style="1847" customWidth="1"/>
    <col min="8971" max="8971" width="11.75" style="1847" customWidth="1"/>
    <col min="8972" max="8973" width="10.75" style="1847" customWidth="1"/>
    <col min="8974" max="8974" width="10" style="1847" customWidth="1"/>
    <col min="8975" max="8976" width="10.5" style="1847" customWidth="1"/>
    <col min="8977" max="8977" width="10" style="1847" customWidth="1"/>
    <col min="8978" max="8978" width="10.125" style="1847" customWidth="1"/>
    <col min="8979" max="8979" width="10" style="1847" customWidth="1"/>
    <col min="8980" max="8980" width="26.125" style="1847" customWidth="1"/>
    <col min="8981" max="9216" width="8.875" style="1847"/>
    <col min="9217" max="9217" width="9.5" style="1847" customWidth="1"/>
    <col min="9218" max="9218" width="8.875" style="1847"/>
    <col min="9219" max="9221" width="12.875" style="1847" customWidth="1"/>
    <col min="9222" max="9222" width="47.5" style="1847" customWidth="1"/>
    <col min="9223" max="9223" width="13" style="1847" customWidth="1"/>
    <col min="9224" max="9225" width="8.875" style="1847"/>
    <col min="9226" max="9226" width="5.75" style="1847" customWidth="1"/>
    <col min="9227" max="9227" width="11.75" style="1847" customWidth="1"/>
    <col min="9228" max="9229" width="10.75" style="1847" customWidth="1"/>
    <col min="9230" max="9230" width="10" style="1847" customWidth="1"/>
    <col min="9231" max="9232" width="10.5" style="1847" customWidth="1"/>
    <col min="9233" max="9233" width="10" style="1847" customWidth="1"/>
    <col min="9234" max="9234" width="10.125" style="1847" customWidth="1"/>
    <col min="9235" max="9235" width="10" style="1847" customWidth="1"/>
    <col min="9236" max="9236" width="26.125" style="1847" customWidth="1"/>
    <col min="9237" max="9472" width="8.875" style="1847"/>
    <col min="9473" max="9473" width="9.5" style="1847" customWidth="1"/>
    <col min="9474" max="9474" width="8.875" style="1847"/>
    <col min="9475" max="9477" width="12.875" style="1847" customWidth="1"/>
    <col min="9478" max="9478" width="47.5" style="1847" customWidth="1"/>
    <col min="9479" max="9479" width="13" style="1847" customWidth="1"/>
    <col min="9480" max="9481" width="8.875" style="1847"/>
    <col min="9482" max="9482" width="5.75" style="1847" customWidth="1"/>
    <col min="9483" max="9483" width="11.75" style="1847" customWidth="1"/>
    <col min="9484" max="9485" width="10.75" style="1847" customWidth="1"/>
    <col min="9486" max="9486" width="10" style="1847" customWidth="1"/>
    <col min="9487" max="9488" width="10.5" style="1847" customWidth="1"/>
    <col min="9489" max="9489" width="10" style="1847" customWidth="1"/>
    <col min="9490" max="9490" width="10.125" style="1847" customWidth="1"/>
    <col min="9491" max="9491" width="10" style="1847" customWidth="1"/>
    <col min="9492" max="9492" width="26.125" style="1847" customWidth="1"/>
    <col min="9493" max="9728" width="8.875" style="1847"/>
    <col min="9729" max="9729" width="9.5" style="1847" customWidth="1"/>
    <col min="9730" max="9730" width="8.875" style="1847"/>
    <col min="9731" max="9733" width="12.875" style="1847" customWidth="1"/>
    <col min="9734" max="9734" width="47.5" style="1847" customWidth="1"/>
    <col min="9735" max="9735" width="13" style="1847" customWidth="1"/>
    <col min="9736" max="9737" width="8.875" style="1847"/>
    <col min="9738" max="9738" width="5.75" style="1847" customWidth="1"/>
    <col min="9739" max="9739" width="11.75" style="1847" customWidth="1"/>
    <col min="9740" max="9741" width="10.75" style="1847" customWidth="1"/>
    <col min="9742" max="9742" width="10" style="1847" customWidth="1"/>
    <col min="9743" max="9744" width="10.5" style="1847" customWidth="1"/>
    <col min="9745" max="9745" width="10" style="1847" customWidth="1"/>
    <col min="9746" max="9746" width="10.125" style="1847" customWidth="1"/>
    <col min="9747" max="9747" width="10" style="1847" customWidth="1"/>
    <col min="9748" max="9748" width="26.125" style="1847" customWidth="1"/>
    <col min="9749" max="9984" width="8.875" style="1847"/>
    <col min="9985" max="9985" width="9.5" style="1847" customWidth="1"/>
    <col min="9986" max="9986" width="8.875" style="1847"/>
    <col min="9987" max="9989" width="12.875" style="1847" customWidth="1"/>
    <col min="9990" max="9990" width="47.5" style="1847" customWidth="1"/>
    <col min="9991" max="9991" width="13" style="1847" customWidth="1"/>
    <col min="9992" max="9993" width="8.875" style="1847"/>
    <col min="9994" max="9994" width="5.75" style="1847" customWidth="1"/>
    <col min="9995" max="9995" width="11.75" style="1847" customWidth="1"/>
    <col min="9996" max="9997" width="10.75" style="1847" customWidth="1"/>
    <col min="9998" max="9998" width="10" style="1847" customWidth="1"/>
    <col min="9999" max="10000" width="10.5" style="1847" customWidth="1"/>
    <col min="10001" max="10001" width="10" style="1847" customWidth="1"/>
    <col min="10002" max="10002" width="10.125" style="1847" customWidth="1"/>
    <col min="10003" max="10003" width="10" style="1847" customWidth="1"/>
    <col min="10004" max="10004" width="26.125" style="1847" customWidth="1"/>
    <col min="10005" max="10240" width="8.875" style="1847"/>
    <col min="10241" max="10241" width="9.5" style="1847" customWidth="1"/>
    <col min="10242" max="10242" width="8.875" style="1847"/>
    <col min="10243" max="10245" width="12.875" style="1847" customWidth="1"/>
    <col min="10246" max="10246" width="47.5" style="1847" customWidth="1"/>
    <col min="10247" max="10247" width="13" style="1847" customWidth="1"/>
    <col min="10248" max="10249" width="8.875" style="1847"/>
    <col min="10250" max="10250" width="5.75" style="1847" customWidth="1"/>
    <col min="10251" max="10251" width="11.75" style="1847" customWidth="1"/>
    <col min="10252" max="10253" width="10.75" style="1847" customWidth="1"/>
    <col min="10254" max="10254" width="10" style="1847" customWidth="1"/>
    <col min="10255" max="10256" width="10.5" style="1847" customWidth="1"/>
    <col min="10257" max="10257" width="10" style="1847" customWidth="1"/>
    <col min="10258" max="10258" width="10.125" style="1847" customWidth="1"/>
    <col min="10259" max="10259" width="10" style="1847" customWidth="1"/>
    <col min="10260" max="10260" width="26.125" style="1847" customWidth="1"/>
    <col min="10261" max="10496" width="8.875" style="1847"/>
    <col min="10497" max="10497" width="9.5" style="1847" customWidth="1"/>
    <col min="10498" max="10498" width="8.875" style="1847"/>
    <col min="10499" max="10501" width="12.875" style="1847" customWidth="1"/>
    <col min="10502" max="10502" width="47.5" style="1847" customWidth="1"/>
    <col min="10503" max="10503" width="13" style="1847" customWidth="1"/>
    <col min="10504" max="10505" width="8.875" style="1847"/>
    <col min="10506" max="10506" width="5.75" style="1847" customWidth="1"/>
    <col min="10507" max="10507" width="11.75" style="1847" customWidth="1"/>
    <col min="10508" max="10509" width="10.75" style="1847" customWidth="1"/>
    <col min="10510" max="10510" width="10" style="1847" customWidth="1"/>
    <col min="10511" max="10512" width="10.5" style="1847" customWidth="1"/>
    <col min="10513" max="10513" width="10" style="1847" customWidth="1"/>
    <col min="10514" max="10514" width="10.125" style="1847" customWidth="1"/>
    <col min="10515" max="10515" width="10" style="1847" customWidth="1"/>
    <col min="10516" max="10516" width="26.125" style="1847" customWidth="1"/>
    <col min="10517" max="10752" width="8.875" style="1847"/>
    <col min="10753" max="10753" width="9.5" style="1847" customWidth="1"/>
    <col min="10754" max="10754" width="8.875" style="1847"/>
    <col min="10755" max="10757" width="12.875" style="1847" customWidth="1"/>
    <col min="10758" max="10758" width="47.5" style="1847" customWidth="1"/>
    <col min="10759" max="10759" width="13" style="1847" customWidth="1"/>
    <col min="10760" max="10761" width="8.875" style="1847"/>
    <col min="10762" max="10762" width="5.75" style="1847" customWidth="1"/>
    <col min="10763" max="10763" width="11.75" style="1847" customWidth="1"/>
    <col min="10764" max="10765" width="10.75" style="1847" customWidth="1"/>
    <col min="10766" max="10766" width="10" style="1847" customWidth="1"/>
    <col min="10767" max="10768" width="10.5" style="1847" customWidth="1"/>
    <col min="10769" max="10769" width="10" style="1847" customWidth="1"/>
    <col min="10770" max="10770" width="10.125" style="1847" customWidth="1"/>
    <col min="10771" max="10771" width="10" style="1847" customWidth="1"/>
    <col min="10772" max="10772" width="26.125" style="1847" customWidth="1"/>
    <col min="10773" max="11008" width="8.875" style="1847"/>
    <col min="11009" max="11009" width="9.5" style="1847" customWidth="1"/>
    <col min="11010" max="11010" width="8.875" style="1847"/>
    <col min="11011" max="11013" width="12.875" style="1847" customWidth="1"/>
    <col min="11014" max="11014" width="47.5" style="1847" customWidth="1"/>
    <col min="11015" max="11015" width="13" style="1847" customWidth="1"/>
    <col min="11016" max="11017" width="8.875" style="1847"/>
    <col min="11018" max="11018" width="5.75" style="1847" customWidth="1"/>
    <col min="11019" max="11019" width="11.75" style="1847" customWidth="1"/>
    <col min="11020" max="11021" width="10.75" style="1847" customWidth="1"/>
    <col min="11022" max="11022" width="10" style="1847" customWidth="1"/>
    <col min="11023" max="11024" width="10.5" style="1847" customWidth="1"/>
    <col min="11025" max="11025" width="10" style="1847" customWidth="1"/>
    <col min="11026" max="11026" width="10.125" style="1847" customWidth="1"/>
    <col min="11027" max="11027" width="10" style="1847" customWidth="1"/>
    <col min="11028" max="11028" width="26.125" style="1847" customWidth="1"/>
    <col min="11029" max="11264" width="8.875" style="1847"/>
    <col min="11265" max="11265" width="9.5" style="1847" customWidth="1"/>
    <col min="11266" max="11266" width="8.875" style="1847"/>
    <col min="11267" max="11269" width="12.875" style="1847" customWidth="1"/>
    <col min="11270" max="11270" width="47.5" style="1847" customWidth="1"/>
    <col min="11271" max="11271" width="13" style="1847" customWidth="1"/>
    <col min="11272" max="11273" width="8.875" style="1847"/>
    <col min="11274" max="11274" width="5.75" style="1847" customWidth="1"/>
    <col min="11275" max="11275" width="11.75" style="1847" customWidth="1"/>
    <col min="11276" max="11277" width="10.75" style="1847" customWidth="1"/>
    <col min="11278" max="11278" width="10" style="1847" customWidth="1"/>
    <col min="11279" max="11280" width="10.5" style="1847" customWidth="1"/>
    <col min="11281" max="11281" width="10" style="1847" customWidth="1"/>
    <col min="11282" max="11282" width="10.125" style="1847" customWidth="1"/>
    <col min="11283" max="11283" width="10" style="1847" customWidth="1"/>
    <col min="11284" max="11284" width="26.125" style="1847" customWidth="1"/>
    <col min="11285" max="11520" width="8.875" style="1847"/>
    <col min="11521" max="11521" width="9.5" style="1847" customWidth="1"/>
    <col min="11522" max="11522" width="8.875" style="1847"/>
    <col min="11523" max="11525" width="12.875" style="1847" customWidth="1"/>
    <col min="11526" max="11526" width="47.5" style="1847" customWidth="1"/>
    <col min="11527" max="11527" width="13" style="1847" customWidth="1"/>
    <col min="11528" max="11529" width="8.875" style="1847"/>
    <col min="11530" max="11530" width="5.75" style="1847" customWidth="1"/>
    <col min="11531" max="11531" width="11.75" style="1847" customWidth="1"/>
    <col min="11532" max="11533" width="10.75" style="1847" customWidth="1"/>
    <col min="11534" max="11534" width="10" style="1847" customWidth="1"/>
    <col min="11535" max="11536" width="10.5" style="1847" customWidth="1"/>
    <col min="11537" max="11537" width="10" style="1847" customWidth="1"/>
    <col min="11538" max="11538" width="10.125" style="1847" customWidth="1"/>
    <col min="11539" max="11539" width="10" style="1847" customWidth="1"/>
    <col min="11540" max="11540" width="26.125" style="1847" customWidth="1"/>
    <col min="11541" max="11776" width="8.875" style="1847"/>
    <col min="11777" max="11777" width="9.5" style="1847" customWidth="1"/>
    <col min="11778" max="11778" width="8.875" style="1847"/>
    <col min="11779" max="11781" width="12.875" style="1847" customWidth="1"/>
    <col min="11782" max="11782" width="47.5" style="1847" customWidth="1"/>
    <col min="11783" max="11783" width="13" style="1847" customWidth="1"/>
    <col min="11784" max="11785" width="8.875" style="1847"/>
    <col min="11786" max="11786" width="5.75" style="1847" customWidth="1"/>
    <col min="11787" max="11787" width="11.75" style="1847" customWidth="1"/>
    <col min="11788" max="11789" width="10.75" style="1847" customWidth="1"/>
    <col min="11790" max="11790" width="10" style="1847" customWidth="1"/>
    <col min="11791" max="11792" width="10.5" style="1847" customWidth="1"/>
    <col min="11793" max="11793" width="10" style="1847" customWidth="1"/>
    <col min="11794" max="11794" width="10.125" style="1847" customWidth="1"/>
    <col min="11795" max="11795" width="10" style="1847" customWidth="1"/>
    <col min="11796" max="11796" width="26.125" style="1847" customWidth="1"/>
    <col min="11797" max="12032" width="8.875" style="1847"/>
    <col min="12033" max="12033" width="9.5" style="1847" customWidth="1"/>
    <col min="12034" max="12034" width="8.875" style="1847"/>
    <col min="12035" max="12037" width="12.875" style="1847" customWidth="1"/>
    <col min="12038" max="12038" width="47.5" style="1847" customWidth="1"/>
    <col min="12039" max="12039" width="13" style="1847" customWidth="1"/>
    <col min="12040" max="12041" width="8.875" style="1847"/>
    <col min="12042" max="12042" width="5.75" style="1847" customWidth="1"/>
    <col min="12043" max="12043" width="11.75" style="1847" customWidth="1"/>
    <col min="12044" max="12045" width="10.75" style="1847" customWidth="1"/>
    <col min="12046" max="12046" width="10" style="1847" customWidth="1"/>
    <col min="12047" max="12048" width="10.5" style="1847" customWidth="1"/>
    <col min="12049" max="12049" width="10" style="1847" customWidth="1"/>
    <col min="12050" max="12050" width="10.125" style="1847" customWidth="1"/>
    <col min="12051" max="12051" width="10" style="1847" customWidth="1"/>
    <col min="12052" max="12052" width="26.125" style="1847" customWidth="1"/>
    <col min="12053" max="12288" width="8.875" style="1847"/>
    <col min="12289" max="12289" width="9.5" style="1847" customWidth="1"/>
    <col min="12290" max="12290" width="8.875" style="1847"/>
    <col min="12291" max="12293" width="12.875" style="1847" customWidth="1"/>
    <col min="12294" max="12294" width="47.5" style="1847" customWidth="1"/>
    <col min="12295" max="12295" width="13" style="1847" customWidth="1"/>
    <col min="12296" max="12297" width="8.875" style="1847"/>
    <col min="12298" max="12298" width="5.75" style="1847" customWidth="1"/>
    <col min="12299" max="12299" width="11.75" style="1847" customWidth="1"/>
    <col min="12300" max="12301" width="10.75" style="1847" customWidth="1"/>
    <col min="12302" max="12302" width="10" style="1847" customWidth="1"/>
    <col min="12303" max="12304" width="10.5" style="1847" customWidth="1"/>
    <col min="12305" max="12305" width="10" style="1847" customWidth="1"/>
    <col min="12306" max="12306" width="10.125" style="1847" customWidth="1"/>
    <col min="12307" max="12307" width="10" style="1847" customWidth="1"/>
    <col min="12308" max="12308" width="26.125" style="1847" customWidth="1"/>
    <col min="12309" max="12544" width="8.875" style="1847"/>
    <col min="12545" max="12545" width="9.5" style="1847" customWidth="1"/>
    <col min="12546" max="12546" width="8.875" style="1847"/>
    <col min="12547" max="12549" width="12.875" style="1847" customWidth="1"/>
    <col min="12550" max="12550" width="47.5" style="1847" customWidth="1"/>
    <col min="12551" max="12551" width="13" style="1847" customWidth="1"/>
    <col min="12552" max="12553" width="8.875" style="1847"/>
    <col min="12554" max="12554" width="5.75" style="1847" customWidth="1"/>
    <col min="12555" max="12555" width="11.75" style="1847" customWidth="1"/>
    <col min="12556" max="12557" width="10.75" style="1847" customWidth="1"/>
    <col min="12558" max="12558" width="10" style="1847" customWidth="1"/>
    <col min="12559" max="12560" width="10.5" style="1847" customWidth="1"/>
    <col min="12561" max="12561" width="10" style="1847" customWidth="1"/>
    <col min="12562" max="12562" width="10.125" style="1847" customWidth="1"/>
    <col min="12563" max="12563" width="10" style="1847" customWidth="1"/>
    <col min="12564" max="12564" width="26.125" style="1847" customWidth="1"/>
    <col min="12565" max="12800" width="8.875" style="1847"/>
    <col min="12801" max="12801" width="9.5" style="1847" customWidth="1"/>
    <col min="12802" max="12802" width="8.875" style="1847"/>
    <col min="12803" max="12805" width="12.875" style="1847" customWidth="1"/>
    <col min="12806" max="12806" width="47.5" style="1847" customWidth="1"/>
    <col min="12807" max="12807" width="13" style="1847" customWidth="1"/>
    <col min="12808" max="12809" width="8.875" style="1847"/>
    <col min="12810" max="12810" width="5.75" style="1847" customWidth="1"/>
    <col min="12811" max="12811" width="11.75" style="1847" customWidth="1"/>
    <col min="12812" max="12813" width="10.75" style="1847" customWidth="1"/>
    <col min="12814" max="12814" width="10" style="1847" customWidth="1"/>
    <col min="12815" max="12816" width="10.5" style="1847" customWidth="1"/>
    <col min="12817" max="12817" width="10" style="1847" customWidth="1"/>
    <col min="12818" max="12818" width="10.125" style="1847" customWidth="1"/>
    <col min="12819" max="12819" width="10" style="1847" customWidth="1"/>
    <col min="12820" max="12820" width="26.125" style="1847" customWidth="1"/>
    <col min="12821" max="13056" width="8.875" style="1847"/>
    <col min="13057" max="13057" width="9.5" style="1847" customWidth="1"/>
    <col min="13058" max="13058" width="8.875" style="1847"/>
    <col min="13059" max="13061" width="12.875" style="1847" customWidth="1"/>
    <col min="13062" max="13062" width="47.5" style="1847" customWidth="1"/>
    <col min="13063" max="13063" width="13" style="1847" customWidth="1"/>
    <col min="13064" max="13065" width="8.875" style="1847"/>
    <col min="13066" max="13066" width="5.75" style="1847" customWidth="1"/>
    <col min="13067" max="13067" width="11.75" style="1847" customWidth="1"/>
    <col min="13068" max="13069" width="10.75" style="1847" customWidth="1"/>
    <col min="13070" max="13070" width="10" style="1847" customWidth="1"/>
    <col min="13071" max="13072" width="10.5" style="1847" customWidth="1"/>
    <col min="13073" max="13073" width="10" style="1847" customWidth="1"/>
    <col min="13074" max="13074" width="10.125" style="1847" customWidth="1"/>
    <col min="13075" max="13075" width="10" style="1847" customWidth="1"/>
    <col min="13076" max="13076" width="26.125" style="1847" customWidth="1"/>
    <col min="13077" max="13312" width="8.875" style="1847"/>
    <col min="13313" max="13313" width="9.5" style="1847" customWidth="1"/>
    <col min="13314" max="13314" width="8.875" style="1847"/>
    <col min="13315" max="13317" width="12.875" style="1847" customWidth="1"/>
    <col min="13318" max="13318" width="47.5" style="1847" customWidth="1"/>
    <col min="13319" max="13319" width="13" style="1847" customWidth="1"/>
    <col min="13320" max="13321" width="8.875" style="1847"/>
    <col min="13322" max="13322" width="5.75" style="1847" customWidth="1"/>
    <col min="13323" max="13323" width="11.75" style="1847" customWidth="1"/>
    <col min="13324" max="13325" width="10.75" style="1847" customWidth="1"/>
    <col min="13326" max="13326" width="10" style="1847" customWidth="1"/>
    <col min="13327" max="13328" width="10.5" style="1847" customWidth="1"/>
    <col min="13329" max="13329" width="10" style="1847" customWidth="1"/>
    <col min="13330" max="13330" width="10.125" style="1847" customWidth="1"/>
    <col min="13331" max="13331" width="10" style="1847" customWidth="1"/>
    <col min="13332" max="13332" width="26.125" style="1847" customWidth="1"/>
    <col min="13333" max="13568" width="8.875" style="1847"/>
    <col min="13569" max="13569" width="9.5" style="1847" customWidth="1"/>
    <col min="13570" max="13570" width="8.875" style="1847"/>
    <col min="13571" max="13573" width="12.875" style="1847" customWidth="1"/>
    <col min="13574" max="13574" width="47.5" style="1847" customWidth="1"/>
    <col min="13575" max="13575" width="13" style="1847" customWidth="1"/>
    <col min="13576" max="13577" width="8.875" style="1847"/>
    <col min="13578" max="13578" width="5.75" style="1847" customWidth="1"/>
    <col min="13579" max="13579" width="11.75" style="1847" customWidth="1"/>
    <col min="13580" max="13581" width="10.75" style="1847" customWidth="1"/>
    <col min="13582" max="13582" width="10" style="1847" customWidth="1"/>
    <col min="13583" max="13584" width="10.5" style="1847" customWidth="1"/>
    <col min="13585" max="13585" width="10" style="1847" customWidth="1"/>
    <col min="13586" max="13586" width="10.125" style="1847" customWidth="1"/>
    <col min="13587" max="13587" width="10" style="1847" customWidth="1"/>
    <col min="13588" max="13588" width="26.125" style="1847" customWidth="1"/>
    <col min="13589" max="13824" width="8.875" style="1847"/>
    <col min="13825" max="13825" width="9.5" style="1847" customWidth="1"/>
    <col min="13826" max="13826" width="8.875" style="1847"/>
    <col min="13827" max="13829" width="12.875" style="1847" customWidth="1"/>
    <col min="13830" max="13830" width="47.5" style="1847" customWidth="1"/>
    <col min="13831" max="13831" width="13" style="1847" customWidth="1"/>
    <col min="13832" max="13833" width="8.875" style="1847"/>
    <col min="13834" max="13834" width="5.75" style="1847" customWidth="1"/>
    <col min="13835" max="13835" width="11.75" style="1847" customWidth="1"/>
    <col min="13836" max="13837" width="10.75" style="1847" customWidth="1"/>
    <col min="13838" max="13838" width="10" style="1847" customWidth="1"/>
    <col min="13839" max="13840" width="10.5" style="1847" customWidth="1"/>
    <col min="13841" max="13841" width="10" style="1847" customWidth="1"/>
    <col min="13842" max="13842" width="10.125" style="1847" customWidth="1"/>
    <col min="13843" max="13843" width="10" style="1847" customWidth="1"/>
    <col min="13844" max="13844" width="26.125" style="1847" customWidth="1"/>
    <col min="13845" max="14080" width="8.875" style="1847"/>
    <col min="14081" max="14081" width="9.5" style="1847" customWidth="1"/>
    <col min="14082" max="14082" width="8.875" style="1847"/>
    <col min="14083" max="14085" width="12.875" style="1847" customWidth="1"/>
    <col min="14086" max="14086" width="47.5" style="1847" customWidth="1"/>
    <col min="14087" max="14087" width="13" style="1847" customWidth="1"/>
    <col min="14088" max="14089" width="8.875" style="1847"/>
    <col min="14090" max="14090" width="5.75" style="1847" customWidth="1"/>
    <col min="14091" max="14091" width="11.75" style="1847" customWidth="1"/>
    <col min="14092" max="14093" width="10.75" style="1847" customWidth="1"/>
    <col min="14094" max="14094" width="10" style="1847" customWidth="1"/>
    <col min="14095" max="14096" width="10.5" style="1847" customWidth="1"/>
    <col min="14097" max="14097" width="10" style="1847" customWidth="1"/>
    <col min="14098" max="14098" width="10.125" style="1847" customWidth="1"/>
    <col min="14099" max="14099" width="10" style="1847" customWidth="1"/>
    <col min="14100" max="14100" width="26.125" style="1847" customWidth="1"/>
    <col min="14101" max="14336" width="8.875" style="1847"/>
    <col min="14337" max="14337" width="9.5" style="1847" customWidth="1"/>
    <col min="14338" max="14338" width="8.875" style="1847"/>
    <col min="14339" max="14341" width="12.875" style="1847" customWidth="1"/>
    <col min="14342" max="14342" width="47.5" style="1847" customWidth="1"/>
    <col min="14343" max="14343" width="13" style="1847" customWidth="1"/>
    <col min="14344" max="14345" width="8.875" style="1847"/>
    <col min="14346" max="14346" width="5.75" style="1847" customWidth="1"/>
    <col min="14347" max="14347" width="11.75" style="1847" customWidth="1"/>
    <col min="14348" max="14349" width="10.75" style="1847" customWidth="1"/>
    <col min="14350" max="14350" width="10" style="1847" customWidth="1"/>
    <col min="14351" max="14352" width="10.5" style="1847" customWidth="1"/>
    <col min="14353" max="14353" width="10" style="1847" customWidth="1"/>
    <col min="14354" max="14354" width="10.125" style="1847" customWidth="1"/>
    <col min="14355" max="14355" width="10" style="1847" customWidth="1"/>
    <col min="14356" max="14356" width="26.125" style="1847" customWidth="1"/>
    <col min="14357" max="14592" width="8.875" style="1847"/>
    <col min="14593" max="14593" width="9.5" style="1847" customWidth="1"/>
    <col min="14594" max="14594" width="8.875" style="1847"/>
    <col min="14595" max="14597" width="12.875" style="1847" customWidth="1"/>
    <col min="14598" max="14598" width="47.5" style="1847" customWidth="1"/>
    <col min="14599" max="14599" width="13" style="1847" customWidth="1"/>
    <col min="14600" max="14601" width="8.875" style="1847"/>
    <col min="14602" max="14602" width="5.75" style="1847" customWidth="1"/>
    <col min="14603" max="14603" width="11.75" style="1847" customWidth="1"/>
    <col min="14604" max="14605" width="10.75" style="1847" customWidth="1"/>
    <col min="14606" max="14606" width="10" style="1847" customWidth="1"/>
    <col min="14607" max="14608" width="10.5" style="1847" customWidth="1"/>
    <col min="14609" max="14609" width="10" style="1847" customWidth="1"/>
    <col min="14610" max="14610" width="10.125" style="1847" customWidth="1"/>
    <col min="14611" max="14611" width="10" style="1847" customWidth="1"/>
    <col min="14612" max="14612" width="26.125" style="1847" customWidth="1"/>
    <col min="14613" max="14848" width="8.875" style="1847"/>
    <col min="14849" max="14849" width="9.5" style="1847" customWidth="1"/>
    <col min="14850" max="14850" width="8.875" style="1847"/>
    <col min="14851" max="14853" width="12.875" style="1847" customWidth="1"/>
    <col min="14854" max="14854" width="47.5" style="1847" customWidth="1"/>
    <col min="14855" max="14855" width="13" style="1847" customWidth="1"/>
    <col min="14856" max="14857" width="8.875" style="1847"/>
    <col min="14858" max="14858" width="5.75" style="1847" customWidth="1"/>
    <col min="14859" max="14859" width="11.75" style="1847" customWidth="1"/>
    <col min="14860" max="14861" width="10.75" style="1847" customWidth="1"/>
    <col min="14862" max="14862" width="10" style="1847" customWidth="1"/>
    <col min="14863" max="14864" width="10.5" style="1847" customWidth="1"/>
    <col min="14865" max="14865" width="10" style="1847" customWidth="1"/>
    <col min="14866" max="14866" width="10.125" style="1847" customWidth="1"/>
    <col min="14867" max="14867" width="10" style="1847" customWidth="1"/>
    <col min="14868" max="14868" width="26.125" style="1847" customWidth="1"/>
    <col min="14869" max="15104" width="8.875" style="1847"/>
    <col min="15105" max="15105" width="9.5" style="1847" customWidth="1"/>
    <col min="15106" max="15106" width="8.875" style="1847"/>
    <col min="15107" max="15109" width="12.875" style="1847" customWidth="1"/>
    <col min="15110" max="15110" width="47.5" style="1847" customWidth="1"/>
    <col min="15111" max="15111" width="13" style="1847" customWidth="1"/>
    <col min="15112" max="15113" width="8.875" style="1847"/>
    <col min="15114" max="15114" width="5.75" style="1847" customWidth="1"/>
    <col min="15115" max="15115" width="11.75" style="1847" customWidth="1"/>
    <col min="15116" max="15117" width="10.75" style="1847" customWidth="1"/>
    <col min="15118" max="15118" width="10" style="1847" customWidth="1"/>
    <col min="15119" max="15120" width="10.5" style="1847" customWidth="1"/>
    <col min="15121" max="15121" width="10" style="1847" customWidth="1"/>
    <col min="15122" max="15122" width="10.125" style="1847" customWidth="1"/>
    <col min="15123" max="15123" width="10" style="1847" customWidth="1"/>
    <col min="15124" max="15124" width="26.125" style="1847" customWidth="1"/>
    <col min="15125" max="15360" width="8.875" style="1847"/>
    <col min="15361" max="15361" width="9.5" style="1847" customWidth="1"/>
    <col min="15362" max="15362" width="8.875" style="1847"/>
    <col min="15363" max="15365" width="12.875" style="1847" customWidth="1"/>
    <col min="15366" max="15366" width="47.5" style="1847" customWidth="1"/>
    <col min="15367" max="15367" width="13" style="1847" customWidth="1"/>
    <col min="15368" max="15369" width="8.875" style="1847"/>
    <col min="15370" max="15370" width="5.75" style="1847" customWidth="1"/>
    <col min="15371" max="15371" width="11.75" style="1847" customWidth="1"/>
    <col min="15372" max="15373" width="10.75" style="1847" customWidth="1"/>
    <col min="15374" max="15374" width="10" style="1847" customWidth="1"/>
    <col min="15375" max="15376" width="10.5" style="1847" customWidth="1"/>
    <col min="15377" max="15377" width="10" style="1847" customWidth="1"/>
    <col min="15378" max="15378" width="10.125" style="1847" customWidth="1"/>
    <col min="15379" max="15379" width="10" style="1847" customWidth="1"/>
    <col min="15380" max="15380" width="26.125" style="1847" customWidth="1"/>
    <col min="15381" max="15616" width="8.875" style="1847"/>
    <col min="15617" max="15617" width="9.5" style="1847" customWidth="1"/>
    <col min="15618" max="15618" width="8.875" style="1847"/>
    <col min="15619" max="15621" width="12.875" style="1847" customWidth="1"/>
    <col min="15622" max="15622" width="47.5" style="1847" customWidth="1"/>
    <col min="15623" max="15623" width="13" style="1847" customWidth="1"/>
    <col min="15624" max="15625" width="8.875" style="1847"/>
    <col min="15626" max="15626" width="5.75" style="1847" customWidth="1"/>
    <col min="15627" max="15627" width="11.75" style="1847" customWidth="1"/>
    <col min="15628" max="15629" width="10.75" style="1847" customWidth="1"/>
    <col min="15630" max="15630" width="10" style="1847" customWidth="1"/>
    <col min="15631" max="15632" width="10.5" style="1847" customWidth="1"/>
    <col min="15633" max="15633" width="10" style="1847" customWidth="1"/>
    <col min="15634" max="15634" width="10.125" style="1847" customWidth="1"/>
    <col min="15635" max="15635" width="10" style="1847" customWidth="1"/>
    <col min="15636" max="15636" width="26.125" style="1847" customWidth="1"/>
    <col min="15637" max="15872" width="8.875" style="1847"/>
    <col min="15873" max="15873" width="9.5" style="1847" customWidth="1"/>
    <col min="15874" max="15874" width="8.875" style="1847"/>
    <col min="15875" max="15877" width="12.875" style="1847" customWidth="1"/>
    <col min="15878" max="15878" width="47.5" style="1847" customWidth="1"/>
    <col min="15879" max="15879" width="13" style="1847" customWidth="1"/>
    <col min="15880" max="15881" width="8.875" style="1847"/>
    <col min="15882" max="15882" width="5.75" style="1847" customWidth="1"/>
    <col min="15883" max="15883" width="11.75" style="1847" customWidth="1"/>
    <col min="15884" max="15885" width="10.75" style="1847" customWidth="1"/>
    <col min="15886" max="15886" width="10" style="1847" customWidth="1"/>
    <col min="15887" max="15888" width="10.5" style="1847" customWidth="1"/>
    <col min="15889" max="15889" width="10" style="1847" customWidth="1"/>
    <col min="15890" max="15890" width="10.125" style="1847" customWidth="1"/>
    <col min="15891" max="15891" width="10" style="1847" customWidth="1"/>
    <col min="15892" max="15892" width="26.125" style="1847" customWidth="1"/>
    <col min="15893" max="16128" width="8.875" style="1847"/>
    <col min="16129" max="16129" width="9.5" style="1847" customWidth="1"/>
    <col min="16130" max="16130" width="8.875" style="1847"/>
    <col min="16131" max="16133" width="12.875" style="1847" customWidth="1"/>
    <col min="16134" max="16134" width="47.5" style="1847" customWidth="1"/>
    <col min="16135" max="16135" width="13" style="1847" customWidth="1"/>
    <col min="16136" max="16137" width="8.875" style="1847"/>
    <col min="16138" max="16138" width="5.75" style="1847" customWidth="1"/>
    <col min="16139" max="16139" width="11.75" style="1847" customWidth="1"/>
    <col min="16140" max="16141" width="10.75" style="1847" customWidth="1"/>
    <col min="16142" max="16142" width="10" style="1847" customWidth="1"/>
    <col min="16143" max="16144" width="10.5" style="1847" customWidth="1"/>
    <col min="16145" max="16145" width="10" style="1847" customWidth="1"/>
    <col min="16146" max="16146" width="10.125" style="1847" customWidth="1"/>
    <col min="16147" max="16147" width="10" style="1847" customWidth="1"/>
    <col min="16148" max="16148" width="26.125" style="1847" customWidth="1"/>
    <col min="16149" max="16384" width="8.875" style="1847"/>
  </cols>
  <sheetData>
    <row r="1" ht="21" customHeight="1" spans="1:21">
      <c r="A1" s="1852" t="s">
        <v>1324</v>
      </c>
      <c r="B1" s="1853"/>
      <c r="C1" s="1854"/>
      <c r="D1" s="1854"/>
      <c r="E1" s="1855"/>
      <c r="F1" s="1856"/>
      <c r="G1" s="1857"/>
      <c r="J1" s="1964" t="s">
        <v>1325</v>
      </c>
      <c r="K1" s="1965"/>
      <c r="L1" s="1965"/>
      <c r="M1" s="1965"/>
      <c r="N1" s="1965"/>
      <c r="O1" s="1965"/>
      <c r="P1" s="1965"/>
      <c r="Q1" s="1965"/>
      <c r="R1" s="2017"/>
      <c r="S1" s="2018"/>
      <c r="T1" s="2018"/>
      <c r="U1" s="2018"/>
    </row>
    <row r="2" s="1845" customFormat="1" customHeight="1" spans="1:23">
      <c r="A2" s="1858" t="s">
        <v>1326</v>
      </c>
      <c r="B2" s="1859" t="e">
        <f>C40</f>
        <v>#DIV/0!</v>
      </c>
      <c r="C2" s="1854" t="s">
        <v>1327</v>
      </c>
      <c r="D2" s="1854"/>
      <c r="E2" s="1860"/>
      <c r="F2" s="1861"/>
      <c r="G2" s="1862"/>
      <c r="H2" s="1863"/>
      <c r="I2" s="1966"/>
      <c r="J2" s="1967" t="s">
        <v>1328</v>
      </c>
      <c r="K2" s="1968"/>
      <c r="L2" s="1969" t="s">
        <v>1329</v>
      </c>
      <c r="M2" s="1969" t="s">
        <v>1330</v>
      </c>
      <c r="N2" s="1969" t="s">
        <v>1331</v>
      </c>
      <c r="O2" s="1969" t="s">
        <v>1332</v>
      </c>
      <c r="P2" s="1969" t="s">
        <v>1333</v>
      </c>
      <c r="Q2" s="2019" t="s">
        <v>1334</v>
      </c>
      <c r="R2" s="2020" t="s">
        <v>1335</v>
      </c>
      <c r="S2" s="2018"/>
      <c r="T2" s="2018"/>
      <c r="U2" s="2018"/>
      <c r="V2" s="1966"/>
      <c r="W2" s="1863"/>
    </row>
    <row r="3" s="1845" customFormat="1" customHeight="1" spans="1:23">
      <c r="A3" s="1864" t="s">
        <v>1336</v>
      </c>
      <c r="B3" s="1865" t="e">
        <f>ROUND(B2*10000/B4,0)</f>
        <v>#DIV/0!</v>
      </c>
      <c r="C3" s="1854" t="s">
        <v>1337</v>
      </c>
      <c r="D3" s="1854"/>
      <c r="E3" s="1860"/>
      <c r="F3" s="1861"/>
      <c r="G3" s="1862"/>
      <c r="H3" s="1863"/>
      <c r="I3" s="1966"/>
      <c r="J3" s="1970" t="s">
        <v>1338</v>
      </c>
      <c r="K3" s="1971"/>
      <c r="L3" s="1972"/>
      <c r="M3" s="1972"/>
      <c r="N3" s="1972"/>
      <c r="O3" s="1972"/>
      <c r="P3" s="1972"/>
      <c r="Q3" s="2021"/>
      <c r="R3" s="2022">
        <f>SUM(L3:Q3)</f>
        <v>0</v>
      </c>
      <c r="S3" s="2018"/>
      <c r="T3" s="2018"/>
      <c r="U3" s="2018"/>
      <c r="V3" s="1966"/>
      <c r="W3" s="1863"/>
    </row>
    <row r="4" s="1845" customFormat="1" customHeight="1" spans="1:23">
      <c r="A4" s="1866" t="s">
        <v>430</v>
      </c>
      <c r="B4" s="1867"/>
      <c r="C4" s="1854"/>
      <c r="D4" s="1854"/>
      <c r="E4" s="1860"/>
      <c r="F4" s="1861"/>
      <c r="G4" s="1862"/>
      <c r="H4" s="1863"/>
      <c r="I4" s="1966"/>
      <c r="J4" s="1970" t="s">
        <v>1339</v>
      </c>
      <c r="K4" s="1971"/>
      <c r="L4" s="1973"/>
      <c r="M4" s="1973"/>
      <c r="N4" s="1973"/>
      <c r="O4" s="1973"/>
      <c r="P4" s="1973"/>
      <c r="Q4" s="2023"/>
      <c r="R4" s="2024">
        <f>SUM(L4:Q4)</f>
        <v>0</v>
      </c>
      <c r="S4" s="2018"/>
      <c r="T4" s="2018"/>
      <c r="U4" s="2018"/>
      <c r="V4" s="1966"/>
      <c r="W4" s="1863"/>
    </row>
    <row r="5" s="1845" customFormat="1" customHeight="1" spans="1:23">
      <c r="A5" s="1868" t="s">
        <v>1340</v>
      </c>
      <c r="B5" s="1869"/>
      <c r="C5" s="1854"/>
      <c r="D5" s="1870"/>
      <c r="E5" s="1861"/>
      <c r="F5" s="1861"/>
      <c r="G5" s="1862"/>
      <c r="H5" s="1863"/>
      <c r="I5" s="1966"/>
      <c r="J5" s="1974" t="s">
        <v>1341</v>
      </c>
      <c r="K5" s="1975"/>
      <c r="L5" s="1975"/>
      <c r="M5" s="1976"/>
      <c r="N5" s="1976"/>
      <c r="O5" s="1976"/>
      <c r="P5" s="1976"/>
      <c r="Q5" s="1976"/>
      <c r="R5" s="2020">
        <f>SUM(R14,R19,R24,R25,R27,R28)</f>
        <v>0</v>
      </c>
      <c r="S5" s="2018"/>
      <c r="T5" s="2018" t="s">
        <v>1342</v>
      </c>
      <c r="U5" s="2018" t="e">
        <f>ROUND(R5*10000/365/R3,1)</f>
        <v>#DIV/0!</v>
      </c>
      <c r="V5" s="1966"/>
      <c r="W5" s="1863"/>
    </row>
    <row r="6" s="1845" customFormat="1" customHeight="1" spans="1:23">
      <c r="A6" s="1871" t="s">
        <v>1343</v>
      </c>
      <c r="B6" s="1872"/>
      <c r="C6" s="1873"/>
      <c r="D6" s="1874"/>
      <c r="E6" s="1875"/>
      <c r="F6" s="1876"/>
      <c r="G6" s="1877"/>
      <c r="H6" s="1863"/>
      <c r="I6" s="1966"/>
      <c r="J6" s="1977">
        <v>1</v>
      </c>
      <c r="K6" s="1978" t="s">
        <v>1344</v>
      </c>
      <c r="L6" s="1979" t="s">
        <v>1345</v>
      </c>
      <c r="M6" s="1980" t="s">
        <v>1346</v>
      </c>
      <c r="N6" s="1980" t="s">
        <v>1347</v>
      </c>
      <c r="O6" s="1980" t="s">
        <v>1348</v>
      </c>
      <c r="P6" s="1980" t="s">
        <v>1349</v>
      </c>
      <c r="Q6" s="1980" t="s">
        <v>1350</v>
      </c>
      <c r="R6" s="2022" t="s">
        <v>1351</v>
      </c>
      <c r="S6" s="2018"/>
      <c r="T6" s="2018" t="s">
        <v>1352</v>
      </c>
      <c r="U6" s="2018"/>
      <c r="V6" s="1966"/>
      <c r="W6" s="1863"/>
    </row>
    <row r="7" s="1845" customFormat="1" customHeight="1" spans="1:23">
      <c r="A7" s="1878" t="s">
        <v>1353</v>
      </c>
      <c r="B7" s="1879"/>
      <c r="C7" s="1880"/>
      <c r="D7" s="1881">
        <f>SUM(D9,D10,D11,D17,0)</f>
        <v>0</v>
      </c>
      <c r="E7" s="1882" t="e">
        <f>E9+E10+E11+E17</f>
        <v>#DIV/0!</v>
      </c>
      <c r="F7" s="1883"/>
      <c r="G7" s="1884"/>
      <c r="H7" s="1863"/>
      <c r="I7" s="1966"/>
      <c r="J7" s="1977"/>
      <c r="K7" s="1981"/>
      <c r="L7" s="1982" t="s">
        <v>1354</v>
      </c>
      <c r="M7" s="1983"/>
      <c r="N7" s="1983"/>
      <c r="O7" s="1984"/>
      <c r="P7" s="1984"/>
      <c r="Q7" s="1992">
        <v>365</v>
      </c>
      <c r="R7" s="2025">
        <f>ROUND(M7*N7*O7*P7*Q7/10000,0)</f>
        <v>0</v>
      </c>
      <c r="S7" s="2018"/>
      <c r="T7" s="2018" t="s">
        <v>1355</v>
      </c>
      <c r="U7" s="2018"/>
      <c r="V7" s="1966"/>
      <c r="W7" s="1863"/>
    </row>
    <row r="8" s="1845" customFormat="1" customHeight="1" spans="1:23">
      <c r="A8" s="1885" t="s">
        <v>1356</v>
      </c>
      <c r="B8" s="1886" t="s">
        <v>1357</v>
      </c>
      <c r="C8" s="1887"/>
      <c r="D8" s="1888" t="s">
        <v>1358</v>
      </c>
      <c r="E8" s="1889" t="s">
        <v>1359</v>
      </c>
      <c r="F8" s="1890" t="s">
        <v>1360</v>
      </c>
      <c r="G8" s="1891" t="s">
        <v>1361</v>
      </c>
      <c r="H8" s="1863"/>
      <c r="I8" s="1966"/>
      <c r="J8" s="1977"/>
      <c r="K8" s="1981"/>
      <c r="L8" s="1982" t="s">
        <v>1362</v>
      </c>
      <c r="M8" s="1983"/>
      <c r="N8" s="1983"/>
      <c r="O8" s="1984"/>
      <c r="P8" s="1984"/>
      <c r="Q8" s="1992">
        <v>365</v>
      </c>
      <c r="R8" s="2025">
        <f t="shared" ref="R8:R13" si="0">ROUND(M8*N8*O8*P8*Q8/10000,0)</f>
        <v>0</v>
      </c>
      <c r="S8" s="2018"/>
      <c r="T8" s="2018" t="s">
        <v>1363</v>
      </c>
      <c r="U8" s="2018"/>
      <c r="V8" s="1966"/>
      <c r="W8" s="1863"/>
    </row>
    <row r="9" s="1845" customFormat="1" customHeight="1" spans="1:23">
      <c r="A9" s="1885">
        <v>1</v>
      </c>
      <c r="B9" s="1886" t="s">
        <v>1364</v>
      </c>
      <c r="C9" s="1887"/>
      <c r="D9" s="1888">
        <f>ROUND(D6*E9,0)</f>
        <v>0</v>
      </c>
      <c r="E9" s="1892"/>
      <c r="F9" s="1893" t="s">
        <v>1365</v>
      </c>
      <c r="G9" s="1894" t="s">
        <v>1366</v>
      </c>
      <c r="H9" s="1863"/>
      <c r="I9" s="1966"/>
      <c r="J9" s="1977"/>
      <c r="K9" s="1981"/>
      <c r="L9" s="1982" t="s">
        <v>1367</v>
      </c>
      <c r="M9" s="1983"/>
      <c r="N9" s="1983"/>
      <c r="O9" s="1984"/>
      <c r="P9" s="1984"/>
      <c r="Q9" s="1992">
        <v>365</v>
      </c>
      <c r="R9" s="2025">
        <f t="shared" si="0"/>
        <v>0</v>
      </c>
      <c r="S9" s="2018"/>
      <c r="T9" s="2018"/>
      <c r="U9" s="2018"/>
      <c r="V9" s="1966"/>
      <c r="W9" s="1863"/>
    </row>
    <row r="10" s="1845" customFormat="1" customHeight="1" spans="1:23">
      <c r="A10" s="1885">
        <v>2</v>
      </c>
      <c r="B10" s="1886" t="s">
        <v>1368</v>
      </c>
      <c r="C10" s="1887"/>
      <c r="D10" s="1888">
        <f>ROUND(D6*E10,0)</f>
        <v>0</v>
      </c>
      <c r="E10" s="1892"/>
      <c r="F10" s="1893" t="s">
        <v>1369</v>
      </c>
      <c r="G10" s="1894" t="s">
        <v>1370</v>
      </c>
      <c r="H10" s="1863"/>
      <c r="I10" s="1966"/>
      <c r="J10" s="1977"/>
      <c r="K10" s="1981"/>
      <c r="L10" s="1982" t="s">
        <v>1371</v>
      </c>
      <c r="M10" s="1983"/>
      <c r="N10" s="1983"/>
      <c r="O10" s="1984"/>
      <c r="P10" s="1984"/>
      <c r="Q10" s="1992">
        <v>365</v>
      </c>
      <c r="R10" s="2025">
        <f t="shared" si="0"/>
        <v>0</v>
      </c>
      <c r="S10" s="2018"/>
      <c r="T10" s="2018"/>
      <c r="U10" s="2018"/>
      <c r="V10" s="1966"/>
      <c r="W10" s="1863"/>
    </row>
    <row r="11" s="1845" customFormat="1" customHeight="1" spans="1:23">
      <c r="A11" s="1885">
        <v>3</v>
      </c>
      <c r="B11" s="1886" t="s">
        <v>1372</v>
      </c>
      <c r="C11" s="1887"/>
      <c r="D11" s="1888">
        <f>D12+D14+D15+D16</f>
        <v>0</v>
      </c>
      <c r="E11" s="1895" t="e">
        <f>D11/D6</f>
        <v>#DIV/0!</v>
      </c>
      <c r="F11" s="1890"/>
      <c r="G11" s="1894"/>
      <c r="H11" s="1863"/>
      <c r="I11" s="1966"/>
      <c r="J11" s="1977"/>
      <c r="K11" s="1981"/>
      <c r="L11" s="1982" t="s">
        <v>1373</v>
      </c>
      <c r="M11" s="1983"/>
      <c r="N11" s="1983"/>
      <c r="O11" s="1984"/>
      <c r="P11" s="1984"/>
      <c r="Q11" s="1992">
        <v>365</v>
      </c>
      <c r="R11" s="2025">
        <f t="shared" si="0"/>
        <v>0</v>
      </c>
      <c r="S11" s="2018"/>
      <c r="T11" s="2018"/>
      <c r="U11" s="2018"/>
      <c r="V11" s="1966"/>
      <c r="W11" s="1863"/>
    </row>
    <row r="12" s="1845" customFormat="1" customHeight="1" spans="1:23">
      <c r="A12" s="1896" t="s">
        <v>1374</v>
      </c>
      <c r="B12" s="1897" t="s">
        <v>1375</v>
      </c>
      <c r="C12" s="1898"/>
      <c r="D12" s="1899">
        <f>ROUND(D13*1.2%*(1-30%),0)</f>
        <v>0</v>
      </c>
      <c r="E12" s="1900">
        <v>0.012</v>
      </c>
      <c r="F12" s="1890" t="s">
        <v>1376</v>
      </c>
      <c r="G12" s="1894"/>
      <c r="H12" s="1863"/>
      <c r="I12" s="1966"/>
      <c r="J12" s="1977"/>
      <c r="K12" s="1981"/>
      <c r="L12" s="1982" t="s">
        <v>1377</v>
      </c>
      <c r="M12" s="1983"/>
      <c r="N12" s="1983"/>
      <c r="O12" s="1984"/>
      <c r="P12" s="1984"/>
      <c r="Q12" s="1992">
        <v>365</v>
      </c>
      <c r="R12" s="2025">
        <f t="shared" si="0"/>
        <v>0</v>
      </c>
      <c r="S12" s="2018"/>
      <c r="T12" s="2018"/>
      <c r="U12" s="2018"/>
      <c r="V12" s="1966"/>
      <c r="W12" s="1863"/>
    </row>
    <row r="13" s="1845" customFormat="1" customHeight="1" spans="1:23">
      <c r="A13" s="1896"/>
      <c r="B13" s="1897"/>
      <c r="C13" s="1901" t="s">
        <v>1378</v>
      </c>
      <c r="D13" s="1902"/>
      <c r="E13" s="1903"/>
      <c r="F13" s="1890"/>
      <c r="G13" s="1894"/>
      <c r="H13" s="1863"/>
      <c r="I13" s="1966"/>
      <c r="J13" s="1977"/>
      <c r="K13" s="1981"/>
      <c r="L13" s="1982" t="s">
        <v>1379</v>
      </c>
      <c r="M13" s="1983"/>
      <c r="N13" s="1983"/>
      <c r="O13" s="1984"/>
      <c r="P13" s="1984"/>
      <c r="Q13" s="1992">
        <v>365</v>
      </c>
      <c r="R13" s="2025">
        <f t="shared" si="0"/>
        <v>0</v>
      </c>
      <c r="S13" s="2018"/>
      <c r="T13" s="2018"/>
      <c r="U13" s="2018"/>
      <c r="V13" s="1966"/>
      <c r="W13" s="1863"/>
    </row>
    <row r="14" s="1845" customFormat="1" customHeight="1" spans="1:23">
      <c r="A14" s="1896" t="s">
        <v>1380</v>
      </c>
      <c r="B14" s="1897" t="s">
        <v>1381</v>
      </c>
      <c r="C14" s="1898"/>
      <c r="D14" s="1899">
        <f>ROUND(E14*B5/10000,0)</f>
        <v>0</v>
      </c>
      <c r="E14" s="1904"/>
      <c r="F14" s="1890" t="s">
        <v>1382</v>
      </c>
      <c r="G14" s="1894"/>
      <c r="H14" s="1863"/>
      <c r="I14" s="1966"/>
      <c r="J14" s="1977"/>
      <c r="K14" s="1985"/>
      <c r="L14" s="1986" t="s">
        <v>1383</v>
      </c>
      <c r="M14" s="1987">
        <f>SUM(M7:M13)</f>
        <v>0</v>
      </c>
      <c r="N14" s="1987" t="e">
        <f>ROUND((N7*M7+N8*M8+N9*M9+N10*M10+N11*M11+N12*M12+N13*M13)/M14,0)</f>
        <v>#DIV/0!</v>
      </c>
      <c r="O14" s="1988"/>
      <c r="P14" s="1988"/>
      <c r="Q14" s="2026"/>
      <c r="R14" s="2020">
        <f>SUM(R7:R13)</f>
        <v>0</v>
      </c>
      <c r="S14" s="2018"/>
      <c r="T14" s="2018"/>
      <c r="U14" s="2018"/>
      <c r="V14" s="1966"/>
      <c r="W14" s="1863"/>
    </row>
    <row r="15" s="1845" customFormat="1" customHeight="1" spans="1:23">
      <c r="A15" s="1896" t="s">
        <v>1384</v>
      </c>
      <c r="B15" s="1897" t="s">
        <v>1385</v>
      </c>
      <c r="C15" s="1898"/>
      <c r="D15" s="1899">
        <f>ROUND(D6*E15,0)</f>
        <v>0</v>
      </c>
      <c r="E15" s="1900">
        <v>0.055</v>
      </c>
      <c r="F15" s="1890" t="s">
        <v>1386</v>
      </c>
      <c r="G15" s="1894"/>
      <c r="H15" s="1863"/>
      <c r="I15" s="1966"/>
      <c r="J15" s="1977">
        <v>2</v>
      </c>
      <c r="K15" s="1978" t="s">
        <v>1387</v>
      </c>
      <c r="L15" s="1989" t="s">
        <v>1388</v>
      </c>
      <c r="M15" s="1990" t="s">
        <v>1389</v>
      </c>
      <c r="N15" s="1990" t="s">
        <v>1390</v>
      </c>
      <c r="O15" s="1991" t="s">
        <v>1391</v>
      </c>
      <c r="P15" s="1991" t="s">
        <v>1350</v>
      </c>
      <c r="Q15" s="1867" t="s">
        <v>121</v>
      </c>
      <c r="R15" s="2027" t="s">
        <v>1351</v>
      </c>
      <c r="S15" s="2018"/>
      <c r="T15" s="2018"/>
      <c r="U15" s="2018"/>
      <c r="V15" s="1966"/>
      <c r="W15" s="1863"/>
    </row>
    <row r="16" s="1845" customFormat="1" customHeight="1" spans="1:23">
      <c r="A16" s="1896" t="s">
        <v>1392</v>
      </c>
      <c r="B16" s="1897" t="s">
        <v>1393</v>
      </c>
      <c r="C16" s="1898"/>
      <c r="D16" s="1905">
        <f>D6*E16</f>
        <v>0</v>
      </c>
      <c r="E16" s="1906"/>
      <c r="F16" s="1893" t="s">
        <v>1394</v>
      </c>
      <c r="G16" s="1894"/>
      <c r="H16" s="1863"/>
      <c r="I16" s="1966"/>
      <c r="J16" s="1977"/>
      <c r="K16" s="1981"/>
      <c r="L16" s="1982" t="s">
        <v>1395</v>
      </c>
      <c r="M16" s="1983"/>
      <c r="N16" s="1983"/>
      <c r="O16" s="1984"/>
      <c r="P16" s="1992">
        <v>365</v>
      </c>
      <c r="Q16" s="1983"/>
      <c r="R16" s="2028">
        <f>ROUND(M16*N16*O16*P16/10000,0)</f>
        <v>0</v>
      </c>
      <c r="S16" s="2018"/>
      <c r="T16" s="2018"/>
      <c r="U16" s="2018"/>
      <c r="V16" s="1966"/>
      <c r="W16" s="1863"/>
    </row>
    <row r="17" s="1845" customFormat="1" customHeight="1" spans="1:23">
      <c r="A17" s="1907">
        <v>4</v>
      </c>
      <c r="B17" s="1908" t="s">
        <v>1396</v>
      </c>
      <c r="C17" s="1909"/>
      <c r="D17" s="1910">
        <f>ROUND(D6*E17,0)</f>
        <v>0</v>
      </c>
      <c r="E17" s="1911"/>
      <c r="F17" s="1912" t="s">
        <v>1397</v>
      </c>
      <c r="G17" s="1913">
        <v>0.1</v>
      </c>
      <c r="H17" s="1863"/>
      <c r="I17" s="1966"/>
      <c r="J17" s="1977"/>
      <c r="K17" s="1981"/>
      <c r="L17" s="1982" t="s">
        <v>1398</v>
      </c>
      <c r="M17" s="1983"/>
      <c r="N17" s="1983"/>
      <c r="O17" s="1984"/>
      <c r="P17" s="1992">
        <v>365</v>
      </c>
      <c r="Q17" s="1983"/>
      <c r="R17" s="2028">
        <f>ROUND(M17*N17*O17*P17/10000,0)</f>
        <v>0</v>
      </c>
      <c r="S17" s="2018"/>
      <c r="T17" s="2018"/>
      <c r="U17" s="2018"/>
      <c r="V17" s="1966"/>
      <c r="W17" s="1863"/>
    </row>
    <row r="18" s="1845" customFormat="1" customHeight="1" spans="1:23">
      <c r="A18" s="1878" t="s">
        <v>1399</v>
      </c>
      <c r="B18" s="1879"/>
      <c r="C18" s="1879"/>
      <c r="D18" s="1914">
        <f>ROUND(D6*E18,0)</f>
        <v>0</v>
      </c>
      <c r="E18" s="1915"/>
      <c r="F18" s="1916" t="s">
        <v>1400</v>
      </c>
      <c r="G18" s="1913">
        <v>0.05</v>
      </c>
      <c r="H18" s="1863"/>
      <c r="I18" s="1966"/>
      <c r="J18" s="1977"/>
      <c r="K18" s="1981"/>
      <c r="L18" s="1982" t="s">
        <v>1401</v>
      </c>
      <c r="M18" s="1983"/>
      <c r="N18" s="1983"/>
      <c r="O18" s="1984"/>
      <c r="P18" s="1992">
        <v>365</v>
      </c>
      <c r="Q18" s="1983"/>
      <c r="R18" s="2028">
        <f>ROUND(M18*N18*O18*P18/10000,0)</f>
        <v>0</v>
      </c>
      <c r="S18" s="2018"/>
      <c r="T18" s="2018"/>
      <c r="U18" s="2018"/>
      <c r="V18" s="1966"/>
      <c r="W18" s="1863"/>
    </row>
    <row r="19" s="1845" customFormat="1" customHeight="1" spans="1:23">
      <c r="A19" s="1917" t="s">
        <v>1402</v>
      </c>
      <c r="B19" s="1875"/>
      <c r="C19" s="1875"/>
      <c r="D19" s="1875"/>
      <c r="E19" s="1875"/>
      <c r="F19" s="1876"/>
      <c r="G19" s="1894"/>
      <c r="H19" s="1863"/>
      <c r="I19" s="1966"/>
      <c r="J19" s="1977"/>
      <c r="K19" s="1985"/>
      <c r="L19" s="1986" t="s">
        <v>1383</v>
      </c>
      <c r="M19" s="1987"/>
      <c r="N19" s="1987">
        <f>SUM(N16:N18)</f>
        <v>0</v>
      </c>
      <c r="O19" s="1988"/>
      <c r="P19" s="1993" t="s">
        <v>1403</v>
      </c>
      <c r="Q19" s="1991">
        <v>0.5</v>
      </c>
      <c r="R19" s="2029">
        <f>ROUND(IF(P19="按比例",R14*Q19,SUM(R16:R18)),0)</f>
        <v>0</v>
      </c>
      <c r="S19" s="2018"/>
      <c r="T19" s="2018"/>
      <c r="U19" s="2018"/>
      <c r="V19" s="1966"/>
      <c r="W19" s="1863"/>
    </row>
    <row r="20" s="1845" customFormat="1" customHeight="1" spans="1:23">
      <c r="A20" s="1878"/>
      <c r="B20" s="1879"/>
      <c r="C20" s="1879"/>
      <c r="D20" s="1879"/>
      <c r="E20" s="1879"/>
      <c r="F20" s="1918"/>
      <c r="G20" s="1894"/>
      <c r="H20" s="1863"/>
      <c r="I20" s="1966"/>
      <c r="J20" s="1977">
        <v>3</v>
      </c>
      <c r="K20" s="1978" t="s">
        <v>1404</v>
      </c>
      <c r="L20" s="1989" t="s">
        <v>1405</v>
      </c>
      <c r="M20" s="1990" t="s">
        <v>1406</v>
      </c>
      <c r="N20" s="1994" t="s">
        <v>1407</v>
      </c>
      <c r="O20" s="1991" t="s">
        <v>1408</v>
      </c>
      <c r="P20" s="1904" t="s">
        <v>1350</v>
      </c>
      <c r="Q20" s="1867" t="s">
        <v>121</v>
      </c>
      <c r="R20" s="2027" t="s">
        <v>1351</v>
      </c>
      <c r="S20" s="2015"/>
      <c r="T20" s="2015"/>
      <c r="U20" s="2015"/>
      <c r="V20" s="1966"/>
      <c r="W20" s="1863"/>
    </row>
    <row r="21" s="1845" customFormat="1" customHeight="1" spans="1:23">
      <c r="A21" s="1878"/>
      <c r="B21" s="1879"/>
      <c r="C21" s="1886" t="s">
        <v>1409</v>
      </c>
      <c r="D21" s="1919" t="s">
        <v>1410</v>
      </c>
      <c r="E21" s="1887" t="s">
        <v>1411</v>
      </c>
      <c r="F21" s="1918"/>
      <c r="G21" s="1894"/>
      <c r="H21" s="1863"/>
      <c r="I21" s="1966"/>
      <c r="J21" s="1977"/>
      <c r="K21" s="1981"/>
      <c r="L21" s="1989" t="s">
        <v>1412</v>
      </c>
      <c r="M21" s="1990"/>
      <c r="N21" s="1990"/>
      <c r="O21" s="1991"/>
      <c r="P21" s="1904">
        <v>365</v>
      </c>
      <c r="Q21" s="1867"/>
      <c r="R21" s="2030">
        <f>ROUND(M21*N21*O21*P21/10000,0)</f>
        <v>0</v>
      </c>
      <c r="S21" s="2015"/>
      <c r="T21" s="2015"/>
      <c r="U21" s="2015"/>
      <c r="V21" s="1966"/>
      <c r="W21" s="1863"/>
    </row>
    <row r="22" s="1845" customFormat="1" customHeight="1" spans="1:23">
      <c r="A22" s="1878"/>
      <c r="B22" s="1879"/>
      <c r="C22" s="1920" t="s">
        <v>1413</v>
      </c>
      <c r="D22" s="1921" t="s">
        <v>1414</v>
      </c>
      <c r="E22" s="1922" t="s">
        <v>1415</v>
      </c>
      <c r="F22" s="1918"/>
      <c r="G22" s="1923"/>
      <c r="H22" s="1863"/>
      <c r="I22" s="1966"/>
      <c r="J22" s="1977"/>
      <c r="K22" s="1981"/>
      <c r="L22" s="1989" t="s">
        <v>1416</v>
      </c>
      <c r="M22" s="1990"/>
      <c r="N22" s="1990"/>
      <c r="O22" s="1991"/>
      <c r="P22" s="1904">
        <v>365</v>
      </c>
      <c r="Q22" s="1867"/>
      <c r="R22" s="2030">
        <f>ROUND(M22*N22*O22*P22/10000,0)</f>
        <v>0</v>
      </c>
      <c r="S22" s="2015"/>
      <c r="T22" s="2015"/>
      <c r="U22" s="2015"/>
      <c r="V22" s="1966"/>
      <c r="W22" s="1863"/>
    </row>
    <row r="23" s="1845" customFormat="1" customHeight="1" spans="1:23">
      <c r="A23" s="1924">
        <v>1</v>
      </c>
      <c r="B23" s="1925" t="s">
        <v>1417</v>
      </c>
      <c r="C23" s="1926">
        <f>D6</f>
        <v>0</v>
      </c>
      <c r="D23" s="1927">
        <f>C23*(1+D24)</f>
        <v>0</v>
      </c>
      <c r="E23" s="1928">
        <f>D23*(1+E24)</f>
        <v>0</v>
      </c>
      <c r="F23" s="1929"/>
      <c r="G23" s="1930"/>
      <c r="H23" s="1863"/>
      <c r="I23" s="1966"/>
      <c r="J23" s="1977"/>
      <c r="K23" s="1981"/>
      <c r="L23" s="1989" t="s">
        <v>1418</v>
      </c>
      <c r="M23" s="1990"/>
      <c r="N23" s="1990"/>
      <c r="O23" s="1991"/>
      <c r="P23" s="1904">
        <v>365</v>
      </c>
      <c r="Q23" s="1867"/>
      <c r="R23" s="2030">
        <f>ROUND(M23*N23*O23*P23/10000,0)</f>
        <v>0</v>
      </c>
      <c r="S23" s="2018"/>
      <c r="T23" s="2018"/>
      <c r="U23" s="2018"/>
      <c r="V23" s="1966"/>
      <c r="W23" s="1863"/>
    </row>
    <row r="24" s="1845" customFormat="1" customHeight="1" spans="1:23">
      <c r="A24" s="1931"/>
      <c r="B24" s="1932" t="s">
        <v>1419</v>
      </c>
      <c r="C24" s="1933"/>
      <c r="D24" s="1934"/>
      <c r="E24" s="1935"/>
      <c r="F24" s="1936"/>
      <c r="G24" s="1930"/>
      <c r="H24" s="1863"/>
      <c r="I24" s="1966"/>
      <c r="J24" s="1977"/>
      <c r="K24" s="1985"/>
      <c r="L24" s="1986" t="s">
        <v>1383</v>
      </c>
      <c r="M24" s="1987">
        <f>SUM(M21:M23)</f>
        <v>0</v>
      </c>
      <c r="N24" s="1987"/>
      <c r="O24" s="1988"/>
      <c r="P24" s="1993" t="s">
        <v>1403</v>
      </c>
      <c r="Q24" s="1991">
        <v>0.1</v>
      </c>
      <c r="R24" s="2029">
        <f>ROUND(IF(P24="按比例",R14*Q24,SUM(R21:R23)),0)</f>
        <v>0</v>
      </c>
      <c r="S24" s="2018"/>
      <c r="T24" s="2018"/>
      <c r="U24" s="2018"/>
      <c r="V24" s="1966"/>
      <c r="W24" s="1863"/>
    </row>
    <row r="25" s="1846" customFormat="1" customHeight="1" spans="1:23">
      <c r="A25" s="1931"/>
      <c r="B25" s="1932"/>
      <c r="C25" s="1933"/>
      <c r="D25" s="1934"/>
      <c r="E25" s="1935"/>
      <c r="F25" s="1936"/>
      <c r="G25" s="1923"/>
      <c r="H25" s="1863"/>
      <c r="I25" s="1966"/>
      <c r="J25" s="1977">
        <v>4</v>
      </c>
      <c r="K25" s="1995" t="s">
        <v>1420</v>
      </c>
      <c r="L25" s="1996"/>
      <c r="M25" s="1996"/>
      <c r="N25" s="1996"/>
      <c r="O25" s="1996"/>
      <c r="P25" s="1997"/>
      <c r="Q25" s="2031">
        <v>0</v>
      </c>
      <c r="R25" s="2029">
        <f>ROUND(R14*Q25,0)</f>
        <v>0</v>
      </c>
      <c r="S25" s="2018"/>
      <c r="T25" s="2018"/>
      <c r="U25" s="2018"/>
      <c r="V25" s="2004"/>
      <c r="W25" s="1938"/>
    </row>
    <row r="26" s="1846" customFormat="1" customHeight="1" spans="1:23">
      <c r="A26" s="1924">
        <v>2</v>
      </c>
      <c r="B26" s="1925" t="s">
        <v>1421</v>
      </c>
      <c r="C26" s="1926">
        <f>D7</f>
        <v>0</v>
      </c>
      <c r="D26" s="1927">
        <f>D23*D27</f>
        <v>0</v>
      </c>
      <c r="E26" s="1928">
        <f>E23*E27</f>
        <v>0</v>
      </c>
      <c r="F26" s="1929"/>
      <c r="G26" s="1930"/>
      <c r="H26" s="1863"/>
      <c r="I26" s="1966"/>
      <c r="J26" s="1998">
        <v>5</v>
      </c>
      <c r="K26" s="1999" t="s">
        <v>1422</v>
      </c>
      <c r="L26" s="2000"/>
      <c r="M26" s="2001"/>
      <c r="N26" s="2002" t="s">
        <v>357</v>
      </c>
      <c r="O26" s="2002" t="s">
        <v>1423</v>
      </c>
      <c r="P26" s="2003" t="s">
        <v>1424</v>
      </c>
      <c r="Q26" s="2003" t="s">
        <v>1425</v>
      </c>
      <c r="R26" s="2022" t="s">
        <v>1351</v>
      </c>
      <c r="S26" s="2032"/>
      <c r="T26" s="2032"/>
      <c r="U26" s="2032"/>
      <c r="V26" s="2004"/>
      <c r="W26" s="1938"/>
    </row>
    <row r="27" s="1845" customFormat="1" customHeight="1" spans="1:23">
      <c r="A27" s="1931"/>
      <c r="B27" s="1932" t="s">
        <v>1426</v>
      </c>
      <c r="C27" s="1937" t="e">
        <f>E7</f>
        <v>#DIV/0!</v>
      </c>
      <c r="D27" s="1934"/>
      <c r="E27" s="1935"/>
      <c r="F27" s="1936"/>
      <c r="G27" s="1930"/>
      <c r="H27" s="1938"/>
      <c r="I27" s="2004"/>
      <c r="J27" s="2005"/>
      <c r="K27" s="2006"/>
      <c r="L27" s="2007"/>
      <c r="M27" s="2008"/>
      <c r="N27" s="2009"/>
      <c r="O27" s="2009"/>
      <c r="P27" s="2009"/>
      <c r="Q27" s="2033"/>
      <c r="R27" s="2029">
        <f>ROUND(O27*N27*P27*(1-Q27)/10000,0)</f>
        <v>0</v>
      </c>
      <c r="S27" s="2018"/>
      <c r="T27" s="2018"/>
      <c r="U27" s="2018"/>
      <c r="V27" s="1966"/>
      <c r="W27" s="1863"/>
    </row>
    <row r="28" s="1846" customFormat="1" customHeight="1" spans="1:23">
      <c r="A28" s="1931"/>
      <c r="B28" s="1932"/>
      <c r="C28" s="1937"/>
      <c r="D28" s="1934"/>
      <c r="E28" s="1935" t="s">
        <v>1225</v>
      </c>
      <c r="F28" s="1936"/>
      <c r="G28" s="1923"/>
      <c r="H28" s="1938"/>
      <c r="I28" s="2004"/>
      <c r="J28" s="2010">
        <v>6</v>
      </c>
      <c r="K28" s="2011" t="s">
        <v>1427</v>
      </c>
      <c r="L28" s="2012" t="s">
        <v>1428</v>
      </c>
      <c r="M28" s="2013"/>
      <c r="N28" s="2012" t="s">
        <v>1429</v>
      </c>
      <c r="O28" s="2014"/>
      <c r="P28" s="2012" t="s">
        <v>1430</v>
      </c>
      <c r="Q28" s="2034">
        <v>0.015</v>
      </c>
      <c r="R28" s="2035"/>
      <c r="S28" s="2015"/>
      <c r="T28" s="2015"/>
      <c r="U28" s="2015"/>
      <c r="V28" s="2004"/>
      <c r="W28" s="1938"/>
    </row>
    <row r="29" s="1846" customFormat="1" customHeight="1" spans="1:23">
      <c r="A29" s="1924">
        <v>3</v>
      </c>
      <c r="B29" s="1925" t="s">
        <v>1431</v>
      </c>
      <c r="C29" s="1926">
        <f>C23*C30</f>
        <v>0</v>
      </c>
      <c r="D29" s="1927">
        <f>D23*C30</f>
        <v>0</v>
      </c>
      <c r="E29" s="1928">
        <f>E23*C30</f>
        <v>0</v>
      </c>
      <c r="F29" s="1929"/>
      <c r="G29" s="1930"/>
      <c r="H29" s="1863"/>
      <c r="I29" s="1966"/>
      <c r="J29" s="2015"/>
      <c r="K29" s="2015"/>
      <c r="L29" s="2015"/>
      <c r="M29" s="2015"/>
      <c r="N29" s="2015"/>
      <c r="O29" s="2015"/>
      <c r="P29" s="2015"/>
      <c r="Q29" s="2015"/>
      <c r="R29" s="2015"/>
      <c r="S29" s="2015"/>
      <c r="T29" s="2015"/>
      <c r="U29" s="2015"/>
      <c r="V29" s="2004"/>
      <c r="W29" s="1938"/>
    </row>
    <row r="30" s="1845" customFormat="1" customHeight="1" spans="1:23">
      <c r="A30" s="1931"/>
      <c r="B30" s="1932" t="s">
        <v>1426</v>
      </c>
      <c r="C30" s="1937">
        <f>E18</f>
        <v>0</v>
      </c>
      <c r="D30" s="1939"/>
      <c r="E30" s="1903"/>
      <c r="F30" s="1936"/>
      <c r="G30" s="1930"/>
      <c r="H30" s="1938"/>
      <c r="I30" s="2004"/>
      <c r="J30" s="2015"/>
      <c r="K30" s="2015"/>
      <c r="L30" s="2015"/>
      <c r="M30" s="2015"/>
      <c r="N30" s="2015"/>
      <c r="O30" s="2015"/>
      <c r="P30" s="2015"/>
      <c r="Q30" s="2015"/>
      <c r="R30" s="2015"/>
      <c r="S30" s="2015"/>
      <c r="T30" s="2015"/>
      <c r="U30" s="2018"/>
      <c r="V30" s="1966"/>
      <c r="W30" s="1863"/>
    </row>
    <row r="31" s="1846" customFormat="1" customHeight="1" spans="1:23">
      <c r="A31" s="1931"/>
      <c r="B31" s="1932"/>
      <c r="C31" s="1940"/>
      <c r="D31" s="1939"/>
      <c r="E31" s="1903"/>
      <c r="F31" s="1936"/>
      <c r="G31" s="1923"/>
      <c r="H31" s="1938"/>
      <c r="I31" s="2004"/>
      <c r="J31" s="1964" t="s">
        <v>1432</v>
      </c>
      <c r="K31" s="1965"/>
      <c r="L31" s="1965"/>
      <c r="M31" s="1965"/>
      <c r="N31" s="1965"/>
      <c r="O31" s="1965"/>
      <c r="P31" s="1965"/>
      <c r="Q31" s="1965"/>
      <c r="R31" s="2017"/>
      <c r="S31" s="2015"/>
      <c r="T31" s="2018"/>
      <c r="U31" s="2018"/>
      <c r="V31" s="2004"/>
      <c r="W31" s="1938"/>
    </row>
    <row r="32" s="1846" customFormat="1" customHeight="1" spans="1:23">
      <c r="A32" s="1924">
        <v>4</v>
      </c>
      <c r="B32" s="1925" t="s">
        <v>1433</v>
      </c>
      <c r="C32" s="1926">
        <f>C23-C26-C29</f>
        <v>0</v>
      </c>
      <c r="D32" s="1927">
        <f>D23-D26-D29</f>
        <v>0</v>
      </c>
      <c r="E32" s="1928">
        <f>E23-E26-E29</f>
        <v>0</v>
      </c>
      <c r="F32" s="1929"/>
      <c r="G32" s="1923"/>
      <c r="H32" s="1863"/>
      <c r="I32" s="1966"/>
      <c r="J32" s="1967" t="s">
        <v>1328</v>
      </c>
      <c r="K32" s="1968"/>
      <c r="L32" s="1969" t="s">
        <v>1329</v>
      </c>
      <c r="M32" s="1969" t="s">
        <v>1330</v>
      </c>
      <c r="N32" s="1969" t="s">
        <v>1331</v>
      </c>
      <c r="O32" s="1969" t="s">
        <v>1332</v>
      </c>
      <c r="P32" s="1969" t="s">
        <v>1333</v>
      </c>
      <c r="Q32" s="2019" t="s">
        <v>1334</v>
      </c>
      <c r="R32" s="2036" t="s">
        <v>1335</v>
      </c>
      <c r="S32" s="2015"/>
      <c r="T32" s="2018"/>
      <c r="U32" s="2018"/>
      <c r="V32" s="2004"/>
      <c r="W32" s="1938"/>
    </row>
    <row r="33" s="1845" customFormat="1" customHeight="1" spans="1:23">
      <c r="A33" s="1924"/>
      <c r="B33" s="1925"/>
      <c r="C33" s="1926"/>
      <c r="D33" s="1941"/>
      <c r="E33" s="1898"/>
      <c r="F33" s="1929"/>
      <c r="G33" s="1923"/>
      <c r="H33" s="1938"/>
      <c r="I33" s="2004"/>
      <c r="J33" s="1970" t="s">
        <v>1338</v>
      </c>
      <c r="K33" s="1971"/>
      <c r="L33" s="1972"/>
      <c r="M33" s="1972"/>
      <c r="N33" s="1972"/>
      <c r="O33" s="1972"/>
      <c r="P33" s="1972"/>
      <c r="Q33" s="2021"/>
      <c r="R33" s="2037">
        <f>SUM(L33:Q33)</f>
        <v>0</v>
      </c>
      <c r="S33" s="2015"/>
      <c r="T33" s="2018"/>
      <c r="U33" s="2018"/>
      <c r="V33" s="1966"/>
      <c r="W33" s="1863"/>
    </row>
    <row r="34" s="1845" customFormat="1" customHeight="1" spans="1:23">
      <c r="A34" s="1924">
        <v>5</v>
      </c>
      <c r="B34" s="1925" t="s">
        <v>1434</v>
      </c>
      <c r="C34" s="1942"/>
      <c r="D34" s="1943"/>
      <c r="E34" s="1944"/>
      <c r="F34" s="1929"/>
      <c r="G34" s="1923"/>
      <c r="H34" s="1938"/>
      <c r="I34" s="2004"/>
      <c r="J34" s="1970" t="s">
        <v>1339</v>
      </c>
      <c r="K34" s="1971"/>
      <c r="L34" s="1973"/>
      <c r="M34" s="1973"/>
      <c r="N34" s="1973"/>
      <c r="O34" s="1973"/>
      <c r="P34" s="1973"/>
      <c r="Q34" s="2023"/>
      <c r="R34" s="2038">
        <f>SUM(L34:Q34)</f>
        <v>0</v>
      </c>
      <c r="S34" s="2015"/>
      <c r="T34" s="2018"/>
      <c r="U34" s="2018" t="e">
        <f>ROUND(R35*10000/365/R33,1)</f>
        <v>#DIV/0!</v>
      </c>
      <c r="V34" s="1966"/>
      <c r="W34" s="1863"/>
    </row>
    <row r="35" s="1845" customFormat="1" customHeight="1" spans="1:23">
      <c r="A35" s="1924">
        <v>6</v>
      </c>
      <c r="B35" s="1925" t="s">
        <v>1435</v>
      </c>
      <c r="C35" s="1945"/>
      <c r="D35" s="1946"/>
      <c r="E35" s="1947"/>
      <c r="F35" s="1929"/>
      <c r="G35" s="1948"/>
      <c r="H35" s="1863"/>
      <c r="I35" s="2004"/>
      <c r="J35" s="1974" t="s">
        <v>1341</v>
      </c>
      <c r="K35" s="1975"/>
      <c r="L35" s="1975"/>
      <c r="M35" s="1976"/>
      <c r="N35" s="1976"/>
      <c r="O35" s="1976"/>
      <c r="P35" s="1976"/>
      <c r="Q35" s="1976"/>
      <c r="R35" s="2039">
        <f>R40+R41+R43</f>
        <v>0</v>
      </c>
      <c r="S35" s="2015"/>
      <c r="T35" s="2018" t="s">
        <v>1342</v>
      </c>
      <c r="U35" s="2018"/>
      <c r="V35" s="1966"/>
      <c r="W35" s="1863"/>
    </row>
    <row r="36" s="1845" customFormat="1" customHeight="1" spans="1:23">
      <c r="A36" s="1924">
        <v>7</v>
      </c>
      <c r="B36" s="1949" t="s">
        <v>1436</v>
      </c>
      <c r="C36" s="1950"/>
      <c r="D36" s="1951"/>
      <c r="E36" s="1952"/>
      <c r="F36" s="1953">
        <f>C36+D36+E36</f>
        <v>0</v>
      </c>
      <c r="G36" s="1923"/>
      <c r="H36" s="1863"/>
      <c r="I36" s="1966"/>
      <c r="J36" s="1977">
        <v>1</v>
      </c>
      <c r="K36" s="1978" t="s">
        <v>1437</v>
      </c>
      <c r="L36" s="1979"/>
      <c r="M36" s="1980"/>
      <c r="N36" s="1980"/>
      <c r="O36" s="1980"/>
      <c r="P36" s="1980"/>
      <c r="Q36" s="1980"/>
      <c r="R36" s="2022" t="s">
        <v>1351</v>
      </c>
      <c r="S36" s="2015"/>
      <c r="T36" s="2018" t="s">
        <v>1352</v>
      </c>
      <c r="U36" s="2018"/>
      <c r="V36" s="1966"/>
      <c r="W36" s="1863"/>
    </row>
    <row r="37" s="1845" customFormat="1" customHeight="1" spans="1:23">
      <c r="A37" s="1924"/>
      <c r="B37" s="1925"/>
      <c r="C37" s="1925"/>
      <c r="D37" s="1925"/>
      <c r="E37" s="1925"/>
      <c r="F37" s="1929"/>
      <c r="G37" s="1923"/>
      <c r="H37" s="1863"/>
      <c r="I37" s="1966"/>
      <c r="J37" s="1977"/>
      <c r="K37" s="1981"/>
      <c r="L37" s="1989"/>
      <c r="M37" s="1990"/>
      <c r="N37" s="1867"/>
      <c r="O37" s="1991"/>
      <c r="P37" s="1991"/>
      <c r="Q37" s="1904"/>
      <c r="R37" s="2040"/>
      <c r="S37" s="2015"/>
      <c r="T37" s="2018" t="s">
        <v>1355</v>
      </c>
      <c r="U37" s="2018"/>
      <c r="V37" s="1966"/>
      <c r="W37" s="1863"/>
    </row>
    <row r="38" s="1845" customFormat="1" customHeight="1" spans="1:23">
      <c r="A38" s="1924">
        <v>8</v>
      </c>
      <c r="B38" s="1925"/>
      <c r="C38" s="1888" t="e">
        <f>ROUND(C32*(1-((1+C35)/(1+C34))^C36)/(C34-C35),0)</f>
        <v>#DIV/0!</v>
      </c>
      <c r="D38" s="1888">
        <f>IF(D23=0,0,ROUND(D32*(1-((1+D35)/(1+D34))^D36)/(D34-D35),0))</f>
        <v>0</v>
      </c>
      <c r="E38" s="1888">
        <f>IF(E23=0,0,ROUND(E32*(1-((1+E35)/(1+E34))^E36)/(E34-E35),0))</f>
        <v>0</v>
      </c>
      <c r="F38" s="1929"/>
      <c r="G38" s="1923"/>
      <c r="H38" s="1863"/>
      <c r="I38" s="1966"/>
      <c r="J38" s="1977"/>
      <c r="K38" s="1981"/>
      <c r="L38" s="1989"/>
      <c r="M38" s="1990"/>
      <c r="N38" s="1867"/>
      <c r="O38" s="1991"/>
      <c r="P38" s="1991"/>
      <c r="Q38" s="1904"/>
      <c r="R38" s="2040"/>
      <c r="S38" s="2015"/>
      <c r="T38" s="2018" t="s">
        <v>1363</v>
      </c>
      <c r="U38" s="2018"/>
      <c r="V38" s="1966"/>
      <c r="W38" s="1863"/>
    </row>
    <row r="39" s="1845" customFormat="1" customHeight="1" spans="1:23">
      <c r="A39" s="1924">
        <v>9</v>
      </c>
      <c r="B39" s="1925" t="s">
        <v>1438</v>
      </c>
      <c r="C39" s="1899" t="e">
        <f>C38</f>
        <v>#DIV/0!</v>
      </c>
      <c r="D39" s="1925">
        <f>D38/(1+D34)^C36</f>
        <v>0</v>
      </c>
      <c r="E39" s="1925">
        <f>E38/(1+E34)^(C36+D36)</f>
        <v>0</v>
      </c>
      <c r="F39" s="1929"/>
      <c r="G39" s="1954"/>
      <c r="H39" s="1863"/>
      <c r="I39" s="1966"/>
      <c r="J39" s="1977"/>
      <c r="K39" s="1981"/>
      <c r="L39" s="1989"/>
      <c r="M39" s="1990"/>
      <c r="N39" s="1867"/>
      <c r="O39" s="1991"/>
      <c r="P39" s="1991"/>
      <c r="Q39" s="1904"/>
      <c r="R39" s="2040"/>
      <c r="S39" s="2015"/>
      <c r="T39" s="2018"/>
      <c r="U39" s="2018"/>
      <c r="V39" s="1966"/>
      <c r="W39" s="1863"/>
    </row>
    <row r="40" s="1845" customFormat="1" customHeight="1" spans="1:23">
      <c r="A40" s="1955">
        <v>10</v>
      </c>
      <c r="B40" s="1925" t="s">
        <v>1439</v>
      </c>
      <c r="C40" s="1956" t="e">
        <f>C39+D39+E39</f>
        <v>#DIV/0!</v>
      </c>
      <c r="D40" s="1957"/>
      <c r="E40" s="1957"/>
      <c r="F40" s="1958"/>
      <c r="G40" s="1923"/>
      <c r="H40" s="1863"/>
      <c r="I40" s="1966"/>
      <c r="J40" s="1977"/>
      <c r="K40" s="1985"/>
      <c r="L40" s="1986" t="s">
        <v>1383</v>
      </c>
      <c r="M40" s="1987"/>
      <c r="N40" s="1987"/>
      <c r="O40" s="1988"/>
      <c r="P40" s="1988"/>
      <c r="Q40" s="2026"/>
      <c r="R40" s="2020">
        <f>SUM(R37:R39)</f>
        <v>0</v>
      </c>
      <c r="S40" s="2015"/>
      <c r="T40" s="2018"/>
      <c r="U40" s="2018"/>
      <c r="V40" s="1966"/>
      <c r="W40" s="1863"/>
    </row>
    <row r="41" s="1845" customFormat="1" customHeight="1" spans="1:23">
      <c r="A41" s="1959">
        <v>11</v>
      </c>
      <c r="B41" s="1960" t="s">
        <v>1440</v>
      </c>
      <c r="C41" s="1960" t="e">
        <f>ROUND(C40*10000/B4,0)</f>
        <v>#DIV/0!</v>
      </c>
      <c r="D41" s="1961"/>
      <c r="E41" s="1961"/>
      <c r="F41" s="1962"/>
      <c r="G41" s="1963"/>
      <c r="H41" s="1863"/>
      <c r="I41" s="1966"/>
      <c r="J41" s="1977">
        <v>2</v>
      </c>
      <c r="K41" s="1995" t="s">
        <v>1420</v>
      </c>
      <c r="L41" s="1996"/>
      <c r="M41" s="1996"/>
      <c r="N41" s="1996"/>
      <c r="O41" s="1996"/>
      <c r="P41" s="1997"/>
      <c r="Q41" s="2031"/>
      <c r="R41" s="2029">
        <f>ROUND(R40*Q41,0)</f>
        <v>0</v>
      </c>
      <c r="S41" s="2015"/>
      <c r="T41" s="2018"/>
      <c r="U41" s="2032"/>
      <c r="V41" s="1966"/>
      <c r="W41" s="1863"/>
    </row>
    <row r="42" s="1845" customFormat="1" customHeight="1" spans="7:23">
      <c r="G42" s="1963"/>
      <c r="H42" s="1863"/>
      <c r="I42" s="1966"/>
      <c r="J42" s="1998">
        <v>3</v>
      </c>
      <c r="K42" s="1999" t="s">
        <v>1422</v>
      </c>
      <c r="L42" s="2000"/>
      <c r="M42" s="2001"/>
      <c r="N42" s="2002" t="s">
        <v>357</v>
      </c>
      <c r="O42" s="2002" t="s">
        <v>1423</v>
      </c>
      <c r="P42" s="2003" t="s">
        <v>1424</v>
      </c>
      <c r="Q42" s="2003" t="s">
        <v>1425</v>
      </c>
      <c r="R42" s="2022" t="s">
        <v>1351</v>
      </c>
      <c r="S42" s="2032"/>
      <c r="T42" s="2032"/>
      <c r="U42" s="2018"/>
      <c r="V42" s="1966"/>
      <c r="W42" s="1863"/>
    </row>
    <row r="43" customHeight="1" spans="1:23">
      <c r="A43" s="1845"/>
      <c r="B43" s="1845"/>
      <c r="C43" s="1845"/>
      <c r="D43" s="1845"/>
      <c r="E43" s="1845"/>
      <c r="F43" s="1845"/>
      <c r="I43" s="1849"/>
      <c r="J43" s="2005"/>
      <c r="K43" s="2006"/>
      <c r="L43" s="2007"/>
      <c r="M43" s="2008"/>
      <c r="N43" s="1990"/>
      <c r="O43" s="1990"/>
      <c r="P43" s="1990"/>
      <c r="Q43" s="2031"/>
      <c r="R43" s="2029">
        <f>ROUND(O43*N43*P43*(1-Q43)/10000,0)</f>
        <v>0</v>
      </c>
      <c r="S43" s="2015"/>
      <c r="T43" s="2018"/>
      <c r="V43" s="1851"/>
      <c r="W43" s="1850"/>
    </row>
    <row r="44" customHeight="1" spans="10:18">
      <c r="J44" s="2010">
        <v>6</v>
      </c>
      <c r="K44" s="2011" t="s">
        <v>1427</v>
      </c>
      <c r="L44" s="2016" t="s">
        <v>1428</v>
      </c>
      <c r="M44" s="2013"/>
      <c r="N44" s="2016" t="s">
        <v>1429</v>
      </c>
      <c r="O44" s="2013"/>
      <c r="P44" s="2016" t="s">
        <v>1430</v>
      </c>
      <c r="Q44" s="2034">
        <v>0.015</v>
      </c>
      <c r="R44" s="2035"/>
    </row>
  </sheetData>
  <sheetProtection password="CEE9" sheet="1" formatCells="0" formatColumns="0" formatRows="0" objects="1" scenarios="1"/>
  <mergeCells count="26">
    <mergeCell ref="J2:K2"/>
    <mergeCell ref="J3:K3"/>
    <mergeCell ref="J4:K4"/>
    <mergeCell ref="A6:C6"/>
    <mergeCell ref="B8:C8"/>
    <mergeCell ref="B9:C9"/>
    <mergeCell ref="B10:C10"/>
    <mergeCell ref="B11:C11"/>
    <mergeCell ref="B12:C12"/>
    <mergeCell ref="B14:C14"/>
    <mergeCell ref="B15:C15"/>
    <mergeCell ref="B16:C16"/>
    <mergeCell ref="B17:C17"/>
    <mergeCell ref="J32:K32"/>
    <mergeCell ref="J33:K33"/>
    <mergeCell ref="J34:K34"/>
    <mergeCell ref="J6:J14"/>
    <mergeCell ref="J15:J19"/>
    <mergeCell ref="J20:J24"/>
    <mergeCell ref="J26:J27"/>
    <mergeCell ref="J36:J40"/>
    <mergeCell ref="J42:J43"/>
    <mergeCell ref="K6:K14"/>
    <mergeCell ref="K15:K19"/>
    <mergeCell ref="K20:K24"/>
    <mergeCell ref="K36:K40"/>
  </mergeCells>
  <dataValidations count="2">
    <dataValidation type="list" allowBlank="1" showInputMessage="1" showErrorMessage="1" sqref="IZ1 SV1 ACR1 AMN1 AWJ1 BGF1 BQB1 BZX1 CJT1 CTP1 DDL1 DNH1 DXD1 EGZ1 EQV1 FAR1 FKN1 FUJ1 GEF1 GOB1 GXX1 HHT1 HRP1 IBL1 ILH1 IVD1 JEZ1 JOV1 JYR1 KIN1 KSJ1 LCF1 LMB1 LVX1 MFT1 MPP1 MZL1 NJH1 NTD1 OCZ1 OMV1 OWR1 PGN1 PQJ1 QAF1 QKB1 QTX1 RDT1 RNP1 RXL1 SHH1 SRD1 TAZ1 TKV1 TUR1 UEN1 UOJ1 UYF1 VIB1 VRX1 WBT1 WLP1 WVL1 D65537 IZ65537 SV65537 ACR65537 AMN65537 AWJ65537 BGF65537 BQB65537 BZX65537 CJT65537 CTP65537 DDL65537 DNH65537 DXD65537 EGZ65537 EQV65537 FAR65537 FKN65537 FUJ65537 GEF65537 GOB65537 GXX65537 HHT65537 HRP65537 IBL65537 ILH65537 IVD65537 JEZ65537 JOV65537 JYR65537 KIN65537 KSJ65537 LCF65537 LMB65537 LVX65537 MFT65537 MPP65537 MZL65537 NJH65537 NTD65537 OCZ65537 OMV65537 OWR65537 PGN65537 PQJ65537 QAF65537 QKB65537 QTX65537 RDT65537 RNP65537 RXL65537 SHH65537 SRD65537 TAZ65537 TKV65537 TUR65537 UEN65537 UOJ65537 UYF65537 VIB65537 VRX65537 WBT65537 WLP65537 WVL65537 D131073 IZ131073 SV131073 ACR131073 AMN131073 AWJ131073 BGF131073 BQB131073 BZX131073 CJT131073 CTP131073 DDL131073 DNH131073 DXD131073 EGZ131073 EQV131073 FAR131073 FKN131073 FUJ131073 GEF131073 GOB131073 GXX131073 HHT131073 HRP131073 IBL131073 ILH131073 IVD131073 JEZ131073 JOV131073 JYR131073 KIN131073 KSJ131073 LCF131073 LMB131073 LVX131073 MFT131073 MPP131073 MZL131073 NJH131073 NTD131073 OCZ131073 OMV131073 OWR131073 PGN131073 PQJ131073 QAF131073 QKB131073 QTX131073 RDT131073 RNP131073 RXL131073 SHH131073 SRD131073 TAZ131073 TKV131073 TUR131073 UEN131073 UOJ131073 UYF131073 VIB131073 VRX131073 WBT131073 WLP131073 WVL131073 D196609 IZ196609 SV196609 ACR196609 AMN196609 AWJ196609 BGF196609 BQB196609 BZX196609 CJT196609 CTP196609 DDL196609 DNH196609 DXD196609 EGZ196609 EQV196609 FAR196609 FKN196609 FUJ196609 GEF196609 GOB196609 GXX196609 HHT196609 HRP196609 IBL196609 ILH196609 IVD196609 JEZ196609 JOV196609 JYR196609 KIN196609 KSJ196609 LCF196609 LMB196609 LVX196609 MFT196609 MPP196609 MZL196609 NJH196609 NTD196609 OCZ196609 OMV196609 OWR196609 PGN196609 PQJ196609 QAF196609 QKB196609 QTX196609 RDT196609 RNP196609 RXL196609 SHH196609 SRD196609 TAZ196609 TKV196609 TUR196609 UEN196609 UOJ196609 UYF196609 VIB196609 VRX196609 WBT196609 WLP196609 WVL196609 D262145 IZ262145 SV262145 ACR262145 AMN262145 AWJ262145 BGF262145 BQB262145 BZX262145 CJT262145 CTP262145 DDL262145 DNH262145 DXD262145 EGZ262145 EQV262145 FAR262145 FKN262145 FUJ262145 GEF262145 GOB262145 GXX262145 HHT262145 HRP262145 IBL262145 ILH262145 IVD262145 JEZ262145 JOV262145 JYR262145 KIN262145 KSJ262145 LCF262145 LMB262145 LVX262145 MFT262145 MPP262145 MZL262145 NJH262145 NTD262145 OCZ262145 OMV262145 OWR262145 PGN262145 PQJ262145 QAF262145 QKB262145 QTX262145 RDT262145 RNP262145 RXL262145 SHH262145 SRD262145 TAZ262145 TKV262145 TUR262145 UEN262145 UOJ262145 UYF262145 VIB262145 VRX262145 WBT262145 WLP262145 WVL262145 D327681 IZ327681 SV327681 ACR327681 AMN327681 AWJ327681 BGF327681 BQB327681 BZX327681 CJT327681 CTP327681 DDL327681 DNH327681 DXD327681 EGZ327681 EQV327681 FAR327681 FKN327681 FUJ327681 GEF327681 GOB327681 GXX327681 HHT327681 HRP327681 IBL327681 ILH327681 IVD327681 JEZ327681 JOV327681 JYR327681 KIN327681 KSJ327681 LCF327681 LMB327681 LVX327681 MFT327681 MPP327681 MZL327681 NJH327681 NTD327681 OCZ327681 OMV327681 OWR327681 PGN327681 PQJ327681 QAF327681 QKB327681 QTX327681 RDT327681 RNP327681 RXL327681 SHH327681 SRD327681 TAZ327681 TKV327681 TUR327681 UEN327681 UOJ327681 UYF327681 VIB327681 VRX327681 WBT327681 WLP327681 WVL327681 D393217 IZ393217 SV393217 ACR393217 AMN393217 AWJ393217 BGF393217 BQB393217 BZX393217 CJT393217 CTP393217 DDL393217 DNH393217 DXD393217 EGZ393217 EQV393217 FAR393217 FKN393217 FUJ393217 GEF393217 GOB393217 GXX393217 HHT393217 HRP393217 IBL393217 ILH393217 IVD393217 JEZ393217 JOV393217 JYR393217 KIN393217 KSJ393217 LCF393217 LMB393217 LVX393217 MFT393217 MPP393217 MZL393217 NJH393217 NTD393217 OCZ393217 OMV393217 OWR393217 PGN393217 PQJ393217 QAF393217 QKB393217 QTX393217 RDT393217 RNP393217 RXL393217 SHH393217 SRD393217 TAZ393217 TKV393217 TUR393217 UEN393217 UOJ393217 UYF393217 VIB393217 VRX393217 WBT393217 WLP393217 WVL393217 D458753 IZ458753 SV458753 ACR458753 AMN458753 AWJ458753 BGF458753 BQB458753 BZX458753 CJT458753 CTP458753 DDL458753 DNH458753 DXD458753 EGZ458753 EQV458753 FAR458753 FKN458753 FUJ458753 GEF458753 GOB458753 GXX458753 HHT458753 HRP458753 IBL458753 ILH458753 IVD458753 JEZ458753 JOV458753 JYR458753 KIN458753 KSJ458753 LCF458753 LMB458753 LVX458753 MFT458753 MPP458753 MZL458753 NJH458753 NTD458753 OCZ458753 OMV458753 OWR458753 PGN458753 PQJ458753 QAF458753 QKB458753 QTX458753 RDT458753 RNP458753 RXL458753 SHH458753 SRD458753 TAZ458753 TKV458753 TUR458753 UEN458753 UOJ458753 UYF458753 VIB458753 VRX458753 WBT458753 WLP458753 WVL458753 D524289 IZ524289 SV524289 ACR524289 AMN524289 AWJ524289 BGF524289 BQB524289 BZX524289 CJT524289 CTP524289 DDL524289 DNH524289 DXD524289 EGZ524289 EQV524289 FAR524289 FKN524289 FUJ524289 GEF524289 GOB524289 GXX524289 HHT524289 HRP524289 IBL524289 ILH524289 IVD524289 JEZ524289 JOV524289 JYR524289 KIN524289 KSJ524289 LCF524289 LMB524289 LVX524289 MFT524289 MPP524289 MZL524289 NJH524289 NTD524289 OCZ524289 OMV524289 OWR524289 PGN524289 PQJ524289 QAF524289 QKB524289 QTX524289 RDT524289 RNP524289 RXL524289 SHH524289 SRD524289 TAZ524289 TKV524289 TUR524289 UEN524289 UOJ524289 UYF524289 VIB524289 VRX524289 WBT524289 WLP524289 WVL524289 D589825 IZ589825 SV589825 ACR589825 AMN589825 AWJ589825 BGF589825 BQB589825 BZX589825 CJT589825 CTP589825 DDL589825 DNH589825 DXD589825 EGZ589825 EQV589825 FAR589825 FKN589825 FUJ589825 GEF589825 GOB589825 GXX589825 HHT589825 HRP589825 IBL589825 ILH589825 IVD589825 JEZ589825 JOV589825 JYR589825 KIN589825 KSJ589825 LCF589825 LMB589825 LVX589825 MFT589825 MPP589825 MZL589825 NJH589825 NTD589825 OCZ589825 OMV589825 OWR589825 PGN589825 PQJ589825 QAF589825 QKB589825 QTX589825 RDT589825 RNP589825 RXL589825 SHH589825 SRD589825 TAZ589825 TKV589825 TUR589825 UEN589825 UOJ589825 UYF589825 VIB589825 VRX589825 WBT589825 WLP589825 WVL589825 D655361 IZ655361 SV655361 ACR655361 AMN655361 AWJ655361 BGF655361 BQB655361 BZX655361 CJT655361 CTP655361 DDL655361 DNH655361 DXD655361 EGZ655361 EQV655361 FAR655361 FKN655361 FUJ655361 GEF655361 GOB655361 GXX655361 HHT655361 HRP655361 IBL655361 ILH655361 IVD655361 JEZ655361 JOV655361 JYR655361 KIN655361 KSJ655361 LCF655361 LMB655361 LVX655361 MFT655361 MPP655361 MZL655361 NJH655361 NTD655361 OCZ655361 OMV655361 OWR655361 PGN655361 PQJ655361 QAF655361 QKB655361 QTX655361 RDT655361 RNP655361 RXL655361 SHH655361 SRD655361 TAZ655361 TKV655361 TUR655361 UEN655361 UOJ655361 UYF655361 VIB655361 VRX655361 WBT655361 WLP655361 WVL655361 D720897 IZ720897 SV720897 ACR720897 AMN720897 AWJ720897 BGF720897 BQB720897 BZX720897 CJT720897 CTP720897 DDL720897 DNH720897 DXD720897 EGZ720897 EQV720897 FAR720897 FKN720897 FUJ720897 GEF720897 GOB720897 GXX720897 HHT720897 HRP720897 IBL720897 ILH720897 IVD720897 JEZ720897 JOV720897 JYR720897 KIN720897 KSJ720897 LCF720897 LMB720897 LVX720897 MFT720897 MPP720897 MZL720897 NJH720897 NTD720897 OCZ720897 OMV720897 OWR720897 PGN720897 PQJ720897 QAF720897 QKB720897 QTX720897 RDT720897 RNP720897 RXL720897 SHH720897 SRD720897 TAZ720897 TKV720897 TUR720897 UEN720897 UOJ720897 UYF720897 VIB720897 VRX720897 WBT720897 WLP720897 WVL720897 D786433 IZ786433 SV786433 ACR786433 AMN786433 AWJ786433 BGF786433 BQB786433 BZX786433 CJT786433 CTP786433 DDL786433 DNH786433 DXD786433 EGZ786433 EQV786433 FAR786433 FKN786433 FUJ786433 GEF786433 GOB786433 GXX786433 HHT786433 HRP786433 IBL786433 ILH786433 IVD786433 JEZ786433 JOV786433 JYR786433 KIN786433 KSJ786433 LCF786433 LMB786433 LVX786433 MFT786433 MPP786433 MZL786433 NJH786433 NTD786433 OCZ786433 OMV786433 OWR786433 PGN786433 PQJ786433 QAF786433 QKB786433 QTX786433 RDT786433 RNP786433 RXL786433 SHH786433 SRD786433 TAZ786433 TKV786433 TUR786433 UEN786433 UOJ786433 UYF786433 VIB786433 VRX786433 WBT786433 WLP786433 WVL786433 D851969 IZ851969 SV851969 ACR851969 AMN851969 AWJ851969 BGF851969 BQB851969 BZX851969 CJT851969 CTP851969 DDL851969 DNH851969 DXD851969 EGZ851969 EQV851969 FAR851969 FKN851969 FUJ851969 GEF851969 GOB851969 GXX851969 HHT851969 HRP851969 IBL851969 ILH851969 IVD851969 JEZ851969 JOV851969 JYR851969 KIN851969 KSJ851969 LCF851969 LMB851969 LVX851969 MFT851969 MPP851969 MZL851969 NJH851969 NTD851969 OCZ851969 OMV851969 OWR851969 PGN851969 PQJ851969 QAF851969 QKB851969 QTX851969 RDT851969 RNP851969 RXL851969 SHH851969 SRD851969 TAZ851969 TKV851969 TUR851969 UEN851969 UOJ851969 UYF851969 VIB851969 VRX851969 WBT851969 WLP851969 WVL851969 D917505 IZ917505 SV917505 ACR917505 AMN917505 AWJ917505 BGF917505 BQB917505 BZX917505 CJT917505 CTP917505 DDL917505 DNH917505 DXD917505 EGZ917505 EQV917505 FAR917505 FKN917505 FUJ917505 GEF917505 GOB917505 GXX917505 HHT917505 HRP917505 IBL917505 ILH917505 IVD917505 JEZ917505 JOV917505 JYR917505 KIN917505 KSJ917505 LCF917505 LMB917505 LVX917505 MFT917505 MPP917505 MZL917505 NJH917505 NTD917505 OCZ917505 OMV917505 OWR917505 PGN917505 PQJ917505 QAF917505 QKB917505 QTX917505 RDT917505 RNP917505 RXL917505 SHH917505 SRD917505 TAZ917505 TKV917505 TUR917505 UEN917505 UOJ917505 UYF917505 VIB917505 VRX917505 WBT917505 WLP917505 WVL917505 D983041 IZ983041 SV983041 ACR983041 AMN983041 AWJ983041 BGF983041 BQB983041 BZX983041 CJT983041 CTP983041 DDL983041 DNH983041 DXD983041 EGZ983041 EQV983041 FAR983041 FKN983041 FUJ983041 GEF983041 GOB983041 GXX983041 HHT983041 HRP983041 IBL983041 ILH983041 IVD983041 JEZ983041 JOV983041 JYR983041 KIN983041 KSJ983041 LCF983041 LMB983041 LVX983041 MFT983041 MPP983041 MZL983041 NJH983041 NTD983041 OCZ983041 OMV983041 OWR983041 PGN983041 PQJ983041 QAF983041 QKB983041 QTX983041 RDT983041 RNP983041 RXL983041 SHH983041 SRD983041 TAZ983041 TKV983041 TUR983041 UEN983041 UOJ983041 UYF983041 VIB983041 VRX983041 WBT983041 WLP983041 WVL983041">
      <formula1>"在建（套用方法）,土地（套用方法）,——"</formula1>
    </dataValidation>
    <dataValidation type="list" allowBlank="1" showInputMessage="1" showErrorMessage="1" sqref="P19 JL19 TH19 ADD19 AMZ19 AWV19 BGR19 BQN19 CAJ19 CKF19 CUB19 DDX19 DNT19 DXP19 EHL19 ERH19 FBD19 FKZ19 FUV19 GER19 GON19 GYJ19 HIF19 HSB19 IBX19 ILT19 IVP19 JFL19 JPH19 JZD19 KIZ19 KSV19 LCR19 LMN19 LWJ19 MGF19 MQB19 MZX19 NJT19 NTP19 ODL19 ONH19 OXD19 PGZ19 PQV19 QAR19 QKN19 QUJ19 REF19 ROB19 RXX19 SHT19 SRP19 TBL19 TLH19 TVD19 UEZ19 UOV19 UYR19 VIN19 VSJ19 WCF19 WMB19 WVX19 P24 JL24 TH24 ADD24 AMZ24 AWV24 BGR24 BQN24 CAJ24 CKF24 CUB24 DDX24 DNT24 DXP24 EHL24 ERH24 FBD24 FKZ24 FUV24 GER24 GON24 GYJ24 HIF24 HSB24 IBX24 ILT24 IVP24 JFL24 JPH24 JZD24 KIZ24 KSV24 LCR24 LMN24 LWJ24 MGF24 MQB24 MZX24 NJT24 NTP24 ODL24 ONH24 OXD24 PGZ24 PQV24 QAR24 QKN24 QUJ24 REF24 ROB24 RXX24 SHT24 SRP24 TBL24 TLH24 TVD24 UEZ24 UOV24 UYR24 VIN24 VSJ24 WCF24 WMB24 WVX24 P65555 JL65555 TH65555 ADD65555 AMZ65555 AWV65555 BGR65555 BQN65555 CAJ65555 CKF65555 CUB65555 DDX65555 DNT65555 DXP65555 EHL65555 ERH65555 FBD65555 FKZ65555 FUV65555 GER65555 GON65555 GYJ65555 HIF65555 HSB65555 IBX65555 ILT65555 IVP65555 JFL65555 JPH65555 JZD65555 KIZ65555 KSV65555 LCR65555 LMN65555 LWJ65555 MGF65555 MQB65555 MZX65555 NJT65555 NTP65555 ODL65555 ONH65555 OXD65555 PGZ65555 PQV65555 QAR65555 QKN65555 QUJ65555 REF65555 ROB65555 RXX65555 SHT65555 SRP65555 TBL65555 TLH65555 TVD65555 UEZ65555 UOV65555 UYR65555 VIN65555 VSJ65555 WCF65555 WMB65555 WVX65555 P65560 JL65560 TH65560 ADD65560 AMZ65560 AWV65560 BGR65560 BQN65560 CAJ65560 CKF65560 CUB65560 DDX65560 DNT65560 DXP65560 EHL65560 ERH65560 FBD65560 FKZ65560 FUV65560 GER65560 GON65560 GYJ65560 HIF65560 HSB65560 IBX65560 ILT65560 IVP65560 JFL65560 JPH65560 JZD65560 KIZ65560 KSV65560 LCR65560 LMN65560 LWJ65560 MGF65560 MQB65560 MZX65560 NJT65560 NTP65560 ODL65560 ONH65560 OXD65560 PGZ65560 PQV65560 QAR65560 QKN65560 QUJ65560 REF65560 ROB65560 RXX65560 SHT65560 SRP65560 TBL65560 TLH65560 TVD65560 UEZ65560 UOV65560 UYR65560 VIN65560 VSJ65560 WCF65560 WMB65560 WVX65560 P131091 JL131091 TH131091 ADD131091 AMZ131091 AWV131091 BGR131091 BQN131091 CAJ131091 CKF131091 CUB131091 DDX131091 DNT131091 DXP131091 EHL131091 ERH131091 FBD131091 FKZ131091 FUV131091 GER131091 GON131091 GYJ131091 HIF131091 HSB131091 IBX131091 ILT131091 IVP131091 JFL131091 JPH131091 JZD131091 KIZ131091 KSV131091 LCR131091 LMN131091 LWJ131091 MGF131091 MQB131091 MZX131091 NJT131091 NTP131091 ODL131091 ONH131091 OXD131091 PGZ131091 PQV131091 QAR131091 QKN131091 QUJ131091 REF131091 ROB131091 RXX131091 SHT131091 SRP131091 TBL131091 TLH131091 TVD131091 UEZ131091 UOV131091 UYR131091 VIN131091 VSJ131091 WCF131091 WMB131091 WVX131091 P131096 JL131096 TH131096 ADD131096 AMZ131096 AWV131096 BGR131096 BQN131096 CAJ131096 CKF131096 CUB131096 DDX131096 DNT131096 DXP131096 EHL131096 ERH131096 FBD131096 FKZ131096 FUV131096 GER131096 GON131096 GYJ131096 HIF131096 HSB131096 IBX131096 ILT131096 IVP131096 JFL131096 JPH131096 JZD131096 KIZ131096 KSV131096 LCR131096 LMN131096 LWJ131096 MGF131096 MQB131096 MZX131096 NJT131096 NTP131096 ODL131096 ONH131096 OXD131096 PGZ131096 PQV131096 QAR131096 QKN131096 QUJ131096 REF131096 ROB131096 RXX131096 SHT131096 SRP131096 TBL131096 TLH131096 TVD131096 UEZ131096 UOV131096 UYR131096 VIN131096 VSJ131096 WCF131096 WMB131096 WVX131096 P196627 JL196627 TH196627 ADD196627 AMZ196627 AWV196627 BGR196627 BQN196627 CAJ196627 CKF196627 CUB196627 DDX196627 DNT196627 DXP196627 EHL196627 ERH196627 FBD196627 FKZ196627 FUV196627 GER196627 GON196627 GYJ196627 HIF196627 HSB196627 IBX196627 ILT196627 IVP196627 JFL196627 JPH196627 JZD196627 KIZ196627 KSV196627 LCR196627 LMN196627 LWJ196627 MGF196627 MQB196627 MZX196627 NJT196627 NTP196627 ODL196627 ONH196627 OXD196627 PGZ196627 PQV196627 QAR196627 QKN196627 QUJ196627 REF196627 ROB196627 RXX196627 SHT196627 SRP196627 TBL196627 TLH196627 TVD196627 UEZ196627 UOV196627 UYR196627 VIN196627 VSJ196627 WCF196627 WMB196627 WVX196627 P196632 JL196632 TH196632 ADD196632 AMZ196632 AWV196632 BGR196632 BQN196632 CAJ196632 CKF196632 CUB196632 DDX196632 DNT196632 DXP196632 EHL196632 ERH196632 FBD196632 FKZ196632 FUV196632 GER196632 GON196632 GYJ196632 HIF196632 HSB196632 IBX196632 ILT196632 IVP196632 JFL196632 JPH196632 JZD196632 KIZ196632 KSV196632 LCR196632 LMN196632 LWJ196632 MGF196632 MQB196632 MZX196632 NJT196632 NTP196632 ODL196632 ONH196632 OXD196632 PGZ196632 PQV196632 QAR196632 QKN196632 QUJ196632 REF196632 ROB196632 RXX196632 SHT196632 SRP196632 TBL196632 TLH196632 TVD196632 UEZ196632 UOV196632 UYR196632 VIN196632 VSJ196632 WCF196632 WMB196632 WVX196632 P262163 JL262163 TH262163 ADD262163 AMZ262163 AWV262163 BGR262163 BQN262163 CAJ262163 CKF262163 CUB262163 DDX262163 DNT262163 DXP262163 EHL262163 ERH262163 FBD262163 FKZ262163 FUV262163 GER262163 GON262163 GYJ262163 HIF262163 HSB262163 IBX262163 ILT262163 IVP262163 JFL262163 JPH262163 JZD262163 KIZ262163 KSV262163 LCR262163 LMN262163 LWJ262163 MGF262163 MQB262163 MZX262163 NJT262163 NTP262163 ODL262163 ONH262163 OXD262163 PGZ262163 PQV262163 QAR262163 QKN262163 QUJ262163 REF262163 ROB262163 RXX262163 SHT262163 SRP262163 TBL262163 TLH262163 TVD262163 UEZ262163 UOV262163 UYR262163 VIN262163 VSJ262163 WCF262163 WMB262163 WVX262163 P262168 JL262168 TH262168 ADD262168 AMZ262168 AWV262168 BGR262168 BQN262168 CAJ262168 CKF262168 CUB262168 DDX262168 DNT262168 DXP262168 EHL262168 ERH262168 FBD262168 FKZ262168 FUV262168 GER262168 GON262168 GYJ262168 HIF262168 HSB262168 IBX262168 ILT262168 IVP262168 JFL262168 JPH262168 JZD262168 KIZ262168 KSV262168 LCR262168 LMN262168 LWJ262168 MGF262168 MQB262168 MZX262168 NJT262168 NTP262168 ODL262168 ONH262168 OXD262168 PGZ262168 PQV262168 QAR262168 QKN262168 QUJ262168 REF262168 ROB262168 RXX262168 SHT262168 SRP262168 TBL262168 TLH262168 TVD262168 UEZ262168 UOV262168 UYR262168 VIN262168 VSJ262168 WCF262168 WMB262168 WVX262168 P327699 JL327699 TH327699 ADD327699 AMZ327699 AWV327699 BGR327699 BQN327699 CAJ327699 CKF327699 CUB327699 DDX327699 DNT327699 DXP327699 EHL327699 ERH327699 FBD327699 FKZ327699 FUV327699 GER327699 GON327699 GYJ327699 HIF327699 HSB327699 IBX327699 ILT327699 IVP327699 JFL327699 JPH327699 JZD327699 KIZ327699 KSV327699 LCR327699 LMN327699 LWJ327699 MGF327699 MQB327699 MZX327699 NJT327699 NTP327699 ODL327699 ONH327699 OXD327699 PGZ327699 PQV327699 QAR327699 QKN327699 QUJ327699 REF327699 ROB327699 RXX327699 SHT327699 SRP327699 TBL327699 TLH327699 TVD327699 UEZ327699 UOV327699 UYR327699 VIN327699 VSJ327699 WCF327699 WMB327699 WVX327699 P327704 JL327704 TH327704 ADD327704 AMZ327704 AWV327704 BGR327704 BQN327704 CAJ327704 CKF327704 CUB327704 DDX327704 DNT327704 DXP327704 EHL327704 ERH327704 FBD327704 FKZ327704 FUV327704 GER327704 GON327704 GYJ327704 HIF327704 HSB327704 IBX327704 ILT327704 IVP327704 JFL327704 JPH327704 JZD327704 KIZ327704 KSV327704 LCR327704 LMN327704 LWJ327704 MGF327704 MQB327704 MZX327704 NJT327704 NTP327704 ODL327704 ONH327704 OXD327704 PGZ327704 PQV327704 QAR327704 QKN327704 QUJ327704 REF327704 ROB327704 RXX327704 SHT327704 SRP327704 TBL327704 TLH327704 TVD327704 UEZ327704 UOV327704 UYR327704 VIN327704 VSJ327704 WCF327704 WMB327704 WVX327704 P393235 JL393235 TH393235 ADD393235 AMZ393235 AWV393235 BGR393235 BQN393235 CAJ393235 CKF393235 CUB393235 DDX393235 DNT393235 DXP393235 EHL393235 ERH393235 FBD393235 FKZ393235 FUV393235 GER393235 GON393235 GYJ393235 HIF393235 HSB393235 IBX393235 ILT393235 IVP393235 JFL393235 JPH393235 JZD393235 KIZ393235 KSV393235 LCR393235 LMN393235 LWJ393235 MGF393235 MQB393235 MZX393235 NJT393235 NTP393235 ODL393235 ONH393235 OXD393235 PGZ393235 PQV393235 QAR393235 QKN393235 QUJ393235 REF393235 ROB393235 RXX393235 SHT393235 SRP393235 TBL393235 TLH393235 TVD393235 UEZ393235 UOV393235 UYR393235 VIN393235 VSJ393235 WCF393235 WMB393235 WVX393235 P393240 JL393240 TH393240 ADD393240 AMZ393240 AWV393240 BGR393240 BQN393240 CAJ393240 CKF393240 CUB393240 DDX393240 DNT393240 DXP393240 EHL393240 ERH393240 FBD393240 FKZ393240 FUV393240 GER393240 GON393240 GYJ393240 HIF393240 HSB393240 IBX393240 ILT393240 IVP393240 JFL393240 JPH393240 JZD393240 KIZ393240 KSV393240 LCR393240 LMN393240 LWJ393240 MGF393240 MQB393240 MZX393240 NJT393240 NTP393240 ODL393240 ONH393240 OXD393240 PGZ393240 PQV393240 QAR393240 QKN393240 QUJ393240 REF393240 ROB393240 RXX393240 SHT393240 SRP393240 TBL393240 TLH393240 TVD393240 UEZ393240 UOV393240 UYR393240 VIN393240 VSJ393240 WCF393240 WMB393240 WVX393240 P458771 JL458771 TH458771 ADD458771 AMZ458771 AWV458771 BGR458771 BQN458771 CAJ458771 CKF458771 CUB458771 DDX458771 DNT458771 DXP458771 EHL458771 ERH458771 FBD458771 FKZ458771 FUV458771 GER458771 GON458771 GYJ458771 HIF458771 HSB458771 IBX458771 ILT458771 IVP458771 JFL458771 JPH458771 JZD458771 KIZ458771 KSV458771 LCR458771 LMN458771 LWJ458771 MGF458771 MQB458771 MZX458771 NJT458771 NTP458771 ODL458771 ONH458771 OXD458771 PGZ458771 PQV458771 QAR458771 QKN458771 QUJ458771 REF458771 ROB458771 RXX458771 SHT458771 SRP458771 TBL458771 TLH458771 TVD458771 UEZ458771 UOV458771 UYR458771 VIN458771 VSJ458771 WCF458771 WMB458771 WVX458771 P458776 JL458776 TH458776 ADD458776 AMZ458776 AWV458776 BGR458776 BQN458776 CAJ458776 CKF458776 CUB458776 DDX458776 DNT458776 DXP458776 EHL458776 ERH458776 FBD458776 FKZ458776 FUV458776 GER458776 GON458776 GYJ458776 HIF458776 HSB458776 IBX458776 ILT458776 IVP458776 JFL458776 JPH458776 JZD458776 KIZ458776 KSV458776 LCR458776 LMN458776 LWJ458776 MGF458776 MQB458776 MZX458776 NJT458776 NTP458776 ODL458776 ONH458776 OXD458776 PGZ458776 PQV458776 QAR458776 QKN458776 QUJ458776 REF458776 ROB458776 RXX458776 SHT458776 SRP458776 TBL458776 TLH458776 TVD458776 UEZ458776 UOV458776 UYR458776 VIN458776 VSJ458776 WCF458776 WMB458776 WVX458776 P524307 JL524307 TH524307 ADD524307 AMZ524307 AWV524307 BGR524307 BQN524307 CAJ524307 CKF524307 CUB524307 DDX524307 DNT524307 DXP524307 EHL524307 ERH524307 FBD524307 FKZ524307 FUV524307 GER524307 GON524307 GYJ524307 HIF524307 HSB524307 IBX524307 ILT524307 IVP524307 JFL524307 JPH524307 JZD524307 KIZ524307 KSV524307 LCR524307 LMN524307 LWJ524307 MGF524307 MQB524307 MZX524307 NJT524307 NTP524307 ODL524307 ONH524307 OXD524307 PGZ524307 PQV524307 QAR524307 QKN524307 QUJ524307 REF524307 ROB524307 RXX524307 SHT524307 SRP524307 TBL524307 TLH524307 TVD524307 UEZ524307 UOV524307 UYR524307 VIN524307 VSJ524307 WCF524307 WMB524307 WVX524307 P524312 JL524312 TH524312 ADD524312 AMZ524312 AWV524312 BGR524312 BQN524312 CAJ524312 CKF524312 CUB524312 DDX524312 DNT524312 DXP524312 EHL524312 ERH524312 FBD524312 FKZ524312 FUV524312 GER524312 GON524312 GYJ524312 HIF524312 HSB524312 IBX524312 ILT524312 IVP524312 JFL524312 JPH524312 JZD524312 KIZ524312 KSV524312 LCR524312 LMN524312 LWJ524312 MGF524312 MQB524312 MZX524312 NJT524312 NTP524312 ODL524312 ONH524312 OXD524312 PGZ524312 PQV524312 QAR524312 QKN524312 QUJ524312 REF524312 ROB524312 RXX524312 SHT524312 SRP524312 TBL524312 TLH524312 TVD524312 UEZ524312 UOV524312 UYR524312 VIN524312 VSJ524312 WCF524312 WMB524312 WVX524312 P589843 JL589843 TH589843 ADD589843 AMZ589843 AWV589843 BGR589843 BQN589843 CAJ589843 CKF589843 CUB589843 DDX589843 DNT589843 DXP589843 EHL589843 ERH589843 FBD589843 FKZ589843 FUV589843 GER589843 GON589843 GYJ589843 HIF589843 HSB589843 IBX589843 ILT589843 IVP589843 JFL589843 JPH589843 JZD589843 KIZ589843 KSV589843 LCR589843 LMN589843 LWJ589843 MGF589843 MQB589843 MZX589843 NJT589843 NTP589843 ODL589843 ONH589843 OXD589843 PGZ589843 PQV589843 QAR589843 QKN589843 QUJ589843 REF589843 ROB589843 RXX589843 SHT589843 SRP589843 TBL589843 TLH589843 TVD589843 UEZ589843 UOV589843 UYR589843 VIN589843 VSJ589843 WCF589843 WMB589843 WVX589843 P589848 JL589848 TH589848 ADD589848 AMZ589848 AWV589848 BGR589848 BQN589848 CAJ589848 CKF589848 CUB589848 DDX589848 DNT589848 DXP589848 EHL589848 ERH589848 FBD589848 FKZ589848 FUV589848 GER589848 GON589848 GYJ589848 HIF589848 HSB589848 IBX589848 ILT589848 IVP589848 JFL589848 JPH589848 JZD589848 KIZ589848 KSV589848 LCR589848 LMN589848 LWJ589848 MGF589848 MQB589848 MZX589848 NJT589848 NTP589848 ODL589848 ONH589848 OXD589848 PGZ589848 PQV589848 QAR589848 QKN589848 QUJ589848 REF589848 ROB589848 RXX589848 SHT589848 SRP589848 TBL589848 TLH589848 TVD589848 UEZ589848 UOV589848 UYR589848 VIN589848 VSJ589848 WCF589848 WMB589848 WVX589848 P655379 JL655379 TH655379 ADD655379 AMZ655379 AWV655379 BGR655379 BQN655379 CAJ655379 CKF655379 CUB655379 DDX655379 DNT655379 DXP655379 EHL655379 ERH655379 FBD655379 FKZ655379 FUV655379 GER655379 GON655379 GYJ655379 HIF655379 HSB655379 IBX655379 ILT655379 IVP655379 JFL655379 JPH655379 JZD655379 KIZ655379 KSV655379 LCR655379 LMN655379 LWJ655379 MGF655379 MQB655379 MZX655379 NJT655379 NTP655379 ODL655379 ONH655379 OXD655379 PGZ655379 PQV655379 QAR655379 QKN655379 QUJ655379 REF655379 ROB655379 RXX655379 SHT655379 SRP655379 TBL655379 TLH655379 TVD655379 UEZ655379 UOV655379 UYR655379 VIN655379 VSJ655379 WCF655379 WMB655379 WVX655379 P655384 JL655384 TH655384 ADD655384 AMZ655384 AWV655384 BGR655384 BQN655384 CAJ655384 CKF655384 CUB655384 DDX655384 DNT655384 DXP655384 EHL655384 ERH655384 FBD655384 FKZ655384 FUV655384 GER655384 GON655384 GYJ655384 HIF655384 HSB655384 IBX655384 ILT655384 IVP655384 JFL655384 JPH655384 JZD655384 KIZ655384 KSV655384 LCR655384 LMN655384 LWJ655384 MGF655384 MQB655384 MZX655384 NJT655384 NTP655384 ODL655384 ONH655384 OXD655384 PGZ655384 PQV655384 QAR655384 QKN655384 QUJ655384 REF655384 ROB655384 RXX655384 SHT655384 SRP655384 TBL655384 TLH655384 TVD655384 UEZ655384 UOV655384 UYR655384 VIN655384 VSJ655384 WCF655384 WMB655384 WVX655384 P720915 JL720915 TH720915 ADD720915 AMZ720915 AWV720915 BGR720915 BQN720915 CAJ720915 CKF720915 CUB720915 DDX720915 DNT720915 DXP720915 EHL720915 ERH720915 FBD720915 FKZ720915 FUV720915 GER720915 GON720915 GYJ720915 HIF720915 HSB720915 IBX720915 ILT720915 IVP720915 JFL720915 JPH720915 JZD720915 KIZ720915 KSV720915 LCR720915 LMN720915 LWJ720915 MGF720915 MQB720915 MZX720915 NJT720915 NTP720915 ODL720915 ONH720915 OXD720915 PGZ720915 PQV720915 QAR720915 QKN720915 QUJ720915 REF720915 ROB720915 RXX720915 SHT720915 SRP720915 TBL720915 TLH720915 TVD720915 UEZ720915 UOV720915 UYR720915 VIN720915 VSJ720915 WCF720915 WMB720915 WVX720915 P720920 JL720920 TH720920 ADD720920 AMZ720920 AWV720920 BGR720920 BQN720920 CAJ720920 CKF720920 CUB720920 DDX720920 DNT720920 DXP720920 EHL720920 ERH720920 FBD720920 FKZ720920 FUV720920 GER720920 GON720920 GYJ720920 HIF720920 HSB720920 IBX720920 ILT720920 IVP720920 JFL720920 JPH720920 JZD720920 KIZ720920 KSV720920 LCR720920 LMN720920 LWJ720920 MGF720920 MQB720920 MZX720920 NJT720920 NTP720920 ODL720920 ONH720920 OXD720920 PGZ720920 PQV720920 QAR720920 QKN720920 QUJ720920 REF720920 ROB720920 RXX720920 SHT720920 SRP720920 TBL720920 TLH720920 TVD720920 UEZ720920 UOV720920 UYR720920 VIN720920 VSJ720920 WCF720920 WMB720920 WVX720920 P786451 JL786451 TH786451 ADD786451 AMZ786451 AWV786451 BGR786451 BQN786451 CAJ786451 CKF786451 CUB786451 DDX786451 DNT786451 DXP786451 EHL786451 ERH786451 FBD786451 FKZ786451 FUV786451 GER786451 GON786451 GYJ786451 HIF786451 HSB786451 IBX786451 ILT786451 IVP786451 JFL786451 JPH786451 JZD786451 KIZ786451 KSV786451 LCR786451 LMN786451 LWJ786451 MGF786451 MQB786451 MZX786451 NJT786451 NTP786451 ODL786451 ONH786451 OXD786451 PGZ786451 PQV786451 QAR786451 QKN786451 QUJ786451 REF786451 ROB786451 RXX786451 SHT786451 SRP786451 TBL786451 TLH786451 TVD786451 UEZ786451 UOV786451 UYR786451 VIN786451 VSJ786451 WCF786451 WMB786451 WVX786451 P786456 JL786456 TH786456 ADD786456 AMZ786456 AWV786456 BGR786456 BQN786456 CAJ786456 CKF786456 CUB786456 DDX786456 DNT786456 DXP786456 EHL786456 ERH786456 FBD786456 FKZ786456 FUV786456 GER786456 GON786456 GYJ786456 HIF786456 HSB786456 IBX786456 ILT786456 IVP786456 JFL786456 JPH786456 JZD786456 KIZ786456 KSV786456 LCR786456 LMN786456 LWJ786456 MGF786456 MQB786456 MZX786456 NJT786456 NTP786456 ODL786456 ONH786456 OXD786456 PGZ786456 PQV786456 QAR786456 QKN786456 QUJ786456 REF786456 ROB786456 RXX786456 SHT786456 SRP786456 TBL786456 TLH786456 TVD786456 UEZ786456 UOV786456 UYR786456 VIN786456 VSJ786456 WCF786456 WMB786456 WVX786456 P851987 JL851987 TH851987 ADD851987 AMZ851987 AWV851987 BGR851987 BQN851987 CAJ851987 CKF851987 CUB851987 DDX851987 DNT851987 DXP851987 EHL851987 ERH851987 FBD851987 FKZ851987 FUV851987 GER851987 GON851987 GYJ851987 HIF851987 HSB851987 IBX851987 ILT851987 IVP851987 JFL851987 JPH851987 JZD851987 KIZ851987 KSV851987 LCR851987 LMN851987 LWJ851987 MGF851987 MQB851987 MZX851987 NJT851987 NTP851987 ODL851987 ONH851987 OXD851987 PGZ851987 PQV851987 QAR851987 QKN851987 QUJ851987 REF851987 ROB851987 RXX851987 SHT851987 SRP851987 TBL851987 TLH851987 TVD851987 UEZ851987 UOV851987 UYR851987 VIN851987 VSJ851987 WCF851987 WMB851987 WVX851987 P851992 JL851992 TH851992 ADD851992 AMZ851992 AWV851992 BGR851992 BQN851992 CAJ851992 CKF851992 CUB851992 DDX851992 DNT851992 DXP851992 EHL851992 ERH851992 FBD851992 FKZ851992 FUV851992 GER851992 GON851992 GYJ851992 HIF851992 HSB851992 IBX851992 ILT851992 IVP851992 JFL851992 JPH851992 JZD851992 KIZ851992 KSV851992 LCR851992 LMN851992 LWJ851992 MGF851992 MQB851992 MZX851992 NJT851992 NTP851992 ODL851992 ONH851992 OXD851992 PGZ851992 PQV851992 QAR851992 QKN851992 QUJ851992 REF851992 ROB851992 RXX851992 SHT851992 SRP851992 TBL851992 TLH851992 TVD851992 UEZ851992 UOV851992 UYR851992 VIN851992 VSJ851992 WCF851992 WMB851992 WVX851992 P917523 JL917523 TH917523 ADD917523 AMZ917523 AWV917523 BGR917523 BQN917523 CAJ917523 CKF917523 CUB917523 DDX917523 DNT917523 DXP917523 EHL917523 ERH917523 FBD917523 FKZ917523 FUV917523 GER917523 GON917523 GYJ917523 HIF917523 HSB917523 IBX917523 ILT917523 IVP917523 JFL917523 JPH917523 JZD917523 KIZ917523 KSV917523 LCR917523 LMN917523 LWJ917523 MGF917523 MQB917523 MZX917523 NJT917523 NTP917523 ODL917523 ONH917523 OXD917523 PGZ917523 PQV917523 QAR917523 QKN917523 QUJ917523 REF917523 ROB917523 RXX917523 SHT917523 SRP917523 TBL917523 TLH917523 TVD917523 UEZ917523 UOV917523 UYR917523 VIN917523 VSJ917523 WCF917523 WMB917523 WVX917523 P917528 JL917528 TH917528 ADD917528 AMZ917528 AWV917528 BGR917528 BQN917528 CAJ917528 CKF917528 CUB917528 DDX917528 DNT917528 DXP917528 EHL917528 ERH917528 FBD917528 FKZ917528 FUV917528 GER917528 GON917528 GYJ917528 HIF917528 HSB917528 IBX917528 ILT917528 IVP917528 JFL917528 JPH917528 JZD917528 KIZ917528 KSV917528 LCR917528 LMN917528 LWJ917528 MGF917528 MQB917528 MZX917528 NJT917528 NTP917528 ODL917528 ONH917528 OXD917528 PGZ917528 PQV917528 QAR917528 QKN917528 QUJ917528 REF917528 ROB917528 RXX917528 SHT917528 SRP917528 TBL917528 TLH917528 TVD917528 UEZ917528 UOV917528 UYR917528 VIN917528 VSJ917528 WCF917528 WMB917528 WVX917528 P983059 JL983059 TH983059 ADD983059 AMZ983059 AWV983059 BGR983059 BQN983059 CAJ983059 CKF983059 CUB983059 DDX983059 DNT983059 DXP983059 EHL983059 ERH983059 FBD983059 FKZ983059 FUV983059 GER983059 GON983059 GYJ983059 HIF983059 HSB983059 IBX983059 ILT983059 IVP983059 JFL983059 JPH983059 JZD983059 KIZ983059 KSV983059 LCR983059 LMN983059 LWJ983059 MGF983059 MQB983059 MZX983059 NJT983059 NTP983059 ODL983059 ONH983059 OXD983059 PGZ983059 PQV983059 QAR983059 QKN983059 QUJ983059 REF983059 ROB983059 RXX983059 SHT983059 SRP983059 TBL983059 TLH983059 TVD983059 UEZ983059 UOV983059 UYR983059 VIN983059 VSJ983059 WCF983059 WMB983059 WVX983059 P983064 JL983064 TH983064 ADD983064 AMZ983064 AWV983064 BGR983064 BQN983064 CAJ983064 CKF983064 CUB983064 DDX983064 DNT983064 DXP983064 EHL983064 ERH983064 FBD983064 FKZ983064 FUV983064 GER983064 GON983064 GYJ983064 HIF983064 HSB983064 IBX983064 ILT983064 IVP983064 JFL983064 JPH983064 JZD983064 KIZ983064 KSV983064 LCR983064 LMN983064 LWJ983064 MGF983064 MQB983064 MZX983064 NJT983064 NTP983064 ODL983064 ONH983064 OXD983064 PGZ983064 PQV983064 QAR983064 QKN983064 QUJ983064 REF983064 ROB983064 RXX983064 SHT983064 SRP983064 TBL983064 TLH983064 TVD983064 UEZ983064 UOV983064 UYR983064 VIN983064 VSJ983064 WCF983064 WMB983064 WVX983064">
      <formula1>"按明细,按比例"</formula1>
    </dataValidation>
  </dataValidations>
  <pageMargins left="0.7" right="0.7" top="0.75" bottom="0.75" header="0.3" footer="0.3"/>
  <pageSetup paperSize="9" orientation="portrait"/>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3">
    <tabColor rgb="FF92D050"/>
  </sheetPr>
  <dimension ref="A1:AS527"/>
  <sheetViews>
    <sheetView view="pageBreakPreview" zoomScale="80" zoomScaleNormal="90" workbookViewId="0">
      <pane ySplit="27" topLeftCell="A28" activePane="bottomLeft" state="frozen"/>
      <selection/>
      <selection pane="bottomLeft" activeCell="B36" sqref="B36"/>
    </sheetView>
  </sheetViews>
  <sheetFormatPr defaultColWidth="9" defaultRowHeight="12.75"/>
  <cols>
    <col min="1" max="1" width="12.375" style="1709" customWidth="1"/>
    <col min="2" max="2" width="12.125" style="1710" customWidth="1"/>
    <col min="3" max="3" width="5" style="1710" customWidth="1"/>
    <col min="4" max="4" width="9" style="1710"/>
    <col min="5" max="5" width="5" style="1710" customWidth="1"/>
    <col min="6" max="6" width="9" style="1710"/>
    <col min="7" max="7" width="5" style="1710" customWidth="1"/>
    <col min="8" max="8" width="9" style="1710"/>
    <col min="9" max="9" width="5" style="1710" customWidth="1"/>
    <col min="10" max="10" width="9" style="1710"/>
    <col min="11" max="11" width="5" style="1710" customWidth="1"/>
    <col min="12" max="12" width="9" style="1710"/>
    <col min="13" max="13" width="5" style="1710" customWidth="1"/>
    <col min="14" max="14" width="9" style="1710"/>
    <col min="15" max="15" width="5" style="1710" customWidth="1"/>
    <col min="16" max="16" width="9" style="1710"/>
    <col min="17" max="17" width="5" style="1710" customWidth="1"/>
    <col min="18" max="18" width="9" style="1711"/>
    <col min="19" max="19" width="13" style="1709" customWidth="1"/>
    <col min="20" max="20" width="9" style="1712"/>
    <col min="21" max="22" width="9" style="1713"/>
    <col min="23" max="23" width="9" style="1712"/>
    <col min="24" max="25" width="9" style="1713"/>
    <col min="26" max="44" width="9" style="1712"/>
    <col min="45" max="16384" width="9" style="1709"/>
  </cols>
  <sheetData>
    <row r="1" ht="20.25" spans="1:25">
      <c r="A1" s="716" t="s">
        <v>1441</v>
      </c>
      <c r="B1" s="1714"/>
      <c r="C1" s="1715"/>
      <c r="D1" s="1715"/>
      <c r="E1" s="1715"/>
      <c r="F1" s="1715"/>
      <c r="G1" s="1715"/>
      <c r="H1" s="1715"/>
      <c r="I1" s="1715"/>
      <c r="J1" s="1715"/>
      <c r="K1" s="1715"/>
      <c r="L1" s="1715"/>
      <c r="M1" s="1715"/>
      <c r="N1" s="1715"/>
      <c r="O1" s="1715"/>
      <c r="P1" s="1715"/>
      <c r="Q1" s="1715"/>
      <c r="R1" s="1799"/>
      <c r="S1" s="1755"/>
      <c r="T1" s="1755"/>
      <c r="U1" s="1800"/>
      <c r="V1" s="1800"/>
      <c r="X1" s="1800"/>
      <c r="Y1" s="1800"/>
    </row>
    <row r="2" ht="14.25" spans="1:25">
      <c r="A2" s="721" t="s">
        <v>868</v>
      </c>
      <c r="B2" s="1716">
        <f ca="1">B23</f>
        <v>38130532</v>
      </c>
      <c r="C2" s="1717" t="str">
        <f>C23</f>
        <v>元</v>
      </c>
      <c r="D2" s="1715"/>
      <c r="E2" s="1715"/>
      <c r="F2" s="1715"/>
      <c r="G2" s="1715"/>
      <c r="H2" s="1715"/>
      <c r="I2" s="1715"/>
      <c r="J2" s="1715"/>
      <c r="K2" s="1715"/>
      <c r="L2" s="1715"/>
      <c r="M2" s="1715"/>
      <c r="N2" s="1715"/>
      <c r="O2" s="1715"/>
      <c r="P2" s="1715"/>
      <c r="Q2" s="1715"/>
      <c r="R2" s="1799"/>
      <c r="S2" s="1755"/>
      <c r="T2" s="1755"/>
      <c r="U2" s="1800"/>
      <c r="V2" s="1800"/>
      <c r="X2" s="1800"/>
      <c r="Y2" s="1800"/>
    </row>
    <row r="3" ht="14.25" spans="1:25">
      <c r="A3" s="726" t="s">
        <v>869</v>
      </c>
      <c r="B3" s="1716">
        <f ca="1">B24</f>
        <v>773580004</v>
      </c>
      <c r="C3" s="1717" t="s">
        <v>1442</v>
      </c>
      <c r="D3" s="1715"/>
      <c r="E3" s="1715"/>
      <c r="F3" s="1715"/>
      <c r="G3" s="1715"/>
      <c r="H3" s="1715"/>
      <c r="I3" s="1715"/>
      <c r="J3" s="1715"/>
      <c r="K3" s="1715"/>
      <c r="L3" s="1715"/>
      <c r="M3" s="1715"/>
      <c r="N3" s="1715"/>
      <c r="O3" s="1715"/>
      <c r="P3" s="1715"/>
      <c r="Q3" s="1715"/>
      <c r="R3" s="1799"/>
      <c r="S3" s="1755"/>
      <c r="T3" s="1755"/>
      <c r="U3" s="1800"/>
      <c r="V3" s="1800"/>
      <c r="X3" s="1800"/>
      <c r="Y3" s="1800"/>
    </row>
    <row r="4" ht="14.25" customHeight="1" spans="1:25">
      <c r="A4" s="1718"/>
      <c r="B4" s="1719" t="s">
        <v>1443</v>
      </c>
      <c r="C4" s="1720" t="s">
        <v>1444</v>
      </c>
      <c r="D4" s="1721"/>
      <c r="E4" s="1721"/>
      <c r="F4" s="1721"/>
      <c r="G4" s="1721"/>
      <c r="H4" s="1721"/>
      <c r="I4" s="1721"/>
      <c r="J4" s="1721"/>
      <c r="K4" s="1721"/>
      <c r="L4" s="1721"/>
      <c r="M4" s="1721"/>
      <c r="N4" s="1721"/>
      <c r="O4" s="1721"/>
      <c r="P4" s="1721"/>
      <c r="Q4" s="1721"/>
      <c r="R4" s="1721"/>
      <c r="S4" s="1801"/>
      <c r="T4" s="1719" t="s">
        <v>1445</v>
      </c>
      <c r="U4" s="1800"/>
      <c r="V4" s="1800"/>
      <c r="X4" s="1800"/>
      <c r="Y4" s="1800"/>
    </row>
    <row r="5" s="1704" customFormat="1" ht="38.25" spans="1:44">
      <c r="A5" s="1722"/>
      <c r="B5" s="1723" t="s">
        <v>357</v>
      </c>
      <c r="C5" s="1724" t="str">
        <f t="shared" ref="C5:L5" si="0">C6&amp;"(含)"&amp;"-"&amp;D6</f>
        <v>200(含)-300</v>
      </c>
      <c r="D5" s="1725" t="str">
        <f t="shared" si="0"/>
        <v>300(含)-</v>
      </c>
      <c r="E5" s="1725" t="str">
        <f t="shared" si="0"/>
        <v>(含)-</v>
      </c>
      <c r="F5" s="1725" t="str">
        <f t="shared" si="0"/>
        <v>(含)-</v>
      </c>
      <c r="G5" s="1725" t="str">
        <f t="shared" si="0"/>
        <v>(含)-</v>
      </c>
      <c r="H5" s="1725" t="str">
        <f t="shared" si="0"/>
        <v>(含)-</v>
      </c>
      <c r="I5" s="1725" t="str">
        <f t="shared" si="0"/>
        <v>(含)-</v>
      </c>
      <c r="J5" s="1725" t="str">
        <f t="shared" si="0"/>
        <v>(含)-</v>
      </c>
      <c r="K5" s="1725" t="str">
        <f t="shared" si="0"/>
        <v>(含)-</v>
      </c>
      <c r="L5" s="1725" t="str">
        <f t="shared" si="0"/>
        <v>(含)-</v>
      </c>
      <c r="M5" s="1725" t="str">
        <f t="shared" ref="M5" si="1">M6&amp;"(含)"&amp;"-"&amp;N6</f>
        <v>(含)-</v>
      </c>
      <c r="N5" s="1725" t="str">
        <f t="shared" ref="N5" si="2">N6&amp;"(含)"&amp;"-"&amp;O6</f>
        <v>(含)-</v>
      </c>
      <c r="O5" s="1725" t="str">
        <f t="shared" ref="O5" si="3">O6&amp;"(含)"&amp;"-"&amp;P6</f>
        <v>(含)-</v>
      </c>
      <c r="P5" s="1725" t="str">
        <f t="shared" ref="P5" si="4">P6&amp;"(含)"&amp;"-"&amp;Q6</f>
        <v>(含)-</v>
      </c>
      <c r="Q5" s="1725" t="str">
        <f t="shared" ref="Q5" si="5">Q6&amp;"(含)"&amp;"-"&amp;R6</f>
        <v>(含)-</v>
      </c>
      <c r="R5" s="1725" t="str">
        <f t="shared" ref="R5" si="6">R6&amp;"(含)"&amp;"-"&amp;S6</f>
        <v>(含)-</v>
      </c>
      <c r="S5" s="1802" t="str">
        <f>S6&amp;"(含)"&amp;"-"</f>
        <v>(含)-</v>
      </c>
      <c r="T5" s="1803"/>
      <c r="U5" s="1804"/>
      <c r="V5" s="1804"/>
      <c r="W5" s="1805"/>
      <c r="X5" s="1804"/>
      <c r="Y5" s="1804"/>
      <c r="Z5" s="1805"/>
      <c r="AA5" s="1805"/>
      <c r="AB5" s="1805"/>
      <c r="AC5" s="1805"/>
      <c r="AD5" s="1805"/>
      <c r="AE5" s="1805"/>
      <c r="AF5" s="1805"/>
      <c r="AG5" s="1805"/>
      <c r="AH5" s="1805"/>
      <c r="AI5" s="1805"/>
      <c r="AJ5" s="1805"/>
      <c r="AK5" s="1805"/>
      <c r="AL5" s="1805"/>
      <c r="AM5" s="1805"/>
      <c r="AN5" s="1805"/>
      <c r="AO5" s="1805"/>
      <c r="AP5" s="1805"/>
      <c r="AQ5" s="1805"/>
      <c r="AR5" s="1805"/>
    </row>
    <row r="6" s="1705" customFormat="1" ht="14.25" spans="1:44">
      <c r="A6" s="1726"/>
      <c r="B6" s="1727"/>
      <c r="C6" s="1330">
        <v>200</v>
      </c>
      <c r="D6" s="1330">
        <v>300</v>
      </c>
      <c r="E6" s="1728"/>
      <c r="F6" s="1728"/>
      <c r="G6" s="1728"/>
      <c r="H6" s="1728"/>
      <c r="I6" s="1728"/>
      <c r="J6" s="1772"/>
      <c r="K6" s="1772"/>
      <c r="L6" s="1773"/>
      <c r="M6" s="1774"/>
      <c r="N6" s="1775"/>
      <c r="O6" s="1728"/>
      <c r="P6" s="1728"/>
      <c r="Q6" s="1728"/>
      <c r="R6" s="1728"/>
      <c r="S6" s="1806"/>
      <c r="T6" s="1807"/>
      <c r="U6" s="1804"/>
      <c r="V6" s="1804"/>
      <c r="W6" s="1808"/>
      <c r="X6" s="1804"/>
      <c r="Y6" s="1804"/>
      <c r="Z6" s="1808"/>
      <c r="AA6" s="1808"/>
      <c r="AB6" s="1808"/>
      <c r="AC6" s="1808"/>
      <c r="AD6" s="1808"/>
      <c r="AE6" s="1808"/>
      <c r="AF6" s="1808"/>
      <c r="AG6" s="1808"/>
      <c r="AH6" s="1808"/>
      <c r="AI6" s="1808"/>
      <c r="AJ6" s="1808"/>
      <c r="AK6" s="1808"/>
      <c r="AL6" s="1808"/>
      <c r="AM6" s="1808"/>
      <c r="AN6" s="1808"/>
      <c r="AO6" s="1808"/>
      <c r="AP6" s="1808"/>
      <c r="AQ6" s="1808"/>
      <c r="AR6" s="1808"/>
    </row>
    <row r="7" s="1705" customFormat="1" ht="15" spans="1:44">
      <c r="A7" s="1729"/>
      <c r="B7" s="1730"/>
      <c r="C7" s="1354">
        <v>100</v>
      </c>
      <c r="D7" s="1344"/>
      <c r="E7" s="1731"/>
      <c r="F7" s="1731"/>
      <c r="G7" s="1731"/>
      <c r="H7" s="1731"/>
      <c r="I7" s="1731"/>
      <c r="J7" s="1731"/>
      <c r="K7" s="1731"/>
      <c r="L7" s="1731"/>
      <c r="M7" s="1776"/>
      <c r="N7" s="1777"/>
      <c r="O7" s="1731"/>
      <c r="P7" s="1731"/>
      <c r="Q7" s="1731"/>
      <c r="R7" s="1731"/>
      <c r="S7" s="1809"/>
      <c r="T7" s="1810"/>
      <c r="U7" s="1804"/>
      <c r="V7" s="1804"/>
      <c r="W7" s="1808"/>
      <c r="X7" s="1804"/>
      <c r="Y7" s="1804"/>
      <c r="Z7" s="1808"/>
      <c r="AA7" s="1808"/>
      <c r="AB7" s="1808"/>
      <c r="AC7" s="1808"/>
      <c r="AD7" s="1808"/>
      <c r="AE7" s="1808"/>
      <c r="AF7" s="1808"/>
      <c r="AG7" s="1808"/>
      <c r="AH7" s="1808"/>
      <c r="AI7" s="1808"/>
      <c r="AJ7" s="1808"/>
      <c r="AK7" s="1808"/>
      <c r="AL7" s="1808"/>
      <c r="AM7" s="1808"/>
      <c r="AN7" s="1808"/>
      <c r="AO7" s="1808"/>
      <c r="AP7" s="1808"/>
      <c r="AQ7" s="1808"/>
      <c r="AR7" s="1808"/>
    </row>
    <row r="8" s="1706" customFormat="1" ht="13.5" spans="1:44">
      <c r="A8" s="1732"/>
      <c r="B8" s="1733" t="s">
        <v>1446</v>
      </c>
      <c r="C8" s="1734"/>
      <c r="D8" s="1735"/>
      <c r="E8" s="1735"/>
      <c r="F8" s="1735"/>
      <c r="G8" s="1735"/>
      <c r="H8" s="1735"/>
      <c r="I8" s="1735"/>
      <c r="J8" s="1735"/>
      <c r="K8" s="1735"/>
      <c r="L8" s="1778"/>
      <c r="M8" s="1779"/>
      <c r="N8" s="1779"/>
      <c r="O8" s="1735"/>
      <c r="P8" s="1735"/>
      <c r="Q8" s="1735"/>
      <c r="R8" s="1735"/>
      <c r="S8" s="1811"/>
      <c r="T8" s="1812"/>
      <c r="U8" s="1804"/>
      <c r="V8" s="1804"/>
      <c r="W8" s="1813"/>
      <c r="X8" s="1804"/>
      <c r="Y8" s="1804"/>
      <c r="Z8" s="1813"/>
      <c r="AA8" s="1813"/>
      <c r="AB8" s="1813"/>
      <c r="AC8" s="1813"/>
      <c r="AD8" s="1813"/>
      <c r="AE8" s="1813"/>
      <c r="AF8" s="1813"/>
      <c r="AG8" s="1813"/>
      <c r="AH8" s="1813"/>
      <c r="AI8" s="1813"/>
      <c r="AJ8" s="1813"/>
      <c r="AK8" s="1813"/>
      <c r="AL8" s="1813"/>
      <c r="AM8" s="1813"/>
      <c r="AN8" s="1813"/>
      <c r="AO8" s="1813"/>
      <c r="AP8" s="1813"/>
      <c r="AQ8" s="1813"/>
      <c r="AR8" s="1813"/>
    </row>
    <row r="9" s="1706" customFormat="1" ht="13.5" spans="1:44">
      <c r="A9" s="1732"/>
      <c r="B9" s="1736"/>
      <c r="C9" s="1737">
        <v>100</v>
      </c>
      <c r="D9" s="1738">
        <f t="shared" ref="D9:S9" si="7">C9-$T$8</f>
        <v>100</v>
      </c>
      <c r="E9" s="1738">
        <f t="shared" si="7"/>
        <v>100</v>
      </c>
      <c r="F9" s="1738">
        <f t="shared" si="7"/>
        <v>100</v>
      </c>
      <c r="G9" s="1738">
        <f t="shared" si="7"/>
        <v>100</v>
      </c>
      <c r="H9" s="1738">
        <f t="shared" si="7"/>
        <v>100</v>
      </c>
      <c r="I9" s="1738">
        <f t="shared" si="7"/>
        <v>100</v>
      </c>
      <c r="J9" s="1738">
        <f t="shared" si="7"/>
        <v>100</v>
      </c>
      <c r="K9" s="1738">
        <f t="shared" si="7"/>
        <v>100</v>
      </c>
      <c r="L9" s="1738">
        <f t="shared" si="7"/>
        <v>100</v>
      </c>
      <c r="M9" s="1780">
        <f t="shared" si="7"/>
        <v>100</v>
      </c>
      <c r="N9" s="1780">
        <f t="shared" si="7"/>
        <v>100</v>
      </c>
      <c r="O9" s="1738">
        <f t="shared" si="7"/>
        <v>100</v>
      </c>
      <c r="P9" s="1738">
        <f t="shared" si="7"/>
        <v>100</v>
      </c>
      <c r="Q9" s="1738">
        <f t="shared" si="7"/>
        <v>100</v>
      </c>
      <c r="R9" s="1738">
        <f t="shared" si="7"/>
        <v>100</v>
      </c>
      <c r="S9" s="1814">
        <f t="shared" si="7"/>
        <v>100</v>
      </c>
      <c r="T9" s="1815"/>
      <c r="U9" s="1804"/>
      <c r="V9" s="1804"/>
      <c r="W9" s="1813"/>
      <c r="X9" s="1804"/>
      <c r="Y9" s="1804"/>
      <c r="Z9" s="1813"/>
      <c r="AA9" s="1813"/>
      <c r="AB9" s="1813"/>
      <c r="AC9" s="1813"/>
      <c r="AD9" s="1813"/>
      <c r="AE9" s="1813"/>
      <c r="AF9" s="1813"/>
      <c r="AG9" s="1813"/>
      <c r="AH9" s="1813"/>
      <c r="AI9" s="1813"/>
      <c r="AJ9" s="1813"/>
      <c r="AK9" s="1813"/>
      <c r="AL9" s="1813"/>
      <c r="AM9" s="1813"/>
      <c r="AN9" s="1813"/>
      <c r="AO9" s="1813"/>
      <c r="AP9" s="1813"/>
      <c r="AQ9" s="1813"/>
      <c r="AR9" s="1813"/>
    </row>
    <row r="10" s="1706" customFormat="1" spans="1:44">
      <c r="A10" s="1732"/>
      <c r="B10" s="1739" t="s">
        <v>1447</v>
      </c>
      <c r="C10" s="1740"/>
      <c r="D10" s="1741"/>
      <c r="E10" s="1741"/>
      <c r="F10" s="1741"/>
      <c r="G10" s="1741"/>
      <c r="H10" s="1741"/>
      <c r="I10" s="1741"/>
      <c r="J10" s="1741"/>
      <c r="K10" s="1741"/>
      <c r="L10" s="1741"/>
      <c r="M10" s="1781"/>
      <c r="N10" s="1782"/>
      <c r="O10" s="1783"/>
      <c r="P10" s="1784"/>
      <c r="Q10" s="1816"/>
      <c r="R10" s="1817"/>
      <c r="S10" s="1818"/>
      <c r="T10" s="1819"/>
      <c r="U10" s="1804"/>
      <c r="V10" s="1804"/>
      <c r="W10" s="1813"/>
      <c r="X10" s="1804"/>
      <c r="Y10" s="1804"/>
      <c r="Z10" s="1813"/>
      <c r="AA10" s="1813"/>
      <c r="AB10" s="1813"/>
      <c r="AC10" s="1813"/>
      <c r="AD10" s="1813"/>
      <c r="AE10" s="1813"/>
      <c r="AF10" s="1813"/>
      <c r="AG10" s="1813"/>
      <c r="AH10" s="1813"/>
      <c r="AI10" s="1813"/>
      <c r="AJ10" s="1813"/>
      <c r="AK10" s="1813"/>
      <c r="AL10" s="1813"/>
      <c r="AM10" s="1813"/>
      <c r="AN10" s="1813"/>
      <c r="AO10" s="1813"/>
      <c r="AP10" s="1813"/>
      <c r="AQ10" s="1813"/>
      <c r="AR10" s="1813"/>
    </row>
    <row r="11" s="1706" customFormat="1" ht="13.5" spans="1:44">
      <c r="A11" s="1732"/>
      <c r="B11" s="1736"/>
      <c r="C11" s="1737">
        <v>100</v>
      </c>
      <c r="D11" s="1738">
        <f t="shared" ref="D11:M11" si="8">C11-$T$10</f>
        <v>100</v>
      </c>
      <c r="E11" s="1738">
        <f t="shared" si="8"/>
        <v>100</v>
      </c>
      <c r="F11" s="1738">
        <f t="shared" si="8"/>
        <v>100</v>
      </c>
      <c r="G11" s="1738">
        <f t="shared" si="8"/>
        <v>100</v>
      </c>
      <c r="H11" s="1738">
        <f t="shared" si="8"/>
        <v>100</v>
      </c>
      <c r="I11" s="1738">
        <f t="shared" si="8"/>
        <v>100</v>
      </c>
      <c r="J11" s="1738">
        <f t="shared" si="8"/>
        <v>100</v>
      </c>
      <c r="K11" s="1738">
        <f t="shared" si="8"/>
        <v>100</v>
      </c>
      <c r="L11" s="1738">
        <f t="shared" si="8"/>
        <v>100</v>
      </c>
      <c r="M11" s="1780">
        <f t="shared" si="8"/>
        <v>100</v>
      </c>
      <c r="N11" s="1780">
        <f t="shared" ref="N11:S11" si="9">M11-$T$10</f>
        <v>100</v>
      </c>
      <c r="O11" s="1738">
        <f t="shared" si="9"/>
        <v>100</v>
      </c>
      <c r="P11" s="1738">
        <f t="shared" si="9"/>
        <v>100</v>
      </c>
      <c r="Q11" s="1738">
        <f t="shared" si="9"/>
        <v>100</v>
      </c>
      <c r="R11" s="1738">
        <f t="shared" si="9"/>
        <v>100</v>
      </c>
      <c r="S11" s="1814">
        <f t="shared" si="9"/>
        <v>100</v>
      </c>
      <c r="T11" s="1815"/>
      <c r="U11" s="1804"/>
      <c r="V11" s="1804"/>
      <c r="W11" s="1813"/>
      <c r="X11" s="1804"/>
      <c r="Y11" s="1804"/>
      <c r="Z11" s="1813"/>
      <c r="AA11" s="1813"/>
      <c r="AB11" s="1813"/>
      <c r="AC11" s="1813"/>
      <c r="AD11" s="1813"/>
      <c r="AE11" s="1813"/>
      <c r="AF11" s="1813"/>
      <c r="AG11" s="1813"/>
      <c r="AH11" s="1813"/>
      <c r="AI11" s="1813"/>
      <c r="AJ11" s="1813"/>
      <c r="AK11" s="1813"/>
      <c r="AL11" s="1813"/>
      <c r="AM11" s="1813"/>
      <c r="AN11" s="1813"/>
      <c r="AO11" s="1813"/>
      <c r="AP11" s="1813"/>
      <c r="AQ11" s="1813"/>
      <c r="AR11" s="1813"/>
    </row>
    <row r="12" s="1706" customFormat="1" spans="1:44">
      <c r="A12" s="1732"/>
      <c r="B12" s="1739" t="s">
        <v>1448</v>
      </c>
      <c r="C12" s="1740"/>
      <c r="D12" s="1741"/>
      <c r="E12" s="1741"/>
      <c r="F12" s="1741"/>
      <c r="G12" s="1741"/>
      <c r="H12" s="1741"/>
      <c r="I12" s="1741"/>
      <c r="J12" s="1741"/>
      <c r="K12" s="1741"/>
      <c r="L12" s="1785"/>
      <c r="M12" s="1781"/>
      <c r="N12" s="1782"/>
      <c r="O12" s="1783"/>
      <c r="P12" s="1784"/>
      <c r="Q12" s="1816"/>
      <c r="R12" s="1817"/>
      <c r="S12" s="1818"/>
      <c r="T12" s="1819"/>
      <c r="U12" s="1804"/>
      <c r="V12" s="1804"/>
      <c r="W12" s="1813"/>
      <c r="X12" s="1804"/>
      <c r="Y12" s="1804"/>
      <c r="Z12" s="1813"/>
      <c r="AA12" s="1813"/>
      <c r="AB12" s="1813"/>
      <c r="AC12" s="1813"/>
      <c r="AD12" s="1813"/>
      <c r="AE12" s="1813"/>
      <c r="AF12" s="1813"/>
      <c r="AG12" s="1813"/>
      <c r="AH12" s="1813"/>
      <c r="AI12" s="1813"/>
      <c r="AJ12" s="1813"/>
      <c r="AK12" s="1813"/>
      <c r="AL12" s="1813"/>
      <c r="AM12" s="1813"/>
      <c r="AN12" s="1813"/>
      <c r="AO12" s="1813"/>
      <c r="AP12" s="1813"/>
      <c r="AQ12" s="1813"/>
      <c r="AR12" s="1813"/>
    </row>
    <row r="13" s="1706" customFormat="1" ht="13.5" spans="1:44">
      <c r="A13" s="1732"/>
      <c r="B13" s="1730"/>
      <c r="C13" s="1742">
        <v>100</v>
      </c>
      <c r="D13" s="1743">
        <f t="shared" ref="D13:M13" si="10">C13-$T$12</f>
        <v>100</v>
      </c>
      <c r="E13" s="1743">
        <f t="shared" si="10"/>
        <v>100</v>
      </c>
      <c r="F13" s="1743">
        <f t="shared" si="10"/>
        <v>100</v>
      </c>
      <c r="G13" s="1743">
        <f t="shared" si="10"/>
        <v>100</v>
      </c>
      <c r="H13" s="1743">
        <f t="shared" si="10"/>
        <v>100</v>
      </c>
      <c r="I13" s="1743">
        <f t="shared" si="10"/>
        <v>100</v>
      </c>
      <c r="J13" s="1743">
        <f t="shared" si="10"/>
        <v>100</v>
      </c>
      <c r="K13" s="1743">
        <f t="shared" si="10"/>
        <v>100</v>
      </c>
      <c r="L13" s="1743">
        <f t="shared" si="10"/>
        <v>100</v>
      </c>
      <c r="M13" s="1786">
        <f t="shared" si="10"/>
        <v>100</v>
      </c>
      <c r="N13" s="1786">
        <f t="shared" ref="N13:S13" si="11">M13-$T$12</f>
        <v>100</v>
      </c>
      <c r="O13" s="1743">
        <f t="shared" si="11"/>
        <v>100</v>
      </c>
      <c r="P13" s="1743">
        <f t="shared" si="11"/>
        <v>100</v>
      </c>
      <c r="Q13" s="1743">
        <f t="shared" si="11"/>
        <v>100</v>
      </c>
      <c r="R13" s="1743">
        <f t="shared" si="11"/>
        <v>100</v>
      </c>
      <c r="S13" s="1820">
        <f t="shared" si="11"/>
        <v>100</v>
      </c>
      <c r="T13" s="1810"/>
      <c r="U13" s="1804"/>
      <c r="V13" s="1804"/>
      <c r="W13" s="1813"/>
      <c r="X13" s="1804"/>
      <c r="Y13" s="1804"/>
      <c r="Z13" s="1813"/>
      <c r="AA13" s="1813"/>
      <c r="AB13" s="1813"/>
      <c r="AC13" s="1813"/>
      <c r="AD13" s="1813"/>
      <c r="AE13" s="1813"/>
      <c r="AF13" s="1813"/>
      <c r="AG13" s="1813"/>
      <c r="AH13" s="1813"/>
      <c r="AI13" s="1813"/>
      <c r="AJ13" s="1813"/>
      <c r="AK13" s="1813"/>
      <c r="AL13" s="1813"/>
      <c r="AM13" s="1813"/>
      <c r="AN13" s="1813"/>
      <c r="AO13" s="1813"/>
      <c r="AP13" s="1813"/>
      <c r="AQ13" s="1813"/>
      <c r="AR13" s="1813"/>
    </row>
    <row r="14" s="1706" customFormat="1" spans="1:44">
      <c r="A14" s="1732"/>
      <c r="B14" s="1733" t="s">
        <v>1449</v>
      </c>
      <c r="C14" s="1734"/>
      <c r="D14" s="1735"/>
      <c r="E14" s="1735"/>
      <c r="F14" s="1735"/>
      <c r="G14" s="1735"/>
      <c r="H14" s="1735"/>
      <c r="I14" s="1735"/>
      <c r="J14" s="1735"/>
      <c r="K14" s="1735"/>
      <c r="L14" s="1735"/>
      <c r="M14" s="1779"/>
      <c r="N14" s="1787"/>
      <c r="O14" s="1788"/>
      <c r="P14" s="1789"/>
      <c r="Q14" s="1821"/>
      <c r="R14" s="1822"/>
      <c r="S14" s="1823"/>
      <c r="T14" s="1812"/>
      <c r="U14" s="1804"/>
      <c r="V14" s="1804"/>
      <c r="W14" s="1813"/>
      <c r="X14" s="1804"/>
      <c r="Y14" s="1804"/>
      <c r="Z14" s="1813"/>
      <c r="AA14" s="1813"/>
      <c r="AB14" s="1813"/>
      <c r="AC14" s="1813"/>
      <c r="AD14" s="1813"/>
      <c r="AE14" s="1813"/>
      <c r="AF14" s="1813"/>
      <c r="AG14" s="1813"/>
      <c r="AH14" s="1813"/>
      <c r="AI14" s="1813"/>
      <c r="AJ14" s="1813"/>
      <c r="AK14" s="1813"/>
      <c r="AL14" s="1813"/>
      <c r="AM14" s="1813"/>
      <c r="AN14" s="1813"/>
      <c r="AO14" s="1813"/>
      <c r="AP14" s="1813"/>
      <c r="AQ14" s="1813"/>
      <c r="AR14" s="1813"/>
    </row>
    <row r="15" s="1706" customFormat="1" ht="13.5" spans="1:44">
      <c r="A15" s="1732"/>
      <c r="B15" s="1736"/>
      <c r="C15" s="1737">
        <v>100</v>
      </c>
      <c r="D15" s="1738">
        <f t="shared" ref="D15:M15" si="12">C15-$T$14</f>
        <v>100</v>
      </c>
      <c r="E15" s="1738">
        <f t="shared" si="12"/>
        <v>100</v>
      </c>
      <c r="F15" s="1738">
        <f t="shared" si="12"/>
        <v>100</v>
      </c>
      <c r="G15" s="1738">
        <f t="shared" si="12"/>
        <v>100</v>
      </c>
      <c r="H15" s="1738">
        <f t="shared" si="12"/>
        <v>100</v>
      </c>
      <c r="I15" s="1738">
        <f t="shared" si="12"/>
        <v>100</v>
      </c>
      <c r="J15" s="1738">
        <f t="shared" si="12"/>
        <v>100</v>
      </c>
      <c r="K15" s="1738">
        <f t="shared" si="12"/>
        <v>100</v>
      </c>
      <c r="L15" s="1738">
        <f t="shared" si="12"/>
        <v>100</v>
      </c>
      <c r="M15" s="1780">
        <f t="shared" si="12"/>
        <v>100</v>
      </c>
      <c r="N15" s="1780">
        <f t="shared" ref="N15:S15" si="13">M15-$T$14</f>
        <v>100</v>
      </c>
      <c r="O15" s="1738">
        <f t="shared" si="13"/>
        <v>100</v>
      </c>
      <c r="P15" s="1738">
        <f t="shared" si="13"/>
        <v>100</v>
      </c>
      <c r="Q15" s="1738">
        <f t="shared" si="13"/>
        <v>100</v>
      </c>
      <c r="R15" s="1738">
        <f t="shared" si="13"/>
        <v>100</v>
      </c>
      <c r="S15" s="1814">
        <f t="shared" si="13"/>
        <v>100</v>
      </c>
      <c r="T15" s="1815"/>
      <c r="U15" s="1804"/>
      <c r="V15" s="1804"/>
      <c r="W15" s="1813"/>
      <c r="X15" s="1804"/>
      <c r="Y15" s="1804"/>
      <c r="Z15" s="1813"/>
      <c r="AA15" s="1813"/>
      <c r="AB15" s="1813"/>
      <c r="AC15" s="1813"/>
      <c r="AD15" s="1813"/>
      <c r="AE15" s="1813"/>
      <c r="AF15" s="1813"/>
      <c r="AG15" s="1813"/>
      <c r="AH15" s="1813"/>
      <c r="AI15" s="1813"/>
      <c r="AJ15" s="1813"/>
      <c r="AK15" s="1813"/>
      <c r="AL15" s="1813"/>
      <c r="AM15" s="1813"/>
      <c r="AN15" s="1813"/>
      <c r="AO15" s="1813"/>
      <c r="AP15" s="1813"/>
      <c r="AQ15" s="1813"/>
      <c r="AR15" s="1813"/>
    </row>
    <row r="16" s="1706" customFormat="1" spans="1:44">
      <c r="A16" s="1732"/>
      <c r="B16" s="1733" t="s">
        <v>1450</v>
      </c>
      <c r="C16" s="1734"/>
      <c r="D16" s="1735"/>
      <c r="E16" s="1735"/>
      <c r="F16" s="1735"/>
      <c r="G16" s="1735"/>
      <c r="H16" s="1735"/>
      <c r="I16" s="1735"/>
      <c r="J16" s="1735"/>
      <c r="K16" s="1735"/>
      <c r="L16" s="1735"/>
      <c r="M16" s="1779"/>
      <c r="N16" s="1787"/>
      <c r="O16" s="1788"/>
      <c r="P16" s="1789"/>
      <c r="Q16" s="1821"/>
      <c r="R16" s="1822"/>
      <c r="S16" s="1823"/>
      <c r="T16" s="1824"/>
      <c r="U16" s="1804"/>
      <c r="V16" s="1804"/>
      <c r="W16" s="1813"/>
      <c r="X16" s="1804"/>
      <c r="Y16" s="1804"/>
      <c r="Z16" s="1813"/>
      <c r="AA16" s="1813"/>
      <c r="AB16" s="1813"/>
      <c r="AC16" s="1813"/>
      <c r="AD16" s="1813"/>
      <c r="AE16" s="1813"/>
      <c r="AF16" s="1813"/>
      <c r="AG16" s="1813"/>
      <c r="AH16" s="1813"/>
      <c r="AI16" s="1813"/>
      <c r="AJ16" s="1813"/>
      <c r="AK16" s="1813"/>
      <c r="AL16" s="1813"/>
      <c r="AM16" s="1813"/>
      <c r="AN16" s="1813"/>
      <c r="AO16" s="1813"/>
      <c r="AP16" s="1813"/>
      <c r="AQ16" s="1813"/>
      <c r="AR16" s="1813"/>
    </row>
    <row r="17" s="1706" customFormat="1" ht="13.5" spans="1:44">
      <c r="A17" s="1732"/>
      <c r="B17" s="1736"/>
      <c r="C17" s="1744"/>
      <c r="D17" s="1745"/>
      <c r="E17" s="1745"/>
      <c r="F17" s="1745"/>
      <c r="G17" s="1745"/>
      <c r="H17" s="1745"/>
      <c r="I17" s="1745"/>
      <c r="J17" s="1745"/>
      <c r="K17" s="1745"/>
      <c r="L17" s="1745"/>
      <c r="M17" s="1790"/>
      <c r="N17" s="1790"/>
      <c r="O17" s="1745"/>
      <c r="P17" s="1745"/>
      <c r="Q17" s="1745"/>
      <c r="R17" s="1745"/>
      <c r="S17" s="1825"/>
      <c r="T17" s="1815"/>
      <c r="U17" s="1804"/>
      <c r="V17" s="1804"/>
      <c r="W17" s="1813"/>
      <c r="X17" s="1804"/>
      <c r="Y17" s="1804"/>
      <c r="Z17" s="1813"/>
      <c r="AA17" s="1813"/>
      <c r="AB17" s="1813"/>
      <c r="AC17" s="1813"/>
      <c r="AD17" s="1813"/>
      <c r="AE17" s="1813"/>
      <c r="AF17" s="1813"/>
      <c r="AG17" s="1813"/>
      <c r="AH17" s="1813"/>
      <c r="AI17" s="1813"/>
      <c r="AJ17" s="1813"/>
      <c r="AK17" s="1813"/>
      <c r="AL17" s="1813"/>
      <c r="AM17" s="1813"/>
      <c r="AN17" s="1813"/>
      <c r="AO17" s="1813"/>
      <c r="AP17" s="1813"/>
      <c r="AQ17" s="1813"/>
      <c r="AR17" s="1813"/>
    </row>
    <row r="18" s="1706" customFormat="1" spans="1:44">
      <c r="A18" s="1732"/>
      <c r="B18" s="1733" t="s">
        <v>1451</v>
      </c>
      <c r="C18" s="1734"/>
      <c r="D18" s="1735"/>
      <c r="E18" s="1735"/>
      <c r="F18" s="1735"/>
      <c r="G18" s="1735"/>
      <c r="H18" s="1735"/>
      <c r="I18" s="1735"/>
      <c r="J18" s="1735"/>
      <c r="K18" s="1735"/>
      <c r="L18" s="1735"/>
      <c r="M18" s="1779"/>
      <c r="N18" s="1787"/>
      <c r="O18" s="1788"/>
      <c r="P18" s="1789"/>
      <c r="Q18" s="1821"/>
      <c r="R18" s="1822"/>
      <c r="S18" s="1823"/>
      <c r="T18" s="1824"/>
      <c r="U18" s="1804"/>
      <c r="V18" s="1804"/>
      <c r="W18" s="1813"/>
      <c r="X18" s="1804"/>
      <c r="Y18" s="1804"/>
      <c r="Z18" s="1813"/>
      <c r="AA18" s="1813"/>
      <c r="AB18" s="1813"/>
      <c r="AC18" s="1813"/>
      <c r="AD18" s="1813"/>
      <c r="AE18" s="1813"/>
      <c r="AF18" s="1813"/>
      <c r="AG18" s="1813"/>
      <c r="AH18" s="1813"/>
      <c r="AI18" s="1813"/>
      <c r="AJ18" s="1813"/>
      <c r="AK18" s="1813"/>
      <c r="AL18" s="1813"/>
      <c r="AM18" s="1813"/>
      <c r="AN18" s="1813"/>
      <c r="AO18" s="1813"/>
      <c r="AP18" s="1813"/>
      <c r="AQ18" s="1813"/>
      <c r="AR18" s="1813"/>
    </row>
    <row r="19" s="1706" customFormat="1" ht="13.5" spans="1:44">
      <c r="A19" s="1732"/>
      <c r="B19" s="1730"/>
      <c r="C19" s="1746"/>
      <c r="D19" s="1731"/>
      <c r="E19" s="1731"/>
      <c r="F19" s="1731"/>
      <c r="G19" s="1731"/>
      <c r="H19" s="1731"/>
      <c r="I19" s="1731"/>
      <c r="J19" s="1731"/>
      <c r="K19" s="1731"/>
      <c r="L19" s="1731"/>
      <c r="M19" s="1776"/>
      <c r="N19" s="1776"/>
      <c r="O19" s="1731"/>
      <c r="P19" s="1731"/>
      <c r="Q19" s="1731"/>
      <c r="R19" s="1731"/>
      <c r="S19" s="1809"/>
      <c r="T19" s="1810"/>
      <c r="U19" s="1804"/>
      <c r="V19" s="1804"/>
      <c r="W19" s="1813"/>
      <c r="X19" s="1804"/>
      <c r="Y19" s="1804"/>
      <c r="Z19" s="1813"/>
      <c r="AA19" s="1813"/>
      <c r="AB19" s="1813"/>
      <c r="AC19" s="1813"/>
      <c r="AD19" s="1813"/>
      <c r="AE19" s="1813"/>
      <c r="AF19" s="1813"/>
      <c r="AG19" s="1813"/>
      <c r="AH19" s="1813"/>
      <c r="AI19" s="1813"/>
      <c r="AJ19" s="1813"/>
      <c r="AK19" s="1813"/>
      <c r="AL19" s="1813"/>
      <c r="AM19" s="1813"/>
      <c r="AN19" s="1813"/>
      <c r="AO19" s="1813"/>
      <c r="AP19" s="1813"/>
      <c r="AQ19" s="1813"/>
      <c r="AR19" s="1813"/>
    </row>
    <row r="20" s="1706" customFormat="1" spans="1:45">
      <c r="A20" s="1747" t="s">
        <v>1452</v>
      </c>
      <c r="B20" s="1748" t="s">
        <v>1453</v>
      </c>
      <c r="C20" s="1749"/>
      <c r="D20" s="1750"/>
      <c r="E20" s="1750"/>
      <c r="F20" s="1750"/>
      <c r="G20" s="1750"/>
      <c r="H20" s="1750"/>
      <c r="I20" s="1750"/>
      <c r="J20" s="1750"/>
      <c r="K20" s="1750"/>
      <c r="L20" s="1791"/>
      <c r="M20" s="1792"/>
      <c r="N20" s="1793"/>
      <c r="O20" s="1794"/>
      <c r="P20" s="1795"/>
      <c r="Q20" s="1826"/>
      <c r="R20" s="1827"/>
      <c r="S20" s="1828"/>
      <c r="T20" s="1828"/>
      <c r="U20" s="1828"/>
      <c r="V20" s="1828"/>
      <c r="W20" s="1828"/>
      <c r="X20" s="1828"/>
      <c r="Y20" s="1828"/>
      <c r="Z20" s="1828"/>
      <c r="AA20" s="1828"/>
      <c r="AB20" s="1828"/>
      <c r="AC20" s="1828"/>
      <c r="AD20" s="1828"/>
      <c r="AE20" s="1828"/>
      <c r="AF20" s="1828"/>
      <c r="AG20" s="1828"/>
      <c r="AH20" s="1828"/>
      <c r="AI20" s="1828"/>
      <c r="AJ20" s="1828"/>
      <c r="AK20" s="1828"/>
      <c r="AL20" s="1828"/>
      <c r="AM20" s="1828"/>
      <c r="AN20" s="1828"/>
      <c r="AO20" s="1828"/>
      <c r="AP20" s="1828"/>
      <c r="AQ20" s="1828"/>
      <c r="AR20" s="1828"/>
      <c r="AS20" s="1828"/>
    </row>
    <row r="21" s="1706" customFormat="1" ht="13.5" spans="1:45">
      <c r="A21" s="1751"/>
      <c r="B21" s="1752"/>
      <c r="C21" s="1753"/>
      <c r="D21" s="1754"/>
      <c r="E21" s="1754"/>
      <c r="F21" s="1754"/>
      <c r="G21" s="1754"/>
      <c r="H21" s="1754"/>
      <c r="I21" s="1754"/>
      <c r="J21" s="1754"/>
      <c r="K21" s="1754"/>
      <c r="L21" s="1754"/>
      <c r="M21" s="1796"/>
      <c r="N21" s="1796"/>
      <c r="O21" s="1754"/>
      <c r="P21" s="1754"/>
      <c r="Q21" s="1754"/>
      <c r="R21" s="1754"/>
      <c r="S21" s="1829"/>
      <c r="T21" s="1829"/>
      <c r="U21" s="1829"/>
      <c r="V21" s="1829"/>
      <c r="W21" s="1829"/>
      <c r="X21" s="1829"/>
      <c r="Y21" s="1829"/>
      <c r="Z21" s="1829"/>
      <c r="AA21" s="1829"/>
      <c r="AB21" s="1829"/>
      <c r="AC21" s="1829"/>
      <c r="AD21" s="1829"/>
      <c r="AE21" s="1829"/>
      <c r="AF21" s="1829"/>
      <c r="AG21" s="1829"/>
      <c r="AH21" s="1829"/>
      <c r="AI21" s="1829"/>
      <c r="AJ21" s="1829"/>
      <c r="AK21" s="1829"/>
      <c r="AL21" s="1829"/>
      <c r="AM21" s="1829"/>
      <c r="AN21" s="1829"/>
      <c r="AO21" s="1829"/>
      <c r="AP21" s="1829"/>
      <c r="AQ21" s="1829"/>
      <c r="AR21" s="1829"/>
      <c r="AS21" s="1829"/>
    </row>
    <row r="22" spans="1:26">
      <c r="A22" s="1755"/>
      <c r="B22" s="1715"/>
      <c r="C22" s="1715"/>
      <c r="D22" s="1715"/>
      <c r="E22" s="1715"/>
      <c r="F22" s="1756" t="s">
        <v>1454</v>
      </c>
      <c r="G22" s="1757"/>
      <c r="H22" s="1757"/>
      <c r="I22" s="1757"/>
      <c r="J22" s="1797"/>
      <c r="K22" s="1715"/>
      <c r="L22" s="1715"/>
      <c r="M22" s="1715"/>
      <c r="N22" s="1715"/>
      <c r="O22" s="1715"/>
      <c r="P22" s="1715"/>
      <c r="Q22" s="1715"/>
      <c r="R22" s="1799"/>
      <c r="S22" s="1755"/>
      <c r="T22" s="1755"/>
      <c r="U22" s="1800"/>
      <c r="V22" s="1804"/>
      <c r="W22" s="1813"/>
      <c r="X22" s="1813"/>
      <c r="Y22" s="1813"/>
      <c r="Z22" s="1813"/>
    </row>
    <row r="23" ht="16.5" spans="1:26">
      <c r="A23" s="721" t="s">
        <v>1455</v>
      </c>
      <c r="B23" s="1758">
        <f ca="1">IF(F23="——",IF(C23="万元",T25,S25),IF(C23="万元",T25-H23,S25-H23))</f>
        <v>38130532</v>
      </c>
      <c r="C23" s="1759" t="str">
        <f>'数据-取费表'!B3</f>
        <v>元</v>
      </c>
      <c r="D23" s="1715"/>
      <c r="E23" s="1715"/>
      <c r="F23" s="1760" t="s">
        <v>121</v>
      </c>
      <c r="G23" s="1761"/>
      <c r="H23" s="1719" t="e">
        <f ca="1">SUMIF(INDIRECT("'"&amp;J23&amp;"'"&amp;"!A:A"),"承租人权益价值",INDIRECT("'"&amp;J23&amp;"'"&amp;"!c:c"))</f>
        <v>#REF!</v>
      </c>
      <c r="I23" s="1719" t="str">
        <f>C2</f>
        <v>元</v>
      </c>
      <c r="J23" s="1798"/>
      <c r="K23" s="1715"/>
      <c r="L23" s="1715"/>
      <c r="M23" s="1715"/>
      <c r="N23" s="1715"/>
      <c r="O23" s="1715"/>
      <c r="P23" s="1715"/>
      <c r="Q23" s="1715"/>
      <c r="R23" s="1799"/>
      <c r="S23" s="1755"/>
      <c r="T23" s="1755"/>
      <c r="U23" s="1800"/>
      <c r="V23" s="1804"/>
      <c r="W23" s="1813"/>
      <c r="X23" s="1813"/>
      <c r="Y23" s="1813"/>
      <c r="Z23" s="1813"/>
    </row>
    <row r="24" ht="15.75" spans="1:26">
      <c r="A24" s="1759" t="s">
        <v>1456</v>
      </c>
      <c r="B24" s="1758">
        <f ca="1">ROUND(B23*10000/B25,0)</f>
        <v>773580004</v>
      </c>
      <c r="C24" s="1714"/>
      <c r="D24" s="1715"/>
      <c r="E24" s="1715"/>
      <c r="F24" s="1715"/>
      <c r="G24" s="1715"/>
      <c r="H24" s="1715"/>
      <c r="I24" s="1715"/>
      <c r="J24" s="1715"/>
      <c r="K24" s="1715"/>
      <c r="L24" s="1715"/>
      <c r="M24" s="1715"/>
      <c r="N24" s="1715"/>
      <c r="O24" s="1715"/>
      <c r="P24" s="1715"/>
      <c r="Q24" s="1715"/>
      <c r="R24" s="1799"/>
      <c r="S24" s="1762" t="s">
        <v>1457</v>
      </c>
      <c r="T24" s="1763" t="s">
        <v>1458</v>
      </c>
      <c r="U24" s="519" t="s">
        <v>1459</v>
      </c>
      <c r="V24" s="1830"/>
      <c r="W24" s="1831" t="s">
        <v>1460</v>
      </c>
      <c r="X24" s="519" t="s">
        <v>1461</v>
      </c>
      <c r="Y24" s="1830"/>
      <c r="Z24" s="1841" t="s">
        <v>1460</v>
      </c>
    </row>
    <row r="25" spans="1:26">
      <c r="A25" s="1716" t="s">
        <v>1462</v>
      </c>
      <c r="B25" s="1762">
        <f>SUM(B27:B10000)</f>
        <v>492.91</v>
      </c>
      <c r="C25" s="1763" t="s">
        <v>121</v>
      </c>
      <c r="D25" s="1764"/>
      <c r="E25" s="1764"/>
      <c r="F25" s="1764"/>
      <c r="G25" s="1764"/>
      <c r="H25" s="1764"/>
      <c r="I25" s="1764"/>
      <c r="J25" s="1764"/>
      <c r="K25" s="1764"/>
      <c r="L25" s="1764"/>
      <c r="M25" s="1764"/>
      <c r="N25" s="1764"/>
      <c r="O25" s="1764"/>
      <c r="P25" s="1764"/>
      <c r="Q25" s="1832"/>
      <c r="R25" s="1833">
        <f ca="1">IF(C23="万元",ROUND(T25*10000/B25,0),ROUND(S25/B25,0))</f>
        <v>77358</v>
      </c>
      <c r="S25" s="1762">
        <f ca="1">SUM(S27:S10000)</f>
        <v>38130532</v>
      </c>
      <c r="T25" s="1762">
        <f ca="1">SUM(T27:T10000)</f>
        <v>3813</v>
      </c>
      <c r="U25" s="1834">
        <f>SUM(U27:U10000)</f>
        <v>0</v>
      </c>
      <c r="V25" s="1834">
        <f>SUM(V27:V10000)</f>
        <v>0</v>
      </c>
      <c r="W25" s="1835"/>
      <c r="X25" s="1834">
        <f>SUM(X27:X10000)</f>
        <v>0</v>
      </c>
      <c r="Y25" s="1834">
        <f>SUM(Y27:Y10000)</f>
        <v>0</v>
      </c>
      <c r="Z25" s="1842"/>
    </row>
    <row r="26" s="1707" customFormat="1" ht="24" spans="1:44">
      <c r="A26" s="1765" t="s">
        <v>1463</v>
      </c>
      <c r="B26" s="1765" t="s">
        <v>357</v>
      </c>
      <c r="C26" s="1765" t="s">
        <v>1445</v>
      </c>
      <c r="D26" s="1765" t="str">
        <f>B8</f>
        <v>修正项2</v>
      </c>
      <c r="E26" s="1765" t="s">
        <v>1445</v>
      </c>
      <c r="F26" s="1765" t="str">
        <f>B10</f>
        <v>修正项3</v>
      </c>
      <c r="G26" s="1765" t="s">
        <v>1445</v>
      </c>
      <c r="H26" s="1765" t="str">
        <f>B12</f>
        <v>修正项4</v>
      </c>
      <c r="I26" s="1765" t="s">
        <v>1445</v>
      </c>
      <c r="J26" s="1765" t="str">
        <f>B14</f>
        <v>修正项5</v>
      </c>
      <c r="K26" s="1765" t="s">
        <v>1445</v>
      </c>
      <c r="L26" s="1765" t="str">
        <f>B16</f>
        <v>修正项6</v>
      </c>
      <c r="M26" s="1765" t="s">
        <v>1445</v>
      </c>
      <c r="N26" s="1765" t="str">
        <f>B18</f>
        <v>修正项7</v>
      </c>
      <c r="O26" s="1765" t="s">
        <v>1445</v>
      </c>
      <c r="P26" s="1765" t="str">
        <f>B20</f>
        <v>楼层</v>
      </c>
      <c r="Q26" s="1765" t="s">
        <v>1445</v>
      </c>
      <c r="R26" s="1836" t="s">
        <v>1464</v>
      </c>
      <c r="S26" s="1765" t="s">
        <v>1465</v>
      </c>
      <c r="T26" s="1765" t="s">
        <v>1465</v>
      </c>
      <c r="U26" s="337" t="s">
        <v>1466</v>
      </c>
      <c r="V26" s="337" t="s">
        <v>1467</v>
      </c>
      <c r="W26" s="1765" t="s">
        <v>1468</v>
      </c>
      <c r="X26" s="337" t="s">
        <v>1466</v>
      </c>
      <c r="Y26" s="337" t="s">
        <v>1467</v>
      </c>
      <c r="Z26" s="1765" t="s">
        <v>1468</v>
      </c>
      <c r="AA26" s="1843"/>
      <c r="AB26" s="1843"/>
      <c r="AC26" s="1843"/>
      <c r="AD26" s="1843"/>
      <c r="AE26" s="1843"/>
      <c r="AF26" s="1843"/>
      <c r="AG26" s="1843"/>
      <c r="AH26" s="1843"/>
      <c r="AI26" s="1843"/>
      <c r="AJ26" s="1843"/>
      <c r="AK26" s="1843"/>
      <c r="AL26" s="1843"/>
      <c r="AM26" s="1843"/>
      <c r="AN26" s="1843"/>
      <c r="AO26" s="1843"/>
      <c r="AP26" s="1843"/>
      <c r="AQ26" s="1843"/>
      <c r="AR26" s="1843"/>
    </row>
    <row r="27" s="1708" customFormat="1" spans="1:44">
      <c r="A27" s="1766">
        <v>201</v>
      </c>
      <c r="B27" s="1767">
        <f>'数据-取费表'!E5</f>
        <v>246.59</v>
      </c>
      <c r="C27" s="1768">
        <v>1</v>
      </c>
      <c r="D27" s="1769"/>
      <c r="E27" s="1768">
        <v>1</v>
      </c>
      <c r="F27" s="1769"/>
      <c r="G27" s="1768">
        <v>1</v>
      </c>
      <c r="H27" s="1769"/>
      <c r="I27" s="1768">
        <v>1</v>
      </c>
      <c r="J27" s="1769"/>
      <c r="K27" s="1768">
        <v>1</v>
      </c>
      <c r="L27" s="1769"/>
      <c r="M27" s="1768">
        <v>1</v>
      </c>
      <c r="N27" s="1769"/>
      <c r="O27" s="1768">
        <v>1</v>
      </c>
      <c r="P27" s="1769"/>
      <c r="Q27" s="1768">
        <v>1</v>
      </c>
      <c r="R27" s="1837">
        <f ca="1">'结果表 (1修多)'!G20</f>
        <v>77358</v>
      </c>
      <c r="S27" s="1767">
        <f ca="1">ROUND(R27*B27,0)</f>
        <v>19075709</v>
      </c>
      <c r="T27" s="1767">
        <f ca="1">ROUND(R27*B27/10000,0)</f>
        <v>1908</v>
      </c>
      <c r="U27" s="1838">
        <f>ROUND(W27*B27,0)</f>
        <v>0</v>
      </c>
      <c r="V27" s="1838">
        <f>ROUND(W27*B27/10000,0)</f>
        <v>0</v>
      </c>
      <c r="W27" s="1839"/>
      <c r="X27" s="1838">
        <f>ROUND(Z27*B27,0)</f>
        <v>0</v>
      </c>
      <c r="Y27" s="1838">
        <f>ROUND(Z27*B27/10000,0)</f>
        <v>0</v>
      </c>
      <c r="Z27" s="1839"/>
      <c r="AA27" s="1844"/>
      <c r="AB27" s="1844"/>
      <c r="AC27" s="1844"/>
      <c r="AD27" s="1844"/>
      <c r="AE27" s="1844"/>
      <c r="AF27" s="1844"/>
      <c r="AG27" s="1844"/>
      <c r="AH27" s="1844"/>
      <c r="AI27" s="1844"/>
      <c r="AJ27" s="1844"/>
      <c r="AK27" s="1844"/>
      <c r="AL27" s="1844"/>
      <c r="AM27" s="1844"/>
      <c r="AN27" s="1844"/>
      <c r="AO27" s="1844"/>
      <c r="AP27" s="1844"/>
      <c r="AQ27" s="1844"/>
      <c r="AR27" s="1844"/>
    </row>
    <row r="28" spans="1:26">
      <c r="A28" s="1770">
        <v>202</v>
      </c>
      <c r="B28" s="1771">
        <v>246.32</v>
      </c>
      <c r="C28" s="1762">
        <f t="shared" ref="C28:C91" si="14">IF(B28="",1,(LOOKUP(B28,$6:$6,$7:$7)-LOOKUP($B$27,$6:$6,$7:$7)+100)/100)</f>
        <v>1</v>
      </c>
      <c r="D28" s="1769"/>
      <c r="E28" s="1762">
        <f t="shared" ref="E28:E91" si="15">(SUMIF($8:$8,D28,$9:$9)-SUMIF($8:$8,$D$27,$9:$9)+100)/100</f>
        <v>1</v>
      </c>
      <c r="F28" s="1769"/>
      <c r="G28" s="1762">
        <f t="shared" ref="G28:G91" si="16">(SUMIF($10:$10,F28,$11:$11)-SUMIF($10:$10,$F$27,$11:$11)+100)/100</f>
        <v>1</v>
      </c>
      <c r="H28" s="1769"/>
      <c r="I28" s="1762">
        <f t="shared" ref="I28:I91" si="17">(SUMIF($12:$12,H28,$13:$13)-SUMIF($12:$12,$H$27,$13:$13)+100)/100</f>
        <v>1</v>
      </c>
      <c r="J28" s="1769"/>
      <c r="K28" s="1762">
        <f t="shared" ref="K28:K91" si="18">(SUMIF($14:$14,J28,$15:$15)-SUMIF($14:$14,$J$27,$15:$15)+100)/100</f>
        <v>1</v>
      </c>
      <c r="L28" s="1769"/>
      <c r="M28" s="1762">
        <f t="shared" ref="M28:M91" si="19">(SUMIF($16:$16,L28,$17:$17)-SUMIF($16:$16,$L$27,$17:$17)+100)/100</f>
        <v>1</v>
      </c>
      <c r="N28" s="1769"/>
      <c r="O28" s="1762">
        <f t="shared" ref="O28:O91" si="20">(SUMIF($18:$18,N28,$19:$19)-SUMIF($18:$18,$N$27,$19:$19)+100)/100</f>
        <v>1</v>
      </c>
      <c r="P28" s="1769"/>
      <c r="Q28" s="1762">
        <f t="shared" ref="Q28:Q91" si="21">(SUMIF($20:$20,P28,$21:$21)-SUMIF($20:$20,$P$27,$21:$21)+100)/100</f>
        <v>1</v>
      </c>
      <c r="R28" s="1833">
        <f ca="1">IF(B28="",0,ROUND($R$27*C28*E28*G28*I28*K28*M28*O28*Q28,0))</f>
        <v>77358</v>
      </c>
      <c r="S28" s="1716">
        <f ca="1">ROUND(R28*B28,0)</f>
        <v>19054823</v>
      </c>
      <c r="T28" s="1768">
        <f ca="1">ROUND(R28*B28/10000,0)</f>
        <v>1905</v>
      </c>
      <c r="U28" s="1838">
        <f t="shared" ref="U28:U91" si="22">ROUND(W28*B28,0)</f>
        <v>0</v>
      </c>
      <c r="V28" s="1838">
        <f t="shared" ref="V28:V91" si="23">ROUND(W28*B28/10000,0)</f>
        <v>0</v>
      </c>
      <c r="W28" s="1840"/>
      <c r="X28" s="1838">
        <f t="shared" ref="X28:X91" si="24">ROUND(Z28*B28,0)</f>
        <v>0</v>
      </c>
      <c r="Y28" s="1838">
        <f t="shared" ref="Y28:Y91" si="25">ROUND(Z28*B28/10000,0)</f>
        <v>0</v>
      </c>
      <c r="Z28" s="1840"/>
    </row>
    <row r="29" spans="1:26">
      <c r="A29" s="1770"/>
      <c r="B29" s="1771"/>
      <c r="C29" s="1762">
        <f t="shared" si="14"/>
        <v>1</v>
      </c>
      <c r="D29" s="1769"/>
      <c r="E29" s="1762">
        <f t="shared" si="15"/>
        <v>1</v>
      </c>
      <c r="F29" s="1769"/>
      <c r="G29" s="1762">
        <f t="shared" si="16"/>
        <v>1</v>
      </c>
      <c r="H29" s="1769"/>
      <c r="I29" s="1762">
        <f t="shared" si="17"/>
        <v>1</v>
      </c>
      <c r="J29" s="1769"/>
      <c r="K29" s="1762">
        <f t="shared" si="18"/>
        <v>1</v>
      </c>
      <c r="L29" s="1769"/>
      <c r="M29" s="1762">
        <f t="shared" si="19"/>
        <v>1</v>
      </c>
      <c r="N29" s="1769"/>
      <c r="O29" s="1762">
        <f t="shared" si="20"/>
        <v>1</v>
      </c>
      <c r="P29" s="1769"/>
      <c r="Q29" s="1762">
        <f t="shared" si="21"/>
        <v>1</v>
      </c>
      <c r="R29" s="1833">
        <f ca="1" t="shared" ref="R29:R92" si="26">IF(B29="",0,ROUND($R$27*C29*E29*G29*I29*K29*M29*O29*Q29,0))</f>
        <v>0</v>
      </c>
      <c r="S29" s="1716">
        <f ca="1" t="shared" ref="S29:S92" si="27">ROUND(R29*B29,0)</f>
        <v>0</v>
      </c>
      <c r="T29" s="1768">
        <f ca="1" t="shared" ref="T29:T92" si="28">ROUND(R29*B29/10000,0)</f>
        <v>0</v>
      </c>
      <c r="U29" s="1838">
        <f t="shared" si="22"/>
        <v>0</v>
      </c>
      <c r="V29" s="1838">
        <f t="shared" si="23"/>
        <v>0</v>
      </c>
      <c r="W29" s="1840"/>
      <c r="X29" s="1838">
        <f t="shared" si="24"/>
        <v>0</v>
      </c>
      <c r="Y29" s="1838">
        <f t="shared" si="25"/>
        <v>0</v>
      </c>
      <c r="Z29" s="1840"/>
    </row>
    <row r="30" spans="1:26">
      <c r="A30" s="1770"/>
      <c r="B30" s="1771"/>
      <c r="C30" s="1762">
        <f t="shared" si="14"/>
        <v>1</v>
      </c>
      <c r="D30" s="1769"/>
      <c r="E30" s="1762">
        <f t="shared" si="15"/>
        <v>1</v>
      </c>
      <c r="F30" s="1769"/>
      <c r="G30" s="1762">
        <f t="shared" si="16"/>
        <v>1</v>
      </c>
      <c r="H30" s="1769"/>
      <c r="I30" s="1762">
        <f t="shared" si="17"/>
        <v>1</v>
      </c>
      <c r="J30" s="1769"/>
      <c r="K30" s="1762">
        <f t="shared" si="18"/>
        <v>1</v>
      </c>
      <c r="L30" s="1769"/>
      <c r="M30" s="1762">
        <f t="shared" si="19"/>
        <v>1</v>
      </c>
      <c r="N30" s="1769"/>
      <c r="O30" s="1762">
        <f t="shared" si="20"/>
        <v>1</v>
      </c>
      <c r="P30" s="1769"/>
      <c r="Q30" s="1762">
        <f t="shared" si="21"/>
        <v>1</v>
      </c>
      <c r="R30" s="1833">
        <f ca="1" t="shared" si="26"/>
        <v>0</v>
      </c>
      <c r="S30" s="1716">
        <f ca="1" t="shared" si="27"/>
        <v>0</v>
      </c>
      <c r="T30" s="1768">
        <f ca="1" t="shared" si="28"/>
        <v>0</v>
      </c>
      <c r="U30" s="1838">
        <f t="shared" si="22"/>
        <v>0</v>
      </c>
      <c r="V30" s="1838">
        <f t="shared" si="23"/>
        <v>0</v>
      </c>
      <c r="W30" s="1840"/>
      <c r="X30" s="1838">
        <f t="shared" si="24"/>
        <v>0</v>
      </c>
      <c r="Y30" s="1838">
        <f t="shared" si="25"/>
        <v>0</v>
      </c>
      <c r="Z30" s="1840"/>
    </row>
    <row r="31" spans="1:26">
      <c r="A31" s="1770"/>
      <c r="B31" s="1771"/>
      <c r="C31" s="1762">
        <f t="shared" si="14"/>
        <v>1</v>
      </c>
      <c r="D31" s="1769"/>
      <c r="E31" s="1762">
        <f t="shared" si="15"/>
        <v>1</v>
      </c>
      <c r="F31" s="1769"/>
      <c r="G31" s="1762">
        <f t="shared" si="16"/>
        <v>1</v>
      </c>
      <c r="H31" s="1769"/>
      <c r="I31" s="1762">
        <f t="shared" si="17"/>
        <v>1</v>
      </c>
      <c r="J31" s="1769"/>
      <c r="K31" s="1762">
        <f t="shared" si="18"/>
        <v>1</v>
      </c>
      <c r="L31" s="1769"/>
      <c r="M31" s="1762">
        <f t="shared" si="19"/>
        <v>1</v>
      </c>
      <c r="N31" s="1769"/>
      <c r="O31" s="1762">
        <f t="shared" si="20"/>
        <v>1</v>
      </c>
      <c r="P31" s="1769"/>
      <c r="Q31" s="1762">
        <f t="shared" si="21"/>
        <v>1</v>
      </c>
      <c r="R31" s="1833">
        <f ca="1" t="shared" si="26"/>
        <v>0</v>
      </c>
      <c r="S31" s="1716">
        <f ca="1" t="shared" si="27"/>
        <v>0</v>
      </c>
      <c r="T31" s="1768">
        <f ca="1" t="shared" si="28"/>
        <v>0</v>
      </c>
      <c r="U31" s="1838">
        <f t="shared" si="22"/>
        <v>0</v>
      </c>
      <c r="V31" s="1838">
        <f t="shared" si="23"/>
        <v>0</v>
      </c>
      <c r="W31" s="1840"/>
      <c r="X31" s="1838">
        <f t="shared" si="24"/>
        <v>0</v>
      </c>
      <c r="Y31" s="1838">
        <f t="shared" si="25"/>
        <v>0</v>
      </c>
      <c r="Z31" s="1840"/>
    </row>
    <row r="32" spans="1:26">
      <c r="A32" s="1770"/>
      <c r="B32" s="1771"/>
      <c r="C32" s="1762">
        <f t="shared" si="14"/>
        <v>1</v>
      </c>
      <c r="D32" s="1769"/>
      <c r="E32" s="1762">
        <f t="shared" si="15"/>
        <v>1</v>
      </c>
      <c r="F32" s="1769"/>
      <c r="G32" s="1762">
        <f t="shared" si="16"/>
        <v>1</v>
      </c>
      <c r="H32" s="1769"/>
      <c r="I32" s="1762">
        <f t="shared" si="17"/>
        <v>1</v>
      </c>
      <c r="J32" s="1769"/>
      <c r="K32" s="1762">
        <f t="shared" si="18"/>
        <v>1</v>
      </c>
      <c r="L32" s="1769"/>
      <c r="M32" s="1762">
        <f t="shared" si="19"/>
        <v>1</v>
      </c>
      <c r="N32" s="1769"/>
      <c r="O32" s="1762">
        <f t="shared" si="20"/>
        <v>1</v>
      </c>
      <c r="P32" s="1769"/>
      <c r="Q32" s="1762">
        <f t="shared" si="21"/>
        <v>1</v>
      </c>
      <c r="R32" s="1833">
        <f ca="1" t="shared" si="26"/>
        <v>0</v>
      </c>
      <c r="S32" s="1716">
        <f ca="1" t="shared" si="27"/>
        <v>0</v>
      </c>
      <c r="T32" s="1768">
        <f ca="1" t="shared" si="28"/>
        <v>0</v>
      </c>
      <c r="U32" s="1838">
        <f t="shared" si="22"/>
        <v>0</v>
      </c>
      <c r="V32" s="1838">
        <f t="shared" si="23"/>
        <v>0</v>
      </c>
      <c r="W32" s="1840"/>
      <c r="X32" s="1838">
        <f t="shared" si="24"/>
        <v>0</v>
      </c>
      <c r="Y32" s="1838">
        <f t="shared" si="25"/>
        <v>0</v>
      </c>
      <c r="Z32" s="1840"/>
    </row>
    <row r="33" spans="1:26">
      <c r="A33" s="1770"/>
      <c r="B33" s="1771"/>
      <c r="C33" s="1762">
        <f t="shared" si="14"/>
        <v>1</v>
      </c>
      <c r="D33" s="1769"/>
      <c r="E33" s="1762">
        <f t="shared" si="15"/>
        <v>1</v>
      </c>
      <c r="F33" s="1769"/>
      <c r="G33" s="1762">
        <f t="shared" si="16"/>
        <v>1</v>
      </c>
      <c r="H33" s="1769"/>
      <c r="I33" s="1762">
        <f t="shared" si="17"/>
        <v>1</v>
      </c>
      <c r="J33" s="1769"/>
      <c r="K33" s="1762">
        <f t="shared" si="18"/>
        <v>1</v>
      </c>
      <c r="L33" s="1769"/>
      <c r="M33" s="1762">
        <f t="shared" si="19"/>
        <v>1</v>
      </c>
      <c r="N33" s="1769"/>
      <c r="O33" s="1762">
        <f t="shared" si="20"/>
        <v>1</v>
      </c>
      <c r="P33" s="1769"/>
      <c r="Q33" s="1762">
        <f t="shared" si="21"/>
        <v>1</v>
      </c>
      <c r="R33" s="1833">
        <f ca="1" t="shared" si="26"/>
        <v>0</v>
      </c>
      <c r="S33" s="1716">
        <f ca="1" t="shared" si="27"/>
        <v>0</v>
      </c>
      <c r="T33" s="1768">
        <f ca="1" t="shared" si="28"/>
        <v>0</v>
      </c>
      <c r="U33" s="1838">
        <f t="shared" si="22"/>
        <v>0</v>
      </c>
      <c r="V33" s="1838">
        <f t="shared" si="23"/>
        <v>0</v>
      </c>
      <c r="W33" s="1840"/>
      <c r="X33" s="1838">
        <f t="shared" si="24"/>
        <v>0</v>
      </c>
      <c r="Y33" s="1838">
        <f t="shared" si="25"/>
        <v>0</v>
      </c>
      <c r="Z33" s="1840"/>
    </row>
    <row r="34" spans="1:26">
      <c r="A34" s="1770"/>
      <c r="B34" s="1771"/>
      <c r="C34" s="1762">
        <f t="shared" si="14"/>
        <v>1</v>
      </c>
      <c r="D34" s="1769"/>
      <c r="E34" s="1762">
        <f t="shared" si="15"/>
        <v>1</v>
      </c>
      <c r="F34" s="1769"/>
      <c r="G34" s="1762">
        <f t="shared" si="16"/>
        <v>1</v>
      </c>
      <c r="H34" s="1769"/>
      <c r="I34" s="1762">
        <f t="shared" si="17"/>
        <v>1</v>
      </c>
      <c r="J34" s="1769"/>
      <c r="K34" s="1762">
        <f t="shared" si="18"/>
        <v>1</v>
      </c>
      <c r="L34" s="1769"/>
      <c r="M34" s="1762">
        <f t="shared" si="19"/>
        <v>1</v>
      </c>
      <c r="N34" s="1769"/>
      <c r="O34" s="1762">
        <f t="shared" si="20"/>
        <v>1</v>
      </c>
      <c r="P34" s="1769"/>
      <c r="Q34" s="1762">
        <f t="shared" si="21"/>
        <v>1</v>
      </c>
      <c r="R34" s="1833">
        <f ca="1" t="shared" si="26"/>
        <v>0</v>
      </c>
      <c r="S34" s="1716">
        <f ca="1" t="shared" si="27"/>
        <v>0</v>
      </c>
      <c r="T34" s="1768">
        <f ca="1" t="shared" si="28"/>
        <v>0</v>
      </c>
      <c r="U34" s="1838">
        <f t="shared" si="22"/>
        <v>0</v>
      </c>
      <c r="V34" s="1838">
        <f t="shared" si="23"/>
        <v>0</v>
      </c>
      <c r="W34" s="1840"/>
      <c r="X34" s="1838">
        <f t="shared" si="24"/>
        <v>0</v>
      </c>
      <c r="Y34" s="1838">
        <f t="shared" si="25"/>
        <v>0</v>
      </c>
      <c r="Z34" s="1840"/>
    </row>
    <row r="35" spans="1:26">
      <c r="A35" s="1770"/>
      <c r="B35" s="1771"/>
      <c r="C35" s="1762">
        <f t="shared" si="14"/>
        <v>1</v>
      </c>
      <c r="D35" s="1769"/>
      <c r="E35" s="1762">
        <f t="shared" si="15"/>
        <v>1</v>
      </c>
      <c r="F35" s="1769"/>
      <c r="G35" s="1762">
        <f t="shared" si="16"/>
        <v>1</v>
      </c>
      <c r="H35" s="1769"/>
      <c r="I35" s="1762">
        <f t="shared" si="17"/>
        <v>1</v>
      </c>
      <c r="J35" s="1769"/>
      <c r="K35" s="1762">
        <f t="shared" si="18"/>
        <v>1</v>
      </c>
      <c r="L35" s="1769"/>
      <c r="M35" s="1762">
        <f t="shared" si="19"/>
        <v>1</v>
      </c>
      <c r="N35" s="1769"/>
      <c r="O35" s="1762">
        <f t="shared" si="20"/>
        <v>1</v>
      </c>
      <c r="P35" s="1769"/>
      <c r="Q35" s="1762">
        <f t="shared" si="21"/>
        <v>1</v>
      </c>
      <c r="R35" s="1833">
        <f ca="1" t="shared" si="26"/>
        <v>0</v>
      </c>
      <c r="S35" s="1716">
        <f ca="1" t="shared" si="27"/>
        <v>0</v>
      </c>
      <c r="T35" s="1768">
        <f ca="1" t="shared" si="28"/>
        <v>0</v>
      </c>
      <c r="U35" s="1838">
        <f t="shared" si="22"/>
        <v>0</v>
      </c>
      <c r="V35" s="1838">
        <f t="shared" si="23"/>
        <v>0</v>
      </c>
      <c r="W35" s="1840"/>
      <c r="X35" s="1838">
        <f t="shared" si="24"/>
        <v>0</v>
      </c>
      <c r="Y35" s="1838">
        <f t="shared" si="25"/>
        <v>0</v>
      </c>
      <c r="Z35" s="1840"/>
    </row>
    <row r="36" spans="1:26">
      <c r="A36" s="1770"/>
      <c r="B36" s="1771"/>
      <c r="C36" s="1762">
        <f t="shared" si="14"/>
        <v>1</v>
      </c>
      <c r="D36" s="1769"/>
      <c r="E36" s="1762">
        <f t="shared" si="15"/>
        <v>1</v>
      </c>
      <c r="F36" s="1769"/>
      <c r="G36" s="1762">
        <f t="shared" si="16"/>
        <v>1</v>
      </c>
      <c r="H36" s="1769"/>
      <c r="I36" s="1762">
        <f t="shared" si="17"/>
        <v>1</v>
      </c>
      <c r="J36" s="1769"/>
      <c r="K36" s="1762">
        <f t="shared" si="18"/>
        <v>1</v>
      </c>
      <c r="L36" s="1769"/>
      <c r="M36" s="1762">
        <f t="shared" si="19"/>
        <v>1</v>
      </c>
      <c r="N36" s="1769"/>
      <c r="O36" s="1762">
        <f t="shared" si="20"/>
        <v>1</v>
      </c>
      <c r="P36" s="1769"/>
      <c r="Q36" s="1762">
        <f t="shared" si="21"/>
        <v>1</v>
      </c>
      <c r="R36" s="1833">
        <f ca="1" t="shared" si="26"/>
        <v>0</v>
      </c>
      <c r="S36" s="1716">
        <f ca="1" t="shared" si="27"/>
        <v>0</v>
      </c>
      <c r="T36" s="1768">
        <f ca="1" t="shared" si="28"/>
        <v>0</v>
      </c>
      <c r="U36" s="1838">
        <f t="shared" si="22"/>
        <v>0</v>
      </c>
      <c r="V36" s="1838">
        <f t="shared" si="23"/>
        <v>0</v>
      </c>
      <c r="W36" s="1840"/>
      <c r="X36" s="1838">
        <f t="shared" si="24"/>
        <v>0</v>
      </c>
      <c r="Y36" s="1838">
        <f t="shared" si="25"/>
        <v>0</v>
      </c>
      <c r="Z36" s="1840"/>
    </row>
    <row r="37" spans="1:26">
      <c r="A37" s="1770"/>
      <c r="B37" s="1771"/>
      <c r="C37" s="1762">
        <f t="shared" si="14"/>
        <v>1</v>
      </c>
      <c r="D37" s="1769"/>
      <c r="E37" s="1762">
        <f t="shared" si="15"/>
        <v>1</v>
      </c>
      <c r="F37" s="1769"/>
      <c r="G37" s="1762">
        <f t="shared" si="16"/>
        <v>1</v>
      </c>
      <c r="H37" s="1769"/>
      <c r="I37" s="1762">
        <f t="shared" si="17"/>
        <v>1</v>
      </c>
      <c r="J37" s="1769"/>
      <c r="K37" s="1762">
        <f t="shared" si="18"/>
        <v>1</v>
      </c>
      <c r="L37" s="1769"/>
      <c r="M37" s="1762">
        <f t="shared" si="19"/>
        <v>1</v>
      </c>
      <c r="N37" s="1769"/>
      <c r="O37" s="1762">
        <f t="shared" si="20"/>
        <v>1</v>
      </c>
      <c r="P37" s="1769"/>
      <c r="Q37" s="1762">
        <f t="shared" si="21"/>
        <v>1</v>
      </c>
      <c r="R37" s="1833">
        <f ca="1" t="shared" si="26"/>
        <v>0</v>
      </c>
      <c r="S37" s="1716">
        <f ca="1" t="shared" si="27"/>
        <v>0</v>
      </c>
      <c r="T37" s="1768">
        <f ca="1" t="shared" si="28"/>
        <v>0</v>
      </c>
      <c r="U37" s="1838">
        <f t="shared" si="22"/>
        <v>0</v>
      </c>
      <c r="V37" s="1838">
        <f t="shared" si="23"/>
        <v>0</v>
      </c>
      <c r="W37" s="1840"/>
      <c r="X37" s="1838">
        <f t="shared" si="24"/>
        <v>0</v>
      </c>
      <c r="Y37" s="1838">
        <f t="shared" si="25"/>
        <v>0</v>
      </c>
      <c r="Z37" s="1840"/>
    </row>
    <row r="38" spans="1:26">
      <c r="A38" s="1770"/>
      <c r="B38" s="1771"/>
      <c r="C38" s="1762">
        <f t="shared" si="14"/>
        <v>1</v>
      </c>
      <c r="D38" s="1769"/>
      <c r="E38" s="1762">
        <f t="shared" si="15"/>
        <v>1</v>
      </c>
      <c r="F38" s="1769"/>
      <c r="G38" s="1762">
        <f t="shared" si="16"/>
        <v>1</v>
      </c>
      <c r="H38" s="1769"/>
      <c r="I38" s="1762">
        <f t="shared" si="17"/>
        <v>1</v>
      </c>
      <c r="J38" s="1769"/>
      <c r="K38" s="1762">
        <f t="shared" si="18"/>
        <v>1</v>
      </c>
      <c r="L38" s="1769"/>
      <c r="M38" s="1762">
        <f t="shared" si="19"/>
        <v>1</v>
      </c>
      <c r="N38" s="1769"/>
      <c r="O38" s="1762">
        <f t="shared" si="20"/>
        <v>1</v>
      </c>
      <c r="P38" s="1769"/>
      <c r="Q38" s="1762">
        <f t="shared" si="21"/>
        <v>1</v>
      </c>
      <c r="R38" s="1833">
        <f ca="1" t="shared" si="26"/>
        <v>0</v>
      </c>
      <c r="S38" s="1716">
        <f ca="1" t="shared" si="27"/>
        <v>0</v>
      </c>
      <c r="T38" s="1768">
        <f ca="1" t="shared" si="28"/>
        <v>0</v>
      </c>
      <c r="U38" s="1838">
        <f t="shared" si="22"/>
        <v>0</v>
      </c>
      <c r="V38" s="1838">
        <f t="shared" si="23"/>
        <v>0</v>
      </c>
      <c r="W38" s="1840"/>
      <c r="X38" s="1838">
        <f t="shared" si="24"/>
        <v>0</v>
      </c>
      <c r="Y38" s="1838">
        <f t="shared" si="25"/>
        <v>0</v>
      </c>
      <c r="Z38" s="1840"/>
    </row>
    <row r="39" spans="1:26">
      <c r="A39" s="1770"/>
      <c r="B39" s="1771"/>
      <c r="C39" s="1762">
        <f t="shared" si="14"/>
        <v>1</v>
      </c>
      <c r="D39" s="1769"/>
      <c r="E39" s="1762">
        <f t="shared" si="15"/>
        <v>1</v>
      </c>
      <c r="F39" s="1769"/>
      <c r="G39" s="1762">
        <f t="shared" si="16"/>
        <v>1</v>
      </c>
      <c r="H39" s="1769"/>
      <c r="I39" s="1762">
        <f t="shared" si="17"/>
        <v>1</v>
      </c>
      <c r="J39" s="1769"/>
      <c r="K39" s="1762">
        <f t="shared" si="18"/>
        <v>1</v>
      </c>
      <c r="L39" s="1769"/>
      <c r="M39" s="1762">
        <f t="shared" si="19"/>
        <v>1</v>
      </c>
      <c r="N39" s="1769"/>
      <c r="O39" s="1762">
        <f t="shared" si="20"/>
        <v>1</v>
      </c>
      <c r="P39" s="1769"/>
      <c r="Q39" s="1762">
        <f t="shared" si="21"/>
        <v>1</v>
      </c>
      <c r="R39" s="1833">
        <f ca="1" t="shared" si="26"/>
        <v>0</v>
      </c>
      <c r="S39" s="1716">
        <f ca="1" t="shared" si="27"/>
        <v>0</v>
      </c>
      <c r="T39" s="1768">
        <f ca="1" t="shared" si="28"/>
        <v>0</v>
      </c>
      <c r="U39" s="1838">
        <f t="shared" si="22"/>
        <v>0</v>
      </c>
      <c r="V39" s="1838">
        <f t="shared" si="23"/>
        <v>0</v>
      </c>
      <c r="W39" s="1840"/>
      <c r="X39" s="1838">
        <f t="shared" si="24"/>
        <v>0</v>
      </c>
      <c r="Y39" s="1838">
        <f t="shared" si="25"/>
        <v>0</v>
      </c>
      <c r="Z39" s="1840"/>
    </row>
    <row r="40" spans="1:26">
      <c r="A40" s="1770"/>
      <c r="B40" s="1771"/>
      <c r="C40" s="1762">
        <f t="shared" si="14"/>
        <v>1</v>
      </c>
      <c r="D40" s="1769"/>
      <c r="E40" s="1762">
        <f t="shared" si="15"/>
        <v>1</v>
      </c>
      <c r="F40" s="1769"/>
      <c r="G40" s="1762">
        <f t="shared" si="16"/>
        <v>1</v>
      </c>
      <c r="H40" s="1769"/>
      <c r="I40" s="1762">
        <f t="shared" si="17"/>
        <v>1</v>
      </c>
      <c r="J40" s="1769"/>
      <c r="K40" s="1762">
        <f t="shared" si="18"/>
        <v>1</v>
      </c>
      <c r="L40" s="1769"/>
      <c r="M40" s="1762">
        <f t="shared" si="19"/>
        <v>1</v>
      </c>
      <c r="N40" s="1769"/>
      <c r="O40" s="1762">
        <f t="shared" si="20"/>
        <v>1</v>
      </c>
      <c r="P40" s="1769"/>
      <c r="Q40" s="1762">
        <f t="shared" si="21"/>
        <v>1</v>
      </c>
      <c r="R40" s="1833">
        <f ca="1" t="shared" si="26"/>
        <v>0</v>
      </c>
      <c r="S40" s="1716">
        <f ca="1" t="shared" si="27"/>
        <v>0</v>
      </c>
      <c r="T40" s="1768">
        <f ca="1" t="shared" si="28"/>
        <v>0</v>
      </c>
      <c r="U40" s="1838">
        <f t="shared" si="22"/>
        <v>0</v>
      </c>
      <c r="V40" s="1838">
        <f t="shared" si="23"/>
        <v>0</v>
      </c>
      <c r="W40" s="1840"/>
      <c r="X40" s="1838">
        <f t="shared" si="24"/>
        <v>0</v>
      </c>
      <c r="Y40" s="1838">
        <f t="shared" si="25"/>
        <v>0</v>
      </c>
      <c r="Z40" s="1840"/>
    </row>
    <row r="41" spans="1:26">
      <c r="A41" s="1770"/>
      <c r="B41" s="1771"/>
      <c r="C41" s="1762">
        <f t="shared" si="14"/>
        <v>1</v>
      </c>
      <c r="D41" s="1769"/>
      <c r="E41" s="1762">
        <f t="shared" si="15"/>
        <v>1</v>
      </c>
      <c r="F41" s="1769"/>
      <c r="G41" s="1762">
        <f t="shared" si="16"/>
        <v>1</v>
      </c>
      <c r="H41" s="1769"/>
      <c r="I41" s="1762">
        <f t="shared" si="17"/>
        <v>1</v>
      </c>
      <c r="J41" s="1769"/>
      <c r="K41" s="1762">
        <f t="shared" si="18"/>
        <v>1</v>
      </c>
      <c r="L41" s="1769"/>
      <c r="M41" s="1762">
        <f t="shared" si="19"/>
        <v>1</v>
      </c>
      <c r="N41" s="1769"/>
      <c r="O41" s="1762">
        <f t="shared" si="20"/>
        <v>1</v>
      </c>
      <c r="P41" s="1769"/>
      <c r="Q41" s="1762">
        <f t="shared" si="21"/>
        <v>1</v>
      </c>
      <c r="R41" s="1833">
        <f ca="1" t="shared" si="26"/>
        <v>0</v>
      </c>
      <c r="S41" s="1716">
        <f ca="1" t="shared" si="27"/>
        <v>0</v>
      </c>
      <c r="T41" s="1768">
        <f ca="1" t="shared" si="28"/>
        <v>0</v>
      </c>
      <c r="U41" s="1838">
        <f t="shared" si="22"/>
        <v>0</v>
      </c>
      <c r="V41" s="1838">
        <f t="shared" si="23"/>
        <v>0</v>
      </c>
      <c r="W41" s="1840"/>
      <c r="X41" s="1838">
        <f t="shared" si="24"/>
        <v>0</v>
      </c>
      <c r="Y41" s="1838">
        <f t="shared" si="25"/>
        <v>0</v>
      </c>
      <c r="Z41" s="1840"/>
    </row>
    <row r="42" spans="1:26">
      <c r="A42" s="1770"/>
      <c r="B42" s="1771"/>
      <c r="C42" s="1762">
        <f t="shared" si="14"/>
        <v>1</v>
      </c>
      <c r="D42" s="1769"/>
      <c r="E42" s="1762">
        <f t="shared" si="15"/>
        <v>1</v>
      </c>
      <c r="F42" s="1769"/>
      <c r="G42" s="1762">
        <f t="shared" si="16"/>
        <v>1</v>
      </c>
      <c r="H42" s="1769"/>
      <c r="I42" s="1762">
        <f t="shared" si="17"/>
        <v>1</v>
      </c>
      <c r="J42" s="1769"/>
      <c r="K42" s="1762">
        <f t="shared" si="18"/>
        <v>1</v>
      </c>
      <c r="L42" s="1769"/>
      <c r="M42" s="1762">
        <f t="shared" si="19"/>
        <v>1</v>
      </c>
      <c r="N42" s="1769"/>
      <c r="O42" s="1762">
        <f t="shared" si="20"/>
        <v>1</v>
      </c>
      <c r="P42" s="1769"/>
      <c r="Q42" s="1762">
        <f t="shared" si="21"/>
        <v>1</v>
      </c>
      <c r="R42" s="1833">
        <f ca="1" t="shared" si="26"/>
        <v>0</v>
      </c>
      <c r="S42" s="1716">
        <f ca="1" t="shared" si="27"/>
        <v>0</v>
      </c>
      <c r="T42" s="1768">
        <f ca="1" t="shared" si="28"/>
        <v>0</v>
      </c>
      <c r="U42" s="1838">
        <f t="shared" si="22"/>
        <v>0</v>
      </c>
      <c r="V42" s="1838">
        <f t="shared" si="23"/>
        <v>0</v>
      </c>
      <c r="W42" s="1840"/>
      <c r="X42" s="1838">
        <f t="shared" si="24"/>
        <v>0</v>
      </c>
      <c r="Y42" s="1838">
        <f t="shared" si="25"/>
        <v>0</v>
      </c>
      <c r="Z42" s="1840"/>
    </row>
    <row r="43" spans="1:26">
      <c r="A43" s="1770"/>
      <c r="B43" s="1771"/>
      <c r="C43" s="1762">
        <f t="shared" si="14"/>
        <v>1</v>
      </c>
      <c r="D43" s="1769"/>
      <c r="E43" s="1762">
        <f t="shared" si="15"/>
        <v>1</v>
      </c>
      <c r="F43" s="1769"/>
      <c r="G43" s="1762">
        <f t="shared" si="16"/>
        <v>1</v>
      </c>
      <c r="H43" s="1769"/>
      <c r="I43" s="1762">
        <f t="shared" si="17"/>
        <v>1</v>
      </c>
      <c r="J43" s="1769"/>
      <c r="K43" s="1762">
        <f t="shared" si="18"/>
        <v>1</v>
      </c>
      <c r="L43" s="1769"/>
      <c r="M43" s="1762">
        <f t="shared" si="19"/>
        <v>1</v>
      </c>
      <c r="N43" s="1769"/>
      <c r="O43" s="1762">
        <f t="shared" si="20"/>
        <v>1</v>
      </c>
      <c r="P43" s="1769"/>
      <c r="Q43" s="1762">
        <f t="shared" si="21"/>
        <v>1</v>
      </c>
      <c r="R43" s="1833">
        <f ca="1" t="shared" si="26"/>
        <v>0</v>
      </c>
      <c r="S43" s="1716">
        <f ca="1" t="shared" si="27"/>
        <v>0</v>
      </c>
      <c r="T43" s="1768">
        <f ca="1" t="shared" si="28"/>
        <v>0</v>
      </c>
      <c r="U43" s="1838">
        <f t="shared" si="22"/>
        <v>0</v>
      </c>
      <c r="V43" s="1838">
        <f t="shared" si="23"/>
        <v>0</v>
      </c>
      <c r="W43" s="1840"/>
      <c r="X43" s="1838">
        <f t="shared" si="24"/>
        <v>0</v>
      </c>
      <c r="Y43" s="1838">
        <f t="shared" si="25"/>
        <v>0</v>
      </c>
      <c r="Z43" s="1840"/>
    </row>
    <row r="44" spans="1:26">
      <c r="A44" s="1770"/>
      <c r="B44" s="1771"/>
      <c r="C44" s="1762">
        <f t="shared" si="14"/>
        <v>1</v>
      </c>
      <c r="D44" s="1769"/>
      <c r="E44" s="1762">
        <f t="shared" si="15"/>
        <v>1</v>
      </c>
      <c r="F44" s="1769"/>
      <c r="G44" s="1762">
        <f t="shared" si="16"/>
        <v>1</v>
      </c>
      <c r="H44" s="1769"/>
      <c r="I44" s="1762">
        <f t="shared" si="17"/>
        <v>1</v>
      </c>
      <c r="J44" s="1769"/>
      <c r="K44" s="1762">
        <f t="shared" si="18"/>
        <v>1</v>
      </c>
      <c r="L44" s="1769"/>
      <c r="M44" s="1762">
        <f t="shared" si="19"/>
        <v>1</v>
      </c>
      <c r="N44" s="1769"/>
      <c r="O44" s="1762">
        <f t="shared" si="20"/>
        <v>1</v>
      </c>
      <c r="P44" s="1769"/>
      <c r="Q44" s="1762">
        <f t="shared" si="21"/>
        <v>1</v>
      </c>
      <c r="R44" s="1833">
        <f ca="1" t="shared" si="26"/>
        <v>0</v>
      </c>
      <c r="S44" s="1716">
        <f ca="1" t="shared" si="27"/>
        <v>0</v>
      </c>
      <c r="T44" s="1768">
        <f ca="1" t="shared" si="28"/>
        <v>0</v>
      </c>
      <c r="U44" s="1838">
        <f t="shared" si="22"/>
        <v>0</v>
      </c>
      <c r="V44" s="1838">
        <f t="shared" si="23"/>
        <v>0</v>
      </c>
      <c r="W44" s="1840"/>
      <c r="X44" s="1838">
        <f t="shared" si="24"/>
        <v>0</v>
      </c>
      <c r="Y44" s="1838">
        <f t="shared" si="25"/>
        <v>0</v>
      </c>
      <c r="Z44" s="1840"/>
    </row>
    <row r="45" spans="1:26">
      <c r="A45" s="1770"/>
      <c r="B45" s="1771"/>
      <c r="C45" s="1762">
        <f t="shared" si="14"/>
        <v>1</v>
      </c>
      <c r="D45" s="1769"/>
      <c r="E45" s="1762">
        <f t="shared" si="15"/>
        <v>1</v>
      </c>
      <c r="F45" s="1769"/>
      <c r="G45" s="1762">
        <f t="shared" si="16"/>
        <v>1</v>
      </c>
      <c r="H45" s="1769"/>
      <c r="I45" s="1762">
        <f t="shared" si="17"/>
        <v>1</v>
      </c>
      <c r="J45" s="1769"/>
      <c r="K45" s="1762">
        <f t="shared" si="18"/>
        <v>1</v>
      </c>
      <c r="L45" s="1769"/>
      <c r="M45" s="1762">
        <f t="shared" si="19"/>
        <v>1</v>
      </c>
      <c r="N45" s="1769"/>
      <c r="O45" s="1762">
        <f t="shared" si="20"/>
        <v>1</v>
      </c>
      <c r="P45" s="1769"/>
      <c r="Q45" s="1762">
        <f t="shared" si="21"/>
        <v>1</v>
      </c>
      <c r="R45" s="1833">
        <f ca="1" t="shared" si="26"/>
        <v>0</v>
      </c>
      <c r="S45" s="1716">
        <f ca="1" t="shared" si="27"/>
        <v>0</v>
      </c>
      <c r="T45" s="1768">
        <f ca="1" t="shared" si="28"/>
        <v>0</v>
      </c>
      <c r="U45" s="1838">
        <f t="shared" si="22"/>
        <v>0</v>
      </c>
      <c r="V45" s="1838">
        <f t="shared" si="23"/>
        <v>0</v>
      </c>
      <c r="W45" s="1840"/>
      <c r="X45" s="1838">
        <f t="shared" si="24"/>
        <v>0</v>
      </c>
      <c r="Y45" s="1838">
        <f t="shared" si="25"/>
        <v>0</v>
      </c>
      <c r="Z45" s="1840"/>
    </row>
    <row r="46" spans="1:26">
      <c r="A46" s="1770"/>
      <c r="B46" s="1771"/>
      <c r="C46" s="1762">
        <f t="shared" si="14"/>
        <v>1</v>
      </c>
      <c r="D46" s="1769"/>
      <c r="E46" s="1762">
        <f t="shared" si="15"/>
        <v>1</v>
      </c>
      <c r="F46" s="1769"/>
      <c r="G46" s="1762">
        <f t="shared" si="16"/>
        <v>1</v>
      </c>
      <c r="H46" s="1769"/>
      <c r="I46" s="1762">
        <f t="shared" si="17"/>
        <v>1</v>
      </c>
      <c r="J46" s="1769"/>
      <c r="K46" s="1762">
        <f t="shared" si="18"/>
        <v>1</v>
      </c>
      <c r="L46" s="1769"/>
      <c r="M46" s="1762">
        <f t="shared" si="19"/>
        <v>1</v>
      </c>
      <c r="N46" s="1769"/>
      <c r="O46" s="1762">
        <f t="shared" si="20"/>
        <v>1</v>
      </c>
      <c r="P46" s="1769"/>
      <c r="Q46" s="1762">
        <f t="shared" si="21"/>
        <v>1</v>
      </c>
      <c r="R46" s="1833">
        <f ca="1" t="shared" si="26"/>
        <v>0</v>
      </c>
      <c r="S46" s="1716">
        <f ca="1" t="shared" si="27"/>
        <v>0</v>
      </c>
      <c r="T46" s="1768">
        <f ca="1" t="shared" si="28"/>
        <v>0</v>
      </c>
      <c r="U46" s="1838">
        <f t="shared" si="22"/>
        <v>0</v>
      </c>
      <c r="V46" s="1838">
        <f t="shared" si="23"/>
        <v>0</v>
      </c>
      <c r="W46" s="1840"/>
      <c r="X46" s="1838">
        <f t="shared" si="24"/>
        <v>0</v>
      </c>
      <c r="Y46" s="1838">
        <f t="shared" si="25"/>
        <v>0</v>
      </c>
      <c r="Z46" s="1840"/>
    </row>
    <row r="47" spans="1:26">
      <c r="A47" s="1770"/>
      <c r="B47" s="1771"/>
      <c r="C47" s="1762">
        <f t="shared" si="14"/>
        <v>1</v>
      </c>
      <c r="D47" s="1769"/>
      <c r="E47" s="1762">
        <f t="shared" si="15"/>
        <v>1</v>
      </c>
      <c r="F47" s="1769"/>
      <c r="G47" s="1762">
        <f t="shared" si="16"/>
        <v>1</v>
      </c>
      <c r="H47" s="1769"/>
      <c r="I47" s="1762">
        <f t="shared" si="17"/>
        <v>1</v>
      </c>
      <c r="J47" s="1769"/>
      <c r="K47" s="1762">
        <f t="shared" si="18"/>
        <v>1</v>
      </c>
      <c r="L47" s="1769"/>
      <c r="M47" s="1762">
        <f t="shared" si="19"/>
        <v>1</v>
      </c>
      <c r="N47" s="1769"/>
      <c r="O47" s="1762">
        <f t="shared" si="20"/>
        <v>1</v>
      </c>
      <c r="P47" s="1769"/>
      <c r="Q47" s="1762">
        <f t="shared" si="21"/>
        <v>1</v>
      </c>
      <c r="R47" s="1833">
        <f ca="1" t="shared" si="26"/>
        <v>0</v>
      </c>
      <c r="S47" s="1716">
        <f ca="1" t="shared" si="27"/>
        <v>0</v>
      </c>
      <c r="T47" s="1768">
        <f ca="1" t="shared" si="28"/>
        <v>0</v>
      </c>
      <c r="U47" s="1838">
        <f t="shared" si="22"/>
        <v>0</v>
      </c>
      <c r="V47" s="1838">
        <f t="shared" si="23"/>
        <v>0</v>
      </c>
      <c r="W47" s="1840"/>
      <c r="X47" s="1838">
        <f t="shared" si="24"/>
        <v>0</v>
      </c>
      <c r="Y47" s="1838">
        <f t="shared" si="25"/>
        <v>0</v>
      </c>
      <c r="Z47" s="1840"/>
    </row>
    <row r="48" spans="1:26">
      <c r="A48" s="1770"/>
      <c r="B48" s="1771"/>
      <c r="C48" s="1762">
        <f t="shared" si="14"/>
        <v>1</v>
      </c>
      <c r="D48" s="1769"/>
      <c r="E48" s="1762">
        <f t="shared" si="15"/>
        <v>1</v>
      </c>
      <c r="F48" s="1769"/>
      <c r="G48" s="1762">
        <f t="shared" si="16"/>
        <v>1</v>
      </c>
      <c r="H48" s="1769"/>
      <c r="I48" s="1762">
        <f t="shared" si="17"/>
        <v>1</v>
      </c>
      <c r="J48" s="1769"/>
      <c r="K48" s="1762">
        <f t="shared" si="18"/>
        <v>1</v>
      </c>
      <c r="L48" s="1769"/>
      <c r="M48" s="1762">
        <f t="shared" si="19"/>
        <v>1</v>
      </c>
      <c r="N48" s="1769"/>
      <c r="O48" s="1762">
        <f t="shared" si="20"/>
        <v>1</v>
      </c>
      <c r="P48" s="1769"/>
      <c r="Q48" s="1762">
        <f t="shared" si="21"/>
        <v>1</v>
      </c>
      <c r="R48" s="1833">
        <f ca="1" t="shared" si="26"/>
        <v>0</v>
      </c>
      <c r="S48" s="1716">
        <f ca="1" t="shared" si="27"/>
        <v>0</v>
      </c>
      <c r="T48" s="1768">
        <f ca="1" t="shared" si="28"/>
        <v>0</v>
      </c>
      <c r="U48" s="1838">
        <f t="shared" si="22"/>
        <v>0</v>
      </c>
      <c r="V48" s="1838">
        <f t="shared" si="23"/>
        <v>0</v>
      </c>
      <c r="W48" s="1840"/>
      <c r="X48" s="1838">
        <f t="shared" si="24"/>
        <v>0</v>
      </c>
      <c r="Y48" s="1838">
        <f t="shared" si="25"/>
        <v>0</v>
      </c>
      <c r="Z48" s="1840"/>
    </row>
    <row r="49" spans="1:26">
      <c r="A49" s="1770"/>
      <c r="B49" s="1771"/>
      <c r="C49" s="1762">
        <f t="shared" si="14"/>
        <v>1</v>
      </c>
      <c r="D49" s="1769"/>
      <c r="E49" s="1762">
        <f t="shared" si="15"/>
        <v>1</v>
      </c>
      <c r="F49" s="1769"/>
      <c r="G49" s="1762">
        <f t="shared" si="16"/>
        <v>1</v>
      </c>
      <c r="H49" s="1769"/>
      <c r="I49" s="1762">
        <f t="shared" si="17"/>
        <v>1</v>
      </c>
      <c r="J49" s="1769"/>
      <c r="K49" s="1762">
        <f t="shared" si="18"/>
        <v>1</v>
      </c>
      <c r="L49" s="1769"/>
      <c r="M49" s="1762">
        <f t="shared" si="19"/>
        <v>1</v>
      </c>
      <c r="N49" s="1769"/>
      <c r="O49" s="1762">
        <f t="shared" si="20"/>
        <v>1</v>
      </c>
      <c r="P49" s="1769"/>
      <c r="Q49" s="1762">
        <f t="shared" si="21"/>
        <v>1</v>
      </c>
      <c r="R49" s="1833">
        <f ca="1" t="shared" si="26"/>
        <v>0</v>
      </c>
      <c r="S49" s="1716">
        <f ca="1" t="shared" si="27"/>
        <v>0</v>
      </c>
      <c r="T49" s="1768">
        <f ca="1" t="shared" si="28"/>
        <v>0</v>
      </c>
      <c r="U49" s="1838">
        <f t="shared" si="22"/>
        <v>0</v>
      </c>
      <c r="V49" s="1838">
        <f t="shared" si="23"/>
        <v>0</v>
      </c>
      <c r="W49" s="1840"/>
      <c r="X49" s="1838">
        <f t="shared" si="24"/>
        <v>0</v>
      </c>
      <c r="Y49" s="1838">
        <f t="shared" si="25"/>
        <v>0</v>
      </c>
      <c r="Z49" s="1840"/>
    </row>
    <row r="50" spans="1:26">
      <c r="A50" s="1770"/>
      <c r="B50" s="1771"/>
      <c r="C50" s="1762">
        <f t="shared" si="14"/>
        <v>1</v>
      </c>
      <c r="D50" s="1769"/>
      <c r="E50" s="1762">
        <f t="shared" si="15"/>
        <v>1</v>
      </c>
      <c r="F50" s="1769"/>
      <c r="G50" s="1762">
        <f t="shared" si="16"/>
        <v>1</v>
      </c>
      <c r="H50" s="1769"/>
      <c r="I50" s="1762">
        <f t="shared" si="17"/>
        <v>1</v>
      </c>
      <c r="J50" s="1769"/>
      <c r="K50" s="1762">
        <f t="shared" si="18"/>
        <v>1</v>
      </c>
      <c r="L50" s="1769"/>
      <c r="M50" s="1762">
        <f t="shared" si="19"/>
        <v>1</v>
      </c>
      <c r="N50" s="1769"/>
      <c r="O50" s="1762">
        <f t="shared" si="20"/>
        <v>1</v>
      </c>
      <c r="P50" s="1769"/>
      <c r="Q50" s="1762">
        <f t="shared" si="21"/>
        <v>1</v>
      </c>
      <c r="R50" s="1833">
        <f ca="1" t="shared" si="26"/>
        <v>0</v>
      </c>
      <c r="S50" s="1716">
        <f ca="1" t="shared" si="27"/>
        <v>0</v>
      </c>
      <c r="T50" s="1768">
        <f ca="1" t="shared" si="28"/>
        <v>0</v>
      </c>
      <c r="U50" s="1838">
        <f t="shared" si="22"/>
        <v>0</v>
      </c>
      <c r="V50" s="1838">
        <f t="shared" si="23"/>
        <v>0</v>
      </c>
      <c r="W50" s="1840"/>
      <c r="X50" s="1838">
        <f t="shared" si="24"/>
        <v>0</v>
      </c>
      <c r="Y50" s="1838">
        <f t="shared" si="25"/>
        <v>0</v>
      </c>
      <c r="Z50" s="1840"/>
    </row>
    <row r="51" spans="1:26">
      <c r="A51" s="1770"/>
      <c r="B51" s="1771"/>
      <c r="C51" s="1762">
        <f t="shared" si="14"/>
        <v>1</v>
      </c>
      <c r="D51" s="1769"/>
      <c r="E51" s="1762">
        <f t="shared" si="15"/>
        <v>1</v>
      </c>
      <c r="F51" s="1769"/>
      <c r="G51" s="1762">
        <f t="shared" si="16"/>
        <v>1</v>
      </c>
      <c r="H51" s="1769"/>
      <c r="I51" s="1762">
        <f t="shared" si="17"/>
        <v>1</v>
      </c>
      <c r="J51" s="1769"/>
      <c r="K51" s="1762">
        <f t="shared" si="18"/>
        <v>1</v>
      </c>
      <c r="L51" s="1769"/>
      <c r="M51" s="1762">
        <f t="shared" si="19"/>
        <v>1</v>
      </c>
      <c r="N51" s="1769"/>
      <c r="O51" s="1762">
        <f t="shared" si="20"/>
        <v>1</v>
      </c>
      <c r="P51" s="1769"/>
      <c r="Q51" s="1762">
        <f t="shared" si="21"/>
        <v>1</v>
      </c>
      <c r="R51" s="1833">
        <f ca="1" t="shared" si="26"/>
        <v>0</v>
      </c>
      <c r="S51" s="1716">
        <f ca="1" t="shared" si="27"/>
        <v>0</v>
      </c>
      <c r="T51" s="1768">
        <f ca="1" t="shared" si="28"/>
        <v>0</v>
      </c>
      <c r="U51" s="1838">
        <f t="shared" si="22"/>
        <v>0</v>
      </c>
      <c r="V51" s="1838">
        <f t="shared" si="23"/>
        <v>0</v>
      </c>
      <c r="W51" s="1840"/>
      <c r="X51" s="1838">
        <f t="shared" si="24"/>
        <v>0</v>
      </c>
      <c r="Y51" s="1838">
        <f t="shared" si="25"/>
        <v>0</v>
      </c>
      <c r="Z51" s="1840"/>
    </row>
    <row r="52" spans="1:26">
      <c r="A52" s="1770"/>
      <c r="B52" s="1771"/>
      <c r="C52" s="1762">
        <f t="shared" si="14"/>
        <v>1</v>
      </c>
      <c r="D52" s="1769"/>
      <c r="E52" s="1762">
        <f t="shared" si="15"/>
        <v>1</v>
      </c>
      <c r="F52" s="1769"/>
      <c r="G52" s="1762">
        <f t="shared" si="16"/>
        <v>1</v>
      </c>
      <c r="H52" s="1769"/>
      <c r="I52" s="1762">
        <f t="shared" si="17"/>
        <v>1</v>
      </c>
      <c r="J52" s="1769"/>
      <c r="K52" s="1762">
        <f t="shared" si="18"/>
        <v>1</v>
      </c>
      <c r="L52" s="1769"/>
      <c r="M52" s="1762">
        <f t="shared" si="19"/>
        <v>1</v>
      </c>
      <c r="N52" s="1769"/>
      <c r="O52" s="1762">
        <f t="shared" si="20"/>
        <v>1</v>
      </c>
      <c r="P52" s="1769"/>
      <c r="Q52" s="1762">
        <f t="shared" si="21"/>
        <v>1</v>
      </c>
      <c r="R52" s="1833">
        <f ca="1" t="shared" si="26"/>
        <v>0</v>
      </c>
      <c r="S52" s="1716">
        <f ca="1" t="shared" si="27"/>
        <v>0</v>
      </c>
      <c r="T52" s="1768">
        <f ca="1" t="shared" si="28"/>
        <v>0</v>
      </c>
      <c r="U52" s="1838">
        <f t="shared" si="22"/>
        <v>0</v>
      </c>
      <c r="V52" s="1838">
        <f t="shared" si="23"/>
        <v>0</v>
      </c>
      <c r="W52" s="1840"/>
      <c r="X52" s="1838">
        <f t="shared" si="24"/>
        <v>0</v>
      </c>
      <c r="Y52" s="1838">
        <f t="shared" si="25"/>
        <v>0</v>
      </c>
      <c r="Z52" s="1840"/>
    </row>
    <row r="53" spans="1:26">
      <c r="A53" s="1770"/>
      <c r="B53" s="1771"/>
      <c r="C53" s="1762">
        <f t="shared" si="14"/>
        <v>1</v>
      </c>
      <c r="D53" s="1769"/>
      <c r="E53" s="1762">
        <f t="shared" si="15"/>
        <v>1</v>
      </c>
      <c r="F53" s="1769"/>
      <c r="G53" s="1762">
        <f t="shared" si="16"/>
        <v>1</v>
      </c>
      <c r="H53" s="1769"/>
      <c r="I53" s="1762">
        <f t="shared" si="17"/>
        <v>1</v>
      </c>
      <c r="J53" s="1769"/>
      <c r="K53" s="1762">
        <f t="shared" si="18"/>
        <v>1</v>
      </c>
      <c r="L53" s="1769"/>
      <c r="M53" s="1762">
        <f t="shared" si="19"/>
        <v>1</v>
      </c>
      <c r="N53" s="1769"/>
      <c r="O53" s="1762">
        <f t="shared" si="20"/>
        <v>1</v>
      </c>
      <c r="P53" s="1769"/>
      <c r="Q53" s="1762">
        <f t="shared" si="21"/>
        <v>1</v>
      </c>
      <c r="R53" s="1833">
        <f ca="1" t="shared" si="26"/>
        <v>0</v>
      </c>
      <c r="S53" s="1716">
        <f ca="1" t="shared" si="27"/>
        <v>0</v>
      </c>
      <c r="T53" s="1768">
        <f ca="1" t="shared" si="28"/>
        <v>0</v>
      </c>
      <c r="U53" s="1838">
        <f t="shared" si="22"/>
        <v>0</v>
      </c>
      <c r="V53" s="1838">
        <f t="shared" si="23"/>
        <v>0</v>
      </c>
      <c r="W53" s="1840"/>
      <c r="X53" s="1838">
        <f t="shared" si="24"/>
        <v>0</v>
      </c>
      <c r="Y53" s="1838">
        <f t="shared" si="25"/>
        <v>0</v>
      </c>
      <c r="Z53" s="1840"/>
    </row>
    <row r="54" spans="1:26">
      <c r="A54" s="1770"/>
      <c r="B54" s="1771"/>
      <c r="C54" s="1762">
        <f t="shared" si="14"/>
        <v>1</v>
      </c>
      <c r="D54" s="1769"/>
      <c r="E54" s="1762">
        <f t="shared" si="15"/>
        <v>1</v>
      </c>
      <c r="F54" s="1769"/>
      <c r="G54" s="1762">
        <f t="shared" si="16"/>
        <v>1</v>
      </c>
      <c r="H54" s="1769"/>
      <c r="I54" s="1762">
        <f t="shared" si="17"/>
        <v>1</v>
      </c>
      <c r="J54" s="1769"/>
      <c r="K54" s="1762">
        <f t="shared" si="18"/>
        <v>1</v>
      </c>
      <c r="L54" s="1769"/>
      <c r="M54" s="1762">
        <f t="shared" si="19"/>
        <v>1</v>
      </c>
      <c r="N54" s="1769"/>
      <c r="O54" s="1762">
        <f t="shared" si="20"/>
        <v>1</v>
      </c>
      <c r="P54" s="1769"/>
      <c r="Q54" s="1762">
        <f t="shared" si="21"/>
        <v>1</v>
      </c>
      <c r="R54" s="1833">
        <f ca="1" t="shared" si="26"/>
        <v>0</v>
      </c>
      <c r="S54" s="1716">
        <f ca="1" t="shared" si="27"/>
        <v>0</v>
      </c>
      <c r="T54" s="1768">
        <f ca="1" t="shared" si="28"/>
        <v>0</v>
      </c>
      <c r="U54" s="1838">
        <f t="shared" si="22"/>
        <v>0</v>
      </c>
      <c r="V54" s="1838">
        <f t="shared" si="23"/>
        <v>0</v>
      </c>
      <c r="W54" s="1840"/>
      <c r="X54" s="1838">
        <f t="shared" si="24"/>
        <v>0</v>
      </c>
      <c r="Y54" s="1838">
        <f t="shared" si="25"/>
        <v>0</v>
      </c>
      <c r="Z54" s="1840"/>
    </row>
    <row r="55" spans="1:26">
      <c r="A55" s="1770"/>
      <c r="B55" s="1771"/>
      <c r="C55" s="1762">
        <f t="shared" si="14"/>
        <v>1</v>
      </c>
      <c r="D55" s="1769"/>
      <c r="E55" s="1762">
        <f t="shared" si="15"/>
        <v>1</v>
      </c>
      <c r="F55" s="1769"/>
      <c r="G55" s="1762">
        <f t="shared" si="16"/>
        <v>1</v>
      </c>
      <c r="H55" s="1769"/>
      <c r="I55" s="1762">
        <f t="shared" si="17"/>
        <v>1</v>
      </c>
      <c r="J55" s="1769"/>
      <c r="K55" s="1762">
        <f t="shared" si="18"/>
        <v>1</v>
      </c>
      <c r="L55" s="1769"/>
      <c r="M55" s="1762">
        <f t="shared" si="19"/>
        <v>1</v>
      </c>
      <c r="N55" s="1769"/>
      <c r="O55" s="1762">
        <f t="shared" si="20"/>
        <v>1</v>
      </c>
      <c r="P55" s="1769"/>
      <c r="Q55" s="1762">
        <f t="shared" si="21"/>
        <v>1</v>
      </c>
      <c r="R55" s="1833">
        <f ca="1" t="shared" si="26"/>
        <v>0</v>
      </c>
      <c r="S55" s="1716">
        <f ca="1" t="shared" si="27"/>
        <v>0</v>
      </c>
      <c r="T55" s="1768">
        <f ca="1" t="shared" si="28"/>
        <v>0</v>
      </c>
      <c r="U55" s="1838">
        <f t="shared" si="22"/>
        <v>0</v>
      </c>
      <c r="V55" s="1838">
        <f t="shared" si="23"/>
        <v>0</v>
      </c>
      <c r="W55" s="1840"/>
      <c r="X55" s="1838">
        <f t="shared" si="24"/>
        <v>0</v>
      </c>
      <c r="Y55" s="1838">
        <f t="shared" si="25"/>
        <v>0</v>
      </c>
      <c r="Z55" s="1840"/>
    </row>
    <row r="56" spans="1:26">
      <c r="A56" s="1770"/>
      <c r="B56" s="1771"/>
      <c r="C56" s="1762">
        <f t="shared" si="14"/>
        <v>1</v>
      </c>
      <c r="D56" s="1769"/>
      <c r="E56" s="1762">
        <f t="shared" si="15"/>
        <v>1</v>
      </c>
      <c r="F56" s="1769"/>
      <c r="G56" s="1762">
        <f t="shared" si="16"/>
        <v>1</v>
      </c>
      <c r="H56" s="1769"/>
      <c r="I56" s="1762">
        <f t="shared" si="17"/>
        <v>1</v>
      </c>
      <c r="J56" s="1769"/>
      <c r="K56" s="1762">
        <f t="shared" si="18"/>
        <v>1</v>
      </c>
      <c r="L56" s="1769"/>
      <c r="M56" s="1762">
        <f t="shared" si="19"/>
        <v>1</v>
      </c>
      <c r="N56" s="1769"/>
      <c r="O56" s="1762">
        <f t="shared" si="20"/>
        <v>1</v>
      </c>
      <c r="P56" s="1769"/>
      <c r="Q56" s="1762">
        <f t="shared" si="21"/>
        <v>1</v>
      </c>
      <c r="R56" s="1833">
        <f ca="1" t="shared" si="26"/>
        <v>0</v>
      </c>
      <c r="S56" s="1716">
        <f ca="1" t="shared" si="27"/>
        <v>0</v>
      </c>
      <c r="T56" s="1768">
        <f ca="1" t="shared" si="28"/>
        <v>0</v>
      </c>
      <c r="U56" s="1838">
        <f t="shared" si="22"/>
        <v>0</v>
      </c>
      <c r="V56" s="1838">
        <f t="shared" si="23"/>
        <v>0</v>
      </c>
      <c r="W56" s="1840"/>
      <c r="X56" s="1838">
        <f t="shared" si="24"/>
        <v>0</v>
      </c>
      <c r="Y56" s="1838">
        <f t="shared" si="25"/>
        <v>0</v>
      </c>
      <c r="Z56" s="1840"/>
    </row>
    <row r="57" spans="1:26">
      <c r="A57" s="1770"/>
      <c r="B57" s="1771"/>
      <c r="C57" s="1762">
        <f t="shared" si="14"/>
        <v>1</v>
      </c>
      <c r="D57" s="1769"/>
      <c r="E57" s="1762">
        <f t="shared" si="15"/>
        <v>1</v>
      </c>
      <c r="F57" s="1769"/>
      <c r="G57" s="1762">
        <f t="shared" si="16"/>
        <v>1</v>
      </c>
      <c r="H57" s="1769"/>
      <c r="I57" s="1762">
        <f t="shared" si="17"/>
        <v>1</v>
      </c>
      <c r="J57" s="1769"/>
      <c r="K57" s="1762">
        <f t="shared" si="18"/>
        <v>1</v>
      </c>
      <c r="L57" s="1769"/>
      <c r="M57" s="1762">
        <f t="shared" si="19"/>
        <v>1</v>
      </c>
      <c r="N57" s="1769"/>
      <c r="O57" s="1762">
        <f t="shared" si="20"/>
        <v>1</v>
      </c>
      <c r="P57" s="1769"/>
      <c r="Q57" s="1762">
        <f t="shared" si="21"/>
        <v>1</v>
      </c>
      <c r="R57" s="1833">
        <f ca="1" t="shared" si="26"/>
        <v>0</v>
      </c>
      <c r="S57" s="1716">
        <f ca="1" t="shared" si="27"/>
        <v>0</v>
      </c>
      <c r="T57" s="1768">
        <f ca="1" t="shared" si="28"/>
        <v>0</v>
      </c>
      <c r="U57" s="1838">
        <f t="shared" si="22"/>
        <v>0</v>
      </c>
      <c r="V57" s="1838">
        <f t="shared" si="23"/>
        <v>0</v>
      </c>
      <c r="W57" s="1840"/>
      <c r="X57" s="1838">
        <f t="shared" si="24"/>
        <v>0</v>
      </c>
      <c r="Y57" s="1838">
        <f t="shared" si="25"/>
        <v>0</v>
      </c>
      <c r="Z57" s="1840"/>
    </row>
    <row r="58" spans="1:26">
      <c r="A58" s="1770"/>
      <c r="B58" s="1771"/>
      <c r="C58" s="1762">
        <f t="shared" si="14"/>
        <v>1</v>
      </c>
      <c r="D58" s="1769"/>
      <c r="E58" s="1762">
        <f t="shared" si="15"/>
        <v>1</v>
      </c>
      <c r="F58" s="1769"/>
      <c r="G58" s="1762">
        <f t="shared" si="16"/>
        <v>1</v>
      </c>
      <c r="H58" s="1769"/>
      <c r="I58" s="1762">
        <f t="shared" si="17"/>
        <v>1</v>
      </c>
      <c r="J58" s="1769"/>
      <c r="K58" s="1762">
        <f t="shared" si="18"/>
        <v>1</v>
      </c>
      <c r="L58" s="1769"/>
      <c r="M58" s="1762">
        <f t="shared" si="19"/>
        <v>1</v>
      </c>
      <c r="N58" s="1769"/>
      <c r="O58" s="1762">
        <f t="shared" si="20"/>
        <v>1</v>
      </c>
      <c r="P58" s="1769"/>
      <c r="Q58" s="1762">
        <f t="shared" si="21"/>
        <v>1</v>
      </c>
      <c r="R58" s="1833">
        <f ca="1" t="shared" si="26"/>
        <v>0</v>
      </c>
      <c r="S58" s="1716">
        <f ca="1" t="shared" si="27"/>
        <v>0</v>
      </c>
      <c r="T58" s="1768">
        <f ca="1" t="shared" si="28"/>
        <v>0</v>
      </c>
      <c r="U58" s="1838">
        <f t="shared" si="22"/>
        <v>0</v>
      </c>
      <c r="V58" s="1838">
        <f t="shared" si="23"/>
        <v>0</v>
      </c>
      <c r="W58" s="1840"/>
      <c r="X58" s="1838">
        <f t="shared" si="24"/>
        <v>0</v>
      </c>
      <c r="Y58" s="1838">
        <f t="shared" si="25"/>
        <v>0</v>
      </c>
      <c r="Z58" s="1840"/>
    </row>
    <row r="59" spans="1:26">
      <c r="A59" s="1770"/>
      <c r="B59" s="1771"/>
      <c r="C59" s="1762">
        <f t="shared" si="14"/>
        <v>1</v>
      </c>
      <c r="D59" s="1769"/>
      <c r="E59" s="1762">
        <f t="shared" si="15"/>
        <v>1</v>
      </c>
      <c r="F59" s="1769"/>
      <c r="G59" s="1762">
        <f t="shared" si="16"/>
        <v>1</v>
      </c>
      <c r="H59" s="1769"/>
      <c r="I59" s="1762">
        <f t="shared" si="17"/>
        <v>1</v>
      </c>
      <c r="J59" s="1769"/>
      <c r="K59" s="1762">
        <f t="shared" si="18"/>
        <v>1</v>
      </c>
      <c r="L59" s="1769"/>
      <c r="M59" s="1762">
        <f t="shared" si="19"/>
        <v>1</v>
      </c>
      <c r="N59" s="1769"/>
      <c r="O59" s="1762">
        <f t="shared" si="20"/>
        <v>1</v>
      </c>
      <c r="P59" s="1769"/>
      <c r="Q59" s="1762">
        <f t="shared" si="21"/>
        <v>1</v>
      </c>
      <c r="R59" s="1833">
        <f ca="1" t="shared" si="26"/>
        <v>0</v>
      </c>
      <c r="S59" s="1716">
        <f ca="1" t="shared" si="27"/>
        <v>0</v>
      </c>
      <c r="T59" s="1768">
        <f ca="1" t="shared" si="28"/>
        <v>0</v>
      </c>
      <c r="U59" s="1838">
        <f t="shared" si="22"/>
        <v>0</v>
      </c>
      <c r="V59" s="1838">
        <f t="shared" si="23"/>
        <v>0</v>
      </c>
      <c r="W59" s="1840"/>
      <c r="X59" s="1838">
        <f t="shared" si="24"/>
        <v>0</v>
      </c>
      <c r="Y59" s="1838">
        <f t="shared" si="25"/>
        <v>0</v>
      </c>
      <c r="Z59" s="1840"/>
    </row>
    <row r="60" spans="1:26">
      <c r="A60" s="1770"/>
      <c r="B60" s="1771"/>
      <c r="C60" s="1762">
        <f t="shared" si="14"/>
        <v>1</v>
      </c>
      <c r="D60" s="1769"/>
      <c r="E60" s="1762">
        <f t="shared" si="15"/>
        <v>1</v>
      </c>
      <c r="F60" s="1769"/>
      <c r="G60" s="1762">
        <f t="shared" si="16"/>
        <v>1</v>
      </c>
      <c r="H60" s="1769"/>
      <c r="I60" s="1762">
        <f t="shared" si="17"/>
        <v>1</v>
      </c>
      <c r="J60" s="1769"/>
      <c r="K60" s="1762">
        <f t="shared" si="18"/>
        <v>1</v>
      </c>
      <c r="L60" s="1769"/>
      <c r="M60" s="1762">
        <f t="shared" si="19"/>
        <v>1</v>
      </c>
      <c r="N60" s="1769"/>
      <c r="O60" s="1762">
        <f t="shared" si="20"/>
        <v>1</v>
      </c>
      <c r="P60" s="1769"/>
      <c r="Q60" s="1762">
        <f t="shared" si="21"/>
        <v>1</v>
      </c>
      <c r="R60" s="1833">
        <f ca="1" t="shared" si="26"/>
        <v>0</v>
      </c>
      <c r="S60" s="1716">
        <f ca="1" t="shared" si="27"/>
        <v>0</v>
      </c>
      <c r="T60" s="1768">
        <f ca="1" t="shared" si="28"/>
        <v>0</v>
      </c>
      <c r="U60" s="1838">
        <f t="shared" si="22"/>
        <v>0</v>
      </c>
      <c r="V60" s="1838">
        <f t="shared" si="23"/>
        <v>0</v>
      </c>
      <c r="W60" s="1840"/>
      <c r="X60" s="1838">
        <f t="shared" si="24"/>
        <v>0</v>
      </c>
      <c r="Y60" s="1838">
        <f t="shared" si="25"/>
        <v>0</v>
      </c>
      <c r="Z60" s="1840"/>
    </row>
    <row r="61" spans="1:26">
      <c r="A61" s="1770"/>
      <c r="B61" s="1771"/>
      <c r="C61" s="1762">
        <f t="shared" si="14"/>
        <v>1</v>
      </c>
      <c r="D61" s="1769"/>
      <c r="E61" s="1762">
        <f t="shared" si="15"/>
        <v>1</v>
      </c>
      <c r="F61" s="1769"/>
      <c r="G61" s="1762">
        <f t="shared" si="16"/>
        <v>1</v>
      </c>
      <c r="H61" s="1769"/>
      <c r="I61" s="1762">
        <f t="shared" si="17"/>
        <v>1</v>
      </c>
      <c r="J61" s="1769"/>
      <c r="K61" s="1762">
        <f t="shared" si="18"/>
        <v>1</v>
      </c>
      <c r="L61" s="1769"/>
      <c r="M61" s="1762">
        <f t="shared" si="19"/>
        <v>1</v>
      </c>
      <c r="N61" s="1769"/>
      <c r="O61" s="1762">
        <f t="shared" si="20"/>
        <v>1</v>
      </c>
      <c r="P61" s="1769"/>
      <c r="Q61" s="1762">
        <f t="shared" si="21"/>
        <v>1</v>
      </c>
      <c r="R61" s="1833">
        <f ca="1" t="shared" si="26"/>
        <v>0</v>
      </c>
      <c r="S61" s="1716">
        <f ca="1" t="shared" si="27"/>
        <v>0</v>
      </c>
      <c r="T61" s="1768">
        <f ca="1" t="shared" si="28"/>
        <v>0</v>
      </c>
      <c r="U61" s="1838">
        <f t="shared" si="22"/>
        <v>0</v>
      </c>
      <c r="V61" s="1838">
        <f t="shared" si="23"/>
        <v>0</v>
      </c>
      <c r="W61" s="1840"/>
      <c r="X61" s="1838">
        <f t="shared" si="24"/>
        <v>0</v>
      </c>
      <c r="Y61" s="1838">
        <f t="shared" si="25"/>
        <v>0</v>
      </c>
      <c r="Z61" s="1840"/>
    </row>
    <row r="62" spans="1:26">
      <c r="A62" s="1770"/>
      <c r="B62" s="1771"/>
      <c r="C62" s="1762">
        <f t="shared" si="14"/>
        <v>1</v>
      </c>
      <c r="D62" s="1769"/>
      <c r="E62" s="1762">
        <f t="shared" si="15"/>
        <v>1</v>
      </c>
      <c r="F62" s="1769"/>
      <c r="G62" s="1762">
        <f t="shared" si="16"/>
        <v>1</v>
      </c>
      <c r="H62" s="1769"/>
      <c r="I62" s="1762">
        <f t="shared" si="17"/>
        <v>1</v>
      </c>
      <c r="J62" s="1769"/>
      <c r="K62" s="1762">
        <f t="shared" si="18"/>
        <v>1</v>
      </c>
      <c r="L62" s="1769"/>
      <c r="M62" s="1762">
        <f t="shared" si="19"/>
        <v>1</v>
      </c>
      <c r="N62" s="1769"/>
      <c r="O62" s="1762">
        <f t="shared" si="20"/>
        <v>1</v>
      </c>
      <c r="P62" s="1769"/>
      <c r="Q62" s="1762">
        <f t="shared" si="21"/>
        <v>1</v>
      </c>
      <c r="R62" s="1833">
        <f ca="1" t="shared" si="26"/>
        <v>0</v>
      </c>
      <c r="S62" s="1716">
        <f ca="1" t="shared" si="27"/>
        <v>0</v>
      </c>
      <c r="T62" s="1768">
        <f ca="1" t="shared" si="28"/>
        <v>0</v>
      </c>
      <c r="U62" s="1838">
        <f t="shared" si="22"/>
        <v>0</v>
      </c>
      <c r="V62" s="1838">
        <f t="shared" si="23"/>
        <v>0</v>
      </c>
      <c r="W62" s="1840"/>
      <c r="X62" s="1838">
        <f t="shared" si="24"/>
        <v>0</v>
      </c>
      <c r="Y62" s="1838">
        <f t="shared" si="25"/>
        <v>0</v>
      </c>
      <c r="Z62" s="1840"/>
    </row>
    <row r="63" spans="1:26">
      <c r="A63" s="1770"/>
      <c r="B63" s="1771"/>
      <c r="C63" s="1762">
        <f t="shared" si="14"/>
        <v>1</v>
      </c>
      <c r="D63" s="1769"/>
      <c r="E63" s="1762">
        <f t="shared" si="15"/>
        <v>1</v>
      </c>
      <c r="F63" s="1769"/>
      <c r="G63" s="1762">
        <f t="shared" si="16"/>
        <v>1</v>
      </c>
      <c r="H63" s="1769"/>
      <c r="I63" s="1762">
        <f t="shared" si="17"/>
        <v>1</v>
      </c>
      <c r="J63" s="1769"/>
      <c r="K63" s="1762">
        <f t="shared" si="18"/>
        <v>1</v>
      </c>
      <c r="L63" s="1769"/>
      <c r="M63" s="1762">
        <f t="shared" si="19"/>
        <v>1</v>
      </c>
      <c r="N63" s="1769"/>
      <c r="O63" s="1762">
        <f t="shared" si="20"/>
        <v>1</v>
      </c>
      <c r="P63" s="1769"/>
      <c r="Q63" s="1762">
        <f t="shared" si="21"/>
        <v>1</v>
      </c>
      <c r="R63" s="1833">
        <f ca="1" t="shared" si="26"/>
        <v>0</v>
      </c>
      <c r="S63" s="1716">
        <f ca="1" t="shared" si="27"/>
        <v>0</v>
      </c>
      <c r="T63" s="1768">
        <f ca="1" t="shared" si="28"/>
        <v>0</v>
      </c>
      <c r="U63" s="1838">
        <f t="shared" si="22"/>
        <v>0</v>
      </c>
      <c r="V63" s="1838">
        <f t="shared" si="23"/>
        <v>0</v>
      </c>
      <c r="W63" s="1840"/>
      <c r="X63" s="1838">
        <f t="shared" si="24"/>
        <v>0</v>
      </c>
      <c r="Y63" s="1838">
        <f t="shared" si="25"/>
        <v>0</v>
      </c>
      <c r="Z63" s="1840"/>
    </row>
    <row r="64" spans="1:26">
      <c r="A64" s="1770"/>
      <c r="B64" s="1771"/>
      <c r="C64" s="1762">
        <f t="shared" si="14"/>
        <v>1</v>
      </c>
      <c r="D64" s="1769"/>
      <c r="E64" s="1762">
        <f t="shared" si="15"/>
        <v>1</v>
      </c>
      <c r="F64" s="1769"/>
      <c r="G64" s="1762">
        <f t="shared" si="16"/>
        <v>1</v>
      </c>
      <c r="H64" s="1769"/>
      <c r="I64" s="1762">
        <f t="shared" si="17"/>
        <v>1</v>
      </c>
      <c r="J64" s="1769"/>
      <c r="K64" s="1762">
        <f t="shared" si="18"/>
        <v>1</v>
      </c>
      <c r="L64" s="1769"/>
      <c r="M64" s="1762">
        <f t="shared" si="19"/>
        <v>1</v>
      </c>
      <c r="N64" s="1769"/>
      <c r="O64" s="1762">
        <f t="shared" si="20"/>
        <v>1</v>
      </c>
      <c r="P64" s="1769"/>
      <c r="Q64" s="1762">
        <f t="shared" si="21"/>
        <v>1</v>
      </c>
      <c r="R64" s="1833">
        <f ca="1" t="shared" si="26"/>
        <v>0</v>
      </c>
      <c r="S64" s="1716">
        <f ca="1" t="shared" si="27"/>
        <v>0</v>
      </c>
      <c r="T64" s="1768">
        <f ca="1" t="shared" si="28"/>
        <v>0</v>
      </c>
      <c r="U64" s="1838">
        <f t="shared" si="22"/>
        <v>0</v>
      </c>
      <c r="V64" s="1838">
        <f t="shared" si="23"/>
        <v>0</v>
      </c>
      <c r="W64" s="1840"/>
      <c r="X64" s="1838">
        <f t="shared" si="24"/>
        <v>0</v>
      </c>
      <c r="Y64" s="1838">
        <f t="shared" si="25"/>
        <v>0</v>
      </c>
      <c r="Z64" s="1840"/>
    </row>
    <row r="65" spans="1:26">
      <c r="A65" s="1770"/>
      <c r="B65" s="1771"/>
      <c r="C65" s="1762">
        <f t="shared" si="14"/>
        <v>1</v>
      </c>
      <c r="D65" s="1769"/>
      <c r="E65" s="1762">
        <f t="shared" si="15"/>
        <v>1</v>
      </c>
      <c r="F65" s="1769"/>
      <c r="G65" s="1762">
        <f t="shared" si="16"/>
        <v>1</v>
      </c>
      <c r="H65" s="1769"/>
      <c r="I65" s="1762">
        <f t="shared" si="17"/>
        <v>1</v>
      </c>
      <c r="J65" s="1769"/>
      <c r="K65" s="1762">
        <f t="shared" si="18"/>
        <v>1</v>
      </c>
      <c r="L65" s="1769"/>
      <c r="M65" s="1762">
        <f t="shared" si="19"/>
        <v>1</v>
      </c>
      <c r="N65" s="1769"/>
      <c r="O65" s="1762">
        <f t="shared" si="20"/>
        <v>1</v>
      </c>
      <c r="P65" s="1769"/>
      <c r="Q65" s="1762">
        <f t="shared" si="21"/>
        <v>1</v>
      </c>
      <c r="R65" s="1833">
        <f ca="1" t="shared" si="26"/>
        <v>0</v>
      </c>
      <c r="S65" s="1716">
        <f ca="1" t="shared" si="27"/>
        <v>0</v>
      </c>
      <c r="T65" s="1768">
        <f ca="1" t="shared" si="28"/>
        <v>0</v>
      </c>
      <c r="U65" s="1838">
        <f t="shared" si="22"/>
        <v>0</v>
      </c>
      <c r="V65" s="1838">
        <f t="shared" si="23"/>
        <v>0</v>
      </c>
      <c r="W65" s="1840"/>
      <c r="X65" s="1838">
        <f t="shared" si="24"/>
        <v>0</v>
      </c>
      <c r="Y65" s="1838">
        <f t="shared" si="25"/>
        <v>0</v>
      </c>
      <c r="Z65" s="1840"/>
    </row>
    <row r="66" spans="1:26">
      <c r="A66" s="1770"/>
      <c r="B66" s="1771"/>
      <c r="C66" s="1762">
        <f t="shared" si="14"/>
        <v>1</v>
      </c>
      <c r="D66" s="1769"/>
      <c r="E66" s="1762">
        <f t="shared" si="15"/>
        <v>1</v>
      </c>
      <c r="F66" s="1769"/>
      <c r="G66" s="1762">
        <f t="shared" si="16"/>
        <v>1</v>
      </c>
      <c r="H66" s="1769"/>
      <c r="I66" s="1762">
        <f t="shared" si="17"/>
        <v>1</v>
      </c>
      <c r="J66" s="1769"/>
      <c r="K66" s="1762">
        <f t="shared" si="18"/>
        <v>1</v>
      </c>
      <c r="L66" s="1769"/>
      <c r="M66" s="1762">
        <f t="shared" si="19"/>
        <v>1</v>
      </c>
      <c r="N66" s="1769"/>
      <c r="O66" s="1762">
        <f t="shared" si="20"/>
        <v>1</v>
      </c>
      <c r="P66" s="1769"/>
      <c r="Q66" s="1762">
        <f t="shared" si="21"/>
        <v>1</v>
      </c>
      <c r="R66" s="1833">
        <f ca="1" t="shared" si="26"/>
        <v>0</v>
      </c>
      <c r="S66" s="1716">
        <f ca="1" t="shared" si="27"/>
        <v>0</v>
      </c>
      <c r="T66" s="1768">
        <f ca="1" t="shared" si="28"/>
        <v>0</v>
      </c>
      <c r="U66" s="1838">
        <f t="shared" si="22"/>
        <v>0</v>
      </c>
      <c r="V66" s="1838">
        <f t="shared" si="23"/>
        <v>0</v>
      </c>
      <c r="W66" s="1840"/>
      <c r="X66" s="1838">
        <f t="shared" si="24"/>
        <v>0</v>
      </c>
      <c r="Y66" s="1838">
        <f t="shared" si="25"/>
        <v>0</v>
      </c>
      <c r="Z66" s="1840"/>
    </row>
    <row r="67" spans="1:26">
      <c r="A67" s="1770"/>
      <c r="B67" s="1771"/>
      <c r="C67" s="1762">
        <f t="shared" si="14"/>
        <v>1</v>
      </c>
      <c r="D67" s="1769"/>
      <c r="E67" s="1762">
        <f t="shared" si="15"/>
        <v>1</v>
      </c>
      <c r="F67" s="1769"/>
      <c r="G67" s="1762">
        <f t="shared" si="16"/>
        <v>1</v>
      </c>
      <c r="H67" s="1769"/>
      <c r="I67" s="1762">
        <f t="shared" si="17"/>
        <v>1</v>
      </c>
      <c r="J67" s="1769"/>
      <c r="K67" s="1762">
        <f t="shared" si="18"/>
        <v>1</v>
      </c>
      <c r="L67" s="1769"/>
      <c r="M67" s="1762">
        <f t="shared" si="19"/>
        <v>1</v>
      </c>
      <c r="N67" s="1769"/>
      <c r="O67" s="1762">
        <f t="shared" si="20"/>
        <v>1</v>
      </c>
      <c r="P67" s="1769"/>
      <c r="Q67" s="1762">
        <f t="shared" si="21"/>
        <v>1</v>
      </c>
      <c r="R67" s="1833">
        <f ca="1" t="shared" si="26"/>
        <v>0</v>
      </c>
      <c r="S67" s="1716">
        <f ca="1" t="shared" si="27"/>
        <v>0</v>
      </c>
      <c r="T67" s="1768">
        <f ca="1" t="shared" si="28"/>
        <v>0</v>
      </c>
      <c r="U67" s="1838">
        <f t="shared" si="22"/>
        <v>0</v>
      </c>
      <c r="V67" s="1838">
        <f t="shared" si="23"/>
        <v>0</v>
      </c>
      <c r="W67" s="1840"/>
      <c r="X67" s="1838">
        <f t="shared" si="24"/>
        <v>0</v>
      </c>
      <c r="Y67" s="1838">
        <f t="shared" si="25"/>
        <v>0</v>
      </c>
      <c r="Z67" s="1840"/>
    </row>
    <row r="68" spans="1:26">
      <c r="A68" s="1770"/>
      <c r="B68" s="1771"/>
      <c r="C68" s="1762">
        <f t="shared" si="14"/>
        <v>1</v>
      </c>
      <c r="D68" s="1769"/>
      <c r="E68" s="1762">
        <f t="shared" si="15"/>
        <v>1</v>
      </c>
      <c r="F68" s="1769"/>
      <c r="G68" s="1762">
        <f t="shared" si="16"/>
        <v>1</v>
      </c>
      <c r="H68" s="1769"/>
      <c r="I68" s="1762">
        <f t="shared" si="17"/>
        <v>1</v>
      </c>
      <c r="J68" s="1769"/>
      <c r="K68" s="1762">
        <f t="shared" si="18"/>
        <v>1</v>
      </c>
      <c r="L68" s="1769"/>
      <c r="M68" s="1762">
        <f t="shared" si="19"/>
        <v>1</v>
      </c>
      <c r="N68" s="1769"/>
      <c r="O68" s="1762">
        <f t="shared" si="20"/>
        <v>1</v>
      </c>
      <c r="P68" s="1769"/>
      <c r="Q68" s="1762">
        <f t="shared" si="21"/>
        <v>1</v>
      </c>
      <c r="R68" s="1833">
        <f ca="1" t="shared" si="26"/>
        <v>0</v>
      </c>
      <c r="S68" s="1716">
        <f ca="1" t="shared" si="27"/>
        <v>0</v>
      </c>
      <c r="T68" s="1768">
        <f ca="1" t="shared" si="28"/>
        <v>0</v>
      </c>
      <c r="U68" s="1838">
        <f t="shared" si="22"/>
        <v>0</v>
      </c>
      <c r="V68" s="1838">
        <f t="shared" si="23"/>
        <v>0</v>
      </c>
      <c r="W68" s="1840"/>
      <c r="X68" s="1838">
        <f t="shared" si="24"/>
        <v>0</v>
      </c>
      <c r="Y68" s="1838">
        <f t="shared" si="25"/>
        <v>0</v>
      </c>
      <c r="Z68" s="1840"/>
    </row>
    <row r="69" spans="1:26">
      <c r="A69" s="1770"/>
      <c r="B69" s="1771"/>
      <c r="C69" s="1762">
        <f t="shared" si="14"/>
        <v>1</v>
      </c>
      <c r="D69" s="1769"/>
      <c r="E69" s="1762">
        <f t="shared" si="15"/>
        <v>1</v>
      </c>
      <c r="F69" s="1769"/>
      <c r="G69" s="1762">
        <f t="shared" si="16"/>
        <v>1</v>
      </c>
      <c r="H69" s="1769"/>
      <c r="I69" s="1762">
        <f t="shared" si="17"/>
        <v>1</v>
      </c>
      <c r="J69" s="1769"/>
      <c r="K69" s="1762">
        <f t="shared" si="18"/>
        <v>1</v>
      </c>
      <c r="L69" s="1769"/>
      <c r="M69" s="1762">
        <f t="shared" si="19"/>
        <v>1</v>
      </c>
      <c r="N69" s="1769"/>
      <c r="O69" s="1762">
        <f t="shared" si="20"/>
        <v>1</v>
      </c>
      <c r="P69" s="1769"/>
      <c r="Q69" s="1762">
        <f t="shared" si="21"/>
        <v>1</v>
      </c>
      <c r="R69" s="1833">
        <f ca="1" t="shared" si="26"/>
        <v>0</v>
      </c>
      <c r="S69" s="1716">
        <f ca="1" t="shared" si="27"/>
        <v>0</v>
      </c>
      <c r="T69" s="1768">
        <f ca="1" t="shared" si="28"/>
        <v>0</v>
      </c>
      <c r="U69" s="1838">
        <f t="shared" si="22"/>
        <v>0</v>
      </c>
      <c r="V69" s="1838">
        <f t="shared" si="23"/>
        <v>0</v>
      </c>
      <c r="W69" s="1840"/>
      <c r="X69" s="1838">
        <f t="shared" si="24"/>
        <v>0</v>
      </c>
      <c r="Y69" s="1838">
        <f t="shared" si="25"/>
        <v>0</v>
      </c>
      <c r="Z69" s="1840"/>
    </row>
    <row r="70" spans="1:26">
      <c r="A70" s="1770"/>
      <c r="B70" s="1771"/>
      <c r="C70" s="1762">
        <f t="shared" si="14"/>
        <v>1</v>
      </c>
      <c r="D70" s="1769"/>
      <c r="E70" s="1762">
        <f t="shared" si="15"/>
        <v>1</v>
      </c>
      <c r="F70" s="1769"/>
      <c r="G70" s="1762">
        <f t="shared" si="16"/>
        <v>1</v>
      </c>
      <c r="H70" s="1769"/>
      <c r="I70" s="1762">
        <f t="shared" si="17"/>
        <v>1</v>
      </c>
      <c r="J70" s="1769"/>
      <c r="K70" s="1762">
        <f t="shared" si="18"/>
        <v>1</v>
      </c>
      <c r="L70" s="1769"/>
      <c r="M70" s="1762">
        <f t="shared" si="19"/>
        <v>1</v>
      </c>
      <c r="N70" s="1769"/>
      <c r="O70" s="1762">
        <f t="shared" si="20"/>
        <v>1</v>
      </c>
      <c r="P70" s="1769"/>
      <c r="Q70" s="1762">
        <f t="shared" si="21"/>
        <v>1</v>
      </c>
      <c r="R70" s="1833">
        <f ca="1" t="shared" si="26"/>
        <v>0</v>
      </c>
      <c r="S70" s="1716">
        <f ca="1" t="shared" si="27"/>
        <v>0</v>
      </c>
      <c r="T70" s="1768">
        <f ca="1" t="shared" si="28"/>
        <v>0</v>
      </c>
      <c r="U70" s="1838">
        <f t="shared" si="22"/>
        <v>0</v>
      </c>
      <c r="V70" s="1838">
        <f t="shared" si="23"/>
        <v>0</v>
      </c>
      <c r="W70" s="1840"/>
      <c r="X70" s="1838">
        <f t="shared" si="24"/>
        <v>0</v>
      </c>
      <c r="Y70" s="1838">
        <f t="shared" si="25"/>
        <v>0</v>
      </c>
      <c r="Z70" s="1840"/>
    </row>
    <row r="71" spans="1:26">
      <c r="A71" s="1770"/>
      <c r="B71" s="1771"/>
      <c r="C71" s="1762">
        <f t="shared" si="14"/>
        <v>1</v>
      </c>
      <c r="D71" s="1769"/>
      <c r="E71" s="1762">
        <f t="shared" si="15"/>
        <v>1</v>
      </c>
      <c r="F71" s="1769"/>
      <c r="G71" s="1762">
        <f t="shared" si="16"/>
        <v>1</v>
      </c>
      <c r="H71" s="1769"/>
      <c r="I71" s="1762">
        <f t="shared" si="17"/>
        <v>1</v>
      </c>
      <c r="J71" s="1769"/>
      <c r="K71" s="1762">
        <f t="shared" si="18"/>
        <v>1</v>
      </c>
      <c r="L71" s="1769"/>
      <c r="M71" s="1762">
        <f t="shared" si="19"/>
        <v>1</v>
      </c>
      <c r="N71" s="1769"/>
      <c r="O71" s="1762">
        <f t="shared" si="20"/>
        <v>1</v>
      </c>
      <c r="P71" s="1769"/>
      <c r="Q71" s="1762">
        <f t="shared" si="21"/>
        <v>1</v>
      </c>
      <c r="R71" s="1833">
        <f ca="1" t="shared" si="26"/>
        <v>0</v>
      </c>
      <c r="S71" s="1716">
        <f ca="1" t="shared" si="27"/>
        <v>0</v>
      </c>
      <c r="T71" s="1768">
        <f ca="1" t="shared" si="28"/>
        <v>0</v>
      </c>
      <c r="U71" s="1838">
        <f t="shared" si="22"/>
        <v>0</v>
      </c>
      <c r="V71" s="1838">
        <f t="shared" si="23"/>
        <v>0</v>
      </c>
      <c r="W71" s="1840"/>
      <c r="X71" s="1838">
        <f t="shared" si="24"/>
        <v>0</v>
      </c>
      <c r="Y71" s="1838">
        <f t="shared" si="25"/>
        <v>0</v>
      </c>
      <c r="Z71" s="1840"/>
    </row>
    <row r="72" spans="1:26">
      <c r="A72" s="1770"/>
      <c r="B72" s="1771"/>
      <c r="C72" s="1762">
        <f t="shared" si="14"/>
        <v>1</v>
      </c>
      <c r="D72" s="1769"/>
      <c r="E72" s="1762">
        <f t="shared" si="15"/>
        <v>1</v>
      </c>
      <c r="F72" s="1769"/>
      <c r="G72" s="1762">
        <f t="shared" si="16"/>
        <v>1</v>
      </c>
      <c r="H72" s="1769"/>
      <c r="I72" s="1762">
        <f t="shared" si="17"/>
        <v>1</v>
      </c>
      <c r="J72" s="1769"/>
      <c r="K72" s="1762">
        <f t="shared" si="18"/>
        <v>1</v>
      </c>
      <c r="L72" s="1769"/>
      <c r="M72" s="1762">
        <f t="shared" si="19"/>
        <v>1</v>
      </c>
      <c r="N72" s="1769"/>
      <c r="O72" s="1762">
        <f t="shared" si="20"/>
        <v>1</v>
      </c>
      <c r="P72" s="1769"/>
      <c r="Q72" s="1762">
        <f t="shared" si="21"/>
        <v>1</v>
      </c>
      <c r="R72" s="1833">
        <f ca="1" t="shared" si="26"/>
        <v>0</v>
      </c>
      <c r="S72" s="1716">
        <f ca="1" t="shared" si="27"/>
        <v>0</v>
      </c>
      <c r="T72" s="1768">
        <f ca="1" t="shared" si="28"/>
        <v>0</v>
      </c>
      <c r="U72" s="1838">
        <f t="shared" si="22"/>
        <v>0</v>
      </c>
      <c r="V72" s="1838">
        <f t="shared" si="23"/>
        <v>0</v>
      </c>
      <c r="W72" s="1840"/>
      <c r="X72" s="1838">
        <f t="shared" si="24"/>
        <v>0</v>
      </c>
      <c r="Y72" s="1838">
        <f t="shared" si="25"/>
        <v>0</v>
      </c>
      <c r="Z72" s="1840"/>
    </row>
    <row r="73" spans="1:26">
      <c r="A73" s="1770"/>
      <c r="B73" s="1771"/>
      <c r="C73" s="1762">
        <f t="shared" si="14"/>
        <v>1</v>
      </c>
      <c r="D73" s="1769"/>
      <c r="E73" s="1762">
        <f t="shared" si="15"/>
        <v>1</v>
      </c>
      <c r="F73" s="1769"/>
      <c r="G73" s="1762">
        <f t="shared" si="16"/>
        <v>1</v>
      </c>
      <c r="H73" s="1769"/>
      <c r="I73" s="1762">
        <f t="shared" si="17"/>
        <v>1</v>
      </c>
      <c r="J73" s="1769"/>
      <c r="K73" s="1762">
        <f t="shared" si="18"/>
        <v>1</v>
      </c>
      <c r="L73" s="1769"/>
      <c r="M73" s="1762">
        <f t="shared" si="19"/>
        <v>1</v>
      </c>
      <c r="N73" s="1769"/>
      <c r="O73" s="1762">
        <f t="shared" si="20"/>
        <v>1</v>
      </c>
      <c r="P73" s="1769"/>
      <c r="Q73" s="1762">
        <f t="shared" si="21"/>
        <v>1</v>
      </c>
      <c r="R73" s="1833">
        <f ca="1" t="shared" si="26"/>
        <v>0</v>
      </c>
      <c r="S73" s="1716">
        <f ca="1" t="shared" si="27"/>
        <v>0</v>
      </c>
      <c r="T73" s="1768">
        <f ca="1" t="shared" si="28"/>
        <v>0</v>
      </c>
      <c r="U73" s="1838">
        <f t="shared" si="22"/>
        <v>0</v>
      </c>
      <c r="V73" s="1838">
        <f t="shared" si="23"/>
        <v>0</v>
      </c>
      <c r="W73" s="1840"/>
      <c r="X73" s="1838">
        <f t="shared" si="24"/>
        <v>0</v>
      </c>
      <c r="Y73" s="1838">
        <f t="shared" si="25"/>
        <v>0</v>
      </c>
      <c r="Z73" s="1840"/>
    </row>
    <row r="74" spans="1:26">
      <c r="A74" s="1770"/>
      <c r="B74" s="1771"/>
      <c r="C74" s="1762">
        <f t="shared" si="14"/>
        <v>1</v>
      </c>
      <c r="D74" s="1769"/>
      <c r="E74" s="1762">
        <f t="shared" si="15"/>
        <v>1</v>
      </c>
      <c r="F74" s="1769"/>
      <c r="G74" s="1762">
        <f t="shared" si="16"/>
        <v>1</v>
      </c>
      <c r="H74" s="1769"/>
      <c r="I74" s="1762">
        <f t="shared" si="17"/>
        <v>1</v>
      </c>
      <c r="J74" s="1769"/>
      <c r="K74" s="1762">
        <f t="shared" si="18"/>
        <v>1</v>
      </c>
      <c r="L74" s="1769"/>
      <c r="M74" s="1762">
        <f t="shared" si="19"/>
        <v>1</v>
      </c>
      <c r="N74" s="1769"/>
      <c r="O74" s="1762">
        <f t="shared" si="20"/>
        <v>1</v>
      </c>
      <c r="P74" s="1769"/>
      <c r="Q74" s="1762">
        <f t="shared" si="21"/>
        <v>1</v>
      </c>
      <c r="R74" s="1833">
        <f ca="1" t="shared" si="26"/>
        <v>0</v>
      </c>
      <c r="S74" s="1716">
        <f ca="1" t="shared" si="27"/>
        <v>0</v>
      </c>
      <c r="T74" s="1768">
        <f ca="1" t="shared" si="28"/>
        <v>0</v>
      </c>
      <c r="U74" s="1838">
        <f t="shared" si="22"/>
        <v>0</v>
      </c>
      <c r="V74" s="1838">
        <f t="shared" si="23"/>
        <v>0</v>
      </c>
      <c r="W74" s="1840"/>
      <c r="X74" s="1838">
        <f t="shared" si="24"/>
        <v>0</v>
      </c>
      <c r="Y74" s="1838">
        <f t="shared" si="25"/>
        <v>0</v>
      </c>
      <c r="Z74" s="1840"/>
    </row>
    <row r="75" spans="1:26">
      <c r="A75" s="1770"/>
      <c r="B75" s="1771"/>
      <c r="C75" s="1762">
        <f t="shared" si="14"/>
        <v>1</v>
      </c>
      <c r="D75" s="1769"/>
      <c r="E75" s="1762">
        <f t="shared" si="15"/>
        <v>1</v>
      </c>
      <c r="F75" s="1769"/>
      <c r="G75" s="1762">
        <f t="shared" si="16"/>
        <v>1</v>
      </c>
      <c r="H75" s="1769"/>
      <c r="I75" s="1762">
        <f t="shared" si="17"/>
        <v>1</v>
      </c>
      <c r="J75" s="1769"/>
      <c r="K75" s="1762">
        <f t="shared" si="18"/>
        <v>1</v>
      </c>
      <c r="L75" s="1769"/>
      <c r="M75" s="1762">
        <f t="shared" si="19"/>
        <v>1</v>
      </c>
      <c r="N75" s="1769"/>
      <c r="O75" s="1762">
        <f t="shared" si="20"/>
        <v>1</v>
      </c>
      <c r="P75" s="1769"/>
      <c r="Q75" s="1762">
        <f t="shared" si="21"/>
        <v>1</v>
      </c>
      <c r="R75" s="1833">
        <f ca="1" t="shared" si="26"/>
        <v>0</v>
      </c>
      <c r="S75" s="1716">
        <f ca="1" t="shared" si="27"/>
        <v>0</v>
      </c>
      <c r="T75" s="1768">
        <f ca="1" t="shared" si="28"/>
        <v>0</v>
      </c>
      <c r="U75" s="1838">
        <f t="shared" si="22"/>
        <v>0</v>
      </c>
      <c r="V75" s="1838">
        <f t="shared" si="23"/>
        <v>0</v>
      </c>
      <c r="W75" s="1840"/>
      <c r="X75" s="1838">
        <f t="shared" si="24"/>
        <v>0</v>
      </c>
      <c r="Y75" s="1838">
        <f t="shared" si="25"/>
        <v>0</v>
      </c>
      <c r="Z75" s="1840"/>
    </row>
    <row r="76" spans="1:26">
      <c r="A76" s="1770"/>
      <c r="B76" s="1771"/>
      <c r="C76" s="1762">
        <f t="shared" si="14"/>
        <v>1</v>
      </c>
      <c r="D76" s="1769"/>
      <c r="E76" s="1762">
        <f t="shared" si="15"/>
        <v>1</v>
      </c>
      <c r="F76" s="1769"/>
      <c r="G76" s="1762">
        <f t="shared" si="16"/>
        <v>1</v>
      </c>
      <c r="H76" s="1769"/>
      <c r="I76" s="1762">
        <f t="shared" si="17"/>
        <v>1</v>
      </c>
      <c r="J76" s="1769"/>
      <c r="K76" s="1762">
        <f t="shared" si="18"/>
        <v>1</v>
      </c>
      <c r="L76" s="1769"/>
      <c r="M76" s="1762">
        <f t="shared" si="19"/>
        <v>1</v>
      </c>
      <c r="N76" s="1769"/>
      <c r="O76" s="1762">
        <f t="shared" si="20"/>
        <v>1</v>
      </c>
      <c r="P76" s="1769"/>
      <c r="Q76" s="1762">
        <f t="shared" si="21"/>
        <v>1</v>
      </c>
      <c r="R76" s="1833">
        <f ca="1" t="shared" si="26"/>
        <v>0</v>
      </c>
      <c r="S76" s="1716">
        <f ca="1" t="shared" si="27"/>
        <v>0</v>
      </c>
      <c r="T76" s="1768">
        <f ca="1" t="shared" si="28"/>
        <v>0</v>
      </c>
      <c r="U76" s="1838">
        <f t="shared" si="22"/>
        <v>0</v>
      </c>
      <c r="V76" s="1838">
        <f t="shared" si="23"/>
        <v>0</v>
      </c>
      <c r="W76" s="1840"/>
      <c r="X76" s="1838">
        <f t="shared" si="24"/>
        <v>0</v>
      </c>
      <c r="Y76" s="1838">
        <f t="shared" si="25"/>
        <v>0</v>
      </c>
      <c r="Z76" s="1840"/>
    </row>
    <row r="77" spans="1:26">
      <c r="A77" s="1770"/>
      <c r="B77" s="1771"/>
      <c r="C77" s="1762">
        <f t="shared" si="14"/>
        <v>1</v>
      </c>
      <c r="D77" s="1769"/>
      <c r="E77" s="1762">
        <f t="shared" si="15"/>
        <v>1</v>
      </c>
      <c r="F77" s="1769"/>
      <c r="G77" s="1762">
        <f t="shared" si="16"/>
        <v>1</v>
      </c>
      <c r="H77" s="1769"/>
      <c r="I77" s="1762">
        <f t="shared" si="17"/>
        <v>1</v>
      </c>
      <c r="J77" s="1769"/>
      <c r="K77" s="1762">
        <f t="shared" si="18"/>
        <v>1</v>
      </c>
      <c r="L77" s="1769"/>
      <c r="M77" s="1762">
        <f t="shared" si="19"/>
        <v>1</v>
      </c>
      <c r="N77" s="1769"/>
      <c r="O77" s="1762">
        <f t="shared" si="20"/>
        <v>1</v>
      </c>
      <c r="P77" s="1769"/>
      <c r="Q77" s="1762">
        <f t="shared" si="21"/>
        <v>1</v>
      </c>
      <c r="R77" s="1833">
        <f ca="1" t="shared" si="26"/>
        <v>0</v>
      </c>
      <c r="S77" s="1716">
        <f ca="1" t="shared" si="27"/>
        <v>0</v>
      </c>
      <c r="T77" s="1768">
        <f ca="1" t="shared" si="28"/>
        <v>0</v>
      </c>
      <c r="U77" s="1838">
        <f t="shared" si="22"/>
        <v>0</v>
      </c>
      <c r="V77" s="1838">
        <f t="shared" si="23"/>
        <v>0</v>
      </c>
      <c r="W77" s="1840"/>
      <c r="X77" s="1838">
        <f t="shared" si="24"/>
        <v>0</v>
      </c>
      <c r="Y77" s="1838">
        <f t="shared" si="25"/>
        <v>0</v>
      </c>
      <c r="Z77" s="1840"/>
    </row>
    <row r="78" spans="1:26">
      <c r="A78" s="1770"/>
      <c r="B78" s="1771"/>
      <c r="C78" s="1762">
        <f t="shared" si="14"/>
        <v>1</v>
      </c>
      <c r="D78" s="1769"/>
      <c r="E78" s="1762">
        <f t="shared" si="15"/>
        <v>1</v>
      </c>
      <c r="F78" s="1769"/>
      <c r="G78" s="1762">
        <f t="shared" si="16"/>
        <v>1</v>
      </c>
      <c r="H78" s="1769"/>
      <c r="I78" s="1762">
        <f t="shared" si="17"/>
        <v>1</v>
      </c>
      <c r="J78" s="1769"/>
      <c r="K78" s="1762">
        <f t="shared" si="18"/>
        <v>1</v>
      </c>
      <c r="L78" s="1769"/>
      <c r="M78" s="1762">
        <f t="shared" si="19"/>
        <v>1</v>
      </c>
      <c r="N78" s="1769"/>
      <c r="O78" s="1762">
        <f t="shared" si="20"/>
        <v>1</v>
      </c>
      <c r="P78" s="1769"/>
      <c r="Q78" s="1762">
        <f t="shared" si="21"/>
        <v>1</v>
      </c>
      <c r="R78" s="1833">
        <f ca="1" t="shared" si="26"/>
        <v>0</v>
      </c>
      <c r="S78" s="1716">
        <f ca="1" t="shared" si="27"/>
        <v>0</v>
      </c>
      <c r="T78" s="1768">
        <f ca="1" t="shared" si="28"/>
        <v>0</v>
      </c>
      <c r="U78" s="1838">
        <f t="shared" si="22"/>
        <v>0</v>
      </c>
      <c r="V78" s="1838">
        <f t="shared" si="23"/>
        <v>0</v>
      </c>
      <c r="W78" s="1840"/>
      <c r="X78" s="1838">
        <f t="shared" si="24"/>
        <v>0</v>
      </c>
      <c r="Y78" s="1838">
        <f t="shared" si="25"/>
        <v>0</v>
      </c>
      <c r="Z78" s="1840"/>
    </row>
    <row r="79" spans="1:26">
      <c r="A79" s="1770"/>
      <c r="B79" s="1771"/>
      <c r="C79" s="1762">
        <f t="shared" si="14"/>
        <v>1</v>
      </c>
      <c r="D79" s="1769"/>
      <c r="E79" s="1762">
        <f t="shared" si="15"/>
        <v>1</v>
      </c>
      <c r="F79" s="1769"/>
      <c r="G79" s="1762">
        <f t="shared" si="16"/>
        <v>1</v>
      </c>
      <c r="H79" s="1769"/>
      <c r="I79" s="1762">
        <f t="shared" si="17"/>
        <v>1</v>
      </c>
      <c r="J79" s="1769"/>
      <c r="K79" s="1762">
        <f t="shared" si="18"/>
        <v>1</v>
      </c>
      <c r="L79" s="1769"/>
      <c r="M79" s="1762">
        <f t="shared" si="19"/>
        <v>1</v>
      </c>
      <c r="N79" s="1769"/>
      <c r="O79" s="1762">
        <f t="shared" si="20"/>
        <v>1</v>
      </c>
      <c r="P79" s="1769"/>
      <c r="Q79" s="1762">
        <f t="shared" si="21"/>
        <v>1</v>
      </c>
      <c r="R79" s="1833">
        <f ca="1" t="shared" si="26"/>
        <v>0</v>
      </c>
      <c r="S79" s="1716">
        <f ca="1" t="shared" si="27"/>
        <v>0</v>
      </c>
      <c r="T79" s="1768">
        <f ca="1" t="shared" si="28"/>
        <v>0</v>
      </c>
      <c r="U79" s="1838">
        <f t="shared" si="22"/>
        <v>0</v>
      </c>
      <c r="V79" s="1838">
        <f t="shared" si="23"/>
        <v>0</v>
      </c>
      <c r="W79" s="1840"/>
      <c r="X79" s="1838">
        <f t="shared" si="24"/>
        <v>0</v>
      </c>
      <c r="Y79" s="1838">
        <f t="shared" si="25"/>
        <v>0</v>
      </c>
      <c r="Z79" s="1840"/>
    </row>
    <row r="80" spans="1:26">
      <c r="A80" s="1770"/>
      <c r="B80" s="1771"/>
      <c r="C80" s="1762">
        <f t="shared" si="14"/>
        <v>1</v>
      </c>
      <c r="D80" s="1769"/>
      <c r="E80" s="1762">
        <f t="shared" si="15"/>
        <v>1</v>
      </c>
      <c r="F80" s="1769"/>
      <c r="G80" s="1762">
        <f t="shared" si="16"/>
        <v>1</v>
      </c>
      <c r="H80" s="1769"/>
      <c r="I80" s="1762">
        <f t="shared" si="17"/>
        <v>1</v>
      </c>
      <c r="J80" s="1769"/>
      <c r="K80" s="1762">
        <f t="shared" si="18"/>
        <v>1</v>
      </c>
      <c r="L80" s="1769"/>
      <c r="M80" s="1762">
        <f t="shared" si="19"/>
        <v>1</v>
      </c>
      <c r="N80" s="1769"/>
      <c r="O80" s="1762">
        <f t="shared" si="20"/>
        <v>1</v>
      </c>
      <c r="P80" s="1769"/>
      <c r="Q80" s="1762">
        <f t="shared" si="21"/>
        <v>1</v>
      </c>
      <c r="R80" s="1833">
        <f ca="1" t="shared" si="26"/>
        <v>0</v>
      </c>
      <c r="S80" s="1716">
        <f ca="1" t="shared" si="27"/>
        <v>0</v>
      </c>
      <c r="T80" s="1768">
        <f ca="1" t="shared" si="28"/>
        <v>0</v>
      </c>
      <c r="U80" s="1838">
        <f t="shared" si="22"/>
        <v>0</v>
      </c>
      <c r="V80" s="1838">
        <f t="shared" si="23"/>
        <v>0</v>
      </c>
      <c r="W80" s="1840"/>
      <c r="X80" s="1838">
        <f t="shared" si="24"/>
        <v>0</v>
      </c>
      <c r="Y80" s="1838">
        <f t="shared" si="25"/>
        <v>0</v>
      </c>
      <c r="Z80" s="1840"/>
    </row>
    <row r="81" spans="1:26">
      <c r="A81" s="1770"/>
      <c r="B81" s="1771"/>
      <c r="C81" s="1762">
        <f t="shared" si="14"/>
        <v>1</v>
      </c>
      <c r="D81" s="1769"/>
      <c r="E81" s="1762">
        <f t="shared" si="15"/>
        <v>1</v>
      </c>
      <c r="F81" s="1769"/>
      <c r="G81" s="1762">
        <f t="shared" si="16"/>
        <v>1</v>
      </c>
      <c r="H81" s="1769"/>
      <c r="I81" s="1762">
        <f t="shared" si="17"/>
        <v>1</v>
      </c>
      <c r="J81" s="1769"/>
      <c r="K81" s="1762">
        <f t="shared" si="18"/>
        <v>1</v>
      </c>
      <c r="L81" s="1769"/>
      <c r="M81" s="1762">
        <f t="shared" si="19"/>
        <v>1</v>
      </c>
      <c r="N81" s="1769"/>
      <c r="O81" s="1762">
        <f t="shared" si="20"/>
        <v>1</v>
      </c>
      <c r="P81" s="1769"/>
      <c r="Q81" s="1762">
        <f t="shared" si="21"/>
        <v>1</v>
      </c>
      <c r="R81" s="1833">
        <f ca="1" t="shared" si="26"/>
        <v>0</v>
      </c>
      <c r="S81" s="1716">
        <f ca="1" t="shared" si="27"/>
        <v>0</v>
      </c>
      <c r="T81" s="1768">
        <f ca="1" t="shared" si="28"/>
        <v>0</v>
      </c>
      <c r="U81" s="1838">
        <f t="shared" si="22"/>
        <v>0</v>
      </c>
      <c r="V81" s="1838">
        <f t="shared" si="23"/>
        <v>0</v>
      </c>
      <c r="W81" s="1840"/>
      <c r="X81" s="1838">
        <f t="shared" si="24"/>
        <v>0</v>
      </c>
      <c r="Y81" s="1838">
        <f t="shared" si="25"/>
        <v>0</v>
      </c>
      <c r="Z81" s="1840"/>
    </row>
    <row r="82" spans="1:26">
      <c r="A82" s="1770"/>
      <c r="B82" s="1771"/>
      <c r="C82" s="1762">
        <f t="shared" si="14"/>
        <v>1</v>
      </c>
      <c r="D82" s="1769"/>
      <c r="E82" s="1762">
        <f t="shared" si="15"/>
        <v>1</v>
      </c>
      <c r="F82" s="1769"/>
      <c r="G82" s="1762">
        <f t="shared" si="16"/>
        <v>1</v>
      </c>
      <c r="H82" s="1769"/>
      <c r="I82" s="1762">
        <f t="shared" si="17"/>
        <v>1</v>
      </c>
      <c r="J82" s="1769"/>
      <c r="K82" s="1762">
        <f t="shared" si="18"/>
        <v>1</v>
      </c>
      <c r="L82" s="1769"/>
      <c r="M82" s="1762">
        <f t="shared" si="19"/>
        <v>1</v>
      </c>
      <c r="N82" s="1769"/>
      <c r="O82" s="1762">
        <f t="shared" si="20"/>
        <v>1</v>
      </c>
      <c r="P82" s="1769"/>
      <c r="Q82" s="1762">
        <f t="shared" si="21"/>
        <v>1</v>
      </c>
      <c r="R82" s="1833">
        <f ca="1" t="shared" si="26"/>
        <v>0</v>
      </c>
      <c r="S82" s="1716">
        <f ca="1" t="shared" si="27"/>
        <v>0</v>
      </c>
      <c r="T82" s="1768">
        <f ca="1" t="shared" si="28"/>
        <v>0</v>
      </c>
      <c r="U82" s="1838">
        <f t="shared" si="22"/>
        <v>0</v>
      </c>
      <c r="V82" s="1838">
        <f t="shared" si="23"/>
        <v>0</v>
      </c>
      <c r="W82" s="1840"/>
      <c r="X82" s="1838">
        <f t="shared" si="24"/>
        <v>0</v>
      </c>
      <c r="Y82" s="1838">
        <f t="shared" si="25"/>
        <v>0</v>
      </c>
      <c r="Z82" s="1840"/>
    </row>
    <row r="83" spans="1:26">
      <c r="A83" s="1770"/>
      <c r="B83" s="1771"/>
      <c r="C83" s="1762">
        <f t="shared" si="14"/>
        <v>1</v>
      </c>
      <c r="D83" s="1769"/>
      <c r="E83" s="1762">
        <f t="shared" si="15"/>
        <v>1</v>
      </c>
      <c r="F83" s="1769"/>
      <c r="G83" s="1762">
        <f t="shared" si="16"/>
        <v>1</v>
      </c>
      <c r="H83" s="1769"/>
      <c r="I83" s="1762">
        <f t="shared" si="17"/>
        <v>1</v>
      </c>
      <c r="J83" s="1769"/>
      <c r="K83" s="1762">
        <f t="shared" si="18"/>
        <v>1</v>
      </c>
      <c r="L83" s="1769"/>
      <c r="M83" s="1762">
        <f t="shared" si="19"/>
        <v>1</v>
      </c>
      <c r="N83" s="1769"/>
      <c r="O83" s="1762">
        <f t="shared" si="20"/>
        <v>1</v>
      </c>
      <c r="P83" s="1769"/>
      <c r="Q83" s="1762">
        <f t="shared" si="21"/>
        <v>1</v>
      </c>
      <c r="R83" s="1833">
        <f ca="1" t="shared" si="26"/>
        <v>0</v>
      </c>
      <c r="S83" s="1716">
        <f ca="1" t="shared" si="27"/>
        <v>0</v>
      </c>
      <c r="T83" s="1768">
        <f ca="1" t="shared" si="28"/>
        <v>0</v>
      </c>
      <c r="U83" s="1838">
        <f t="shared" si="22"/>
        <v>0</v>
      </c>
      <c r="V83" s="1838">
        <f t="shared" si="23"/>
        <v>0</v>
      </c>
      <c r="W83" s="1840"/>
      <c r="X83" s="1838">
        <f t="shared" si="24"/>
        <v>0</v>
      </c>
      <c r="Y83" s="1838">
        <f t="shared" si="25"/>
        <v>0</v>
      </c>
      <c r="Z83" s="1840"/>
    </row>
    <row r="84" spans="1:26">
      <c r="A84" s="1770"/>
      <c r="B84" s="1771"/>
      <c r="C84" s="1762">
        <f t="shared" si="14"/>
        <v>1</v>
      </c>
      <c r="D84" s="1769"/>
      <c r="E84" s="1762">
        <f t="shared" si="15"/>
        <v>1</v>
      </c>
      <c r="F84" s="1769"/>
      <c r="G84" s="1762">
        <f t="shared" si="16"/>
        <v>1</v>
      </c>
      <c r="H84" s="1769"/>
      <c r="I84" s="1762">
        <f t="shared" si="17"/>
        <v>1</v>
      </c>
      <c r="J84" s="1769"/>
      <c r="K84" s="1762">
        <f t="shared" si="18"/>
        <v>1</v>
      </c>
      <c r="L84" s="1769"/>
      <c r="M84" s="1762">
        <f t="shared" si="19"/>
        <v>1</v>
      </c>
      <c r="N84" s="1769"/>
      <c r="O84" s="1762">
        <f t="shared" si="20"/>
        <v>1</v>
      </c>
      <c r="P84" s="1769"/>
      <c r="Q84" s="1762">
        <f t="shared" si="21"/>
        <v>1</v>
      </c>
      <c r="R84" s="1833">
        <f ca="1" t="shared" si="26"/>
        <v>0</v>
      </c>
      <c r="S84" s="1716">
        <f ca="1" t="shared" si="27"/>
        <v>0</v>
      </c>
      <c r="T84" s="1768">
        <f ca="1" t="shared" si="28"/>
        <v>0</v>
      </c>
      <c r="U84" s="1838">
        <f t="shared" si="22"/>
        <v>0</v>
      </c>
      <c r="V84" s="1838">
        <f t="shared" si="23"/>
        <v>0</v>
      </c>
      <c r="W84" s="1840"/>
      <c r="X84" s="1838">
        <f t="shared" si="24"/>
        <v>0</v>
      </c>
      <c r="Y84" s="1838">
        <f t="shared" si="25"/>
        <v>0</v>
      </c>
      <c r="Z84" s="1840"/>
    </row>
    <row r="85" spans="1:26">
      <c r="A85" s="1770"/>
      <c r="B85" s="1771"/>
      <c r="C85" s="1762">
        <f t="shared" si="14"/>
        <v>1</v>
      </c>
      <c r="D85" s="1769"/>
      <c r="E85" s="1762">
        <f t="shared" si="15"/>
        <v>1</v>
      </c>
      <c r="F85" s="1769"/>
      <c r="G85" s="1762">
        <f t="shared" si="16"/>
        <v>1</v>
      </c>
      <c r="H85" s="1769"/>
      <c r="I85" s="1762">
        <f t="shared" si="17"/>
        <v>1</v>
      </c>
      <c r="J85" s="1769"/>
      <c r="K85" s="1762">
        <f t="shared" si="18"/>
        <v>1</v>
      </c>
      <c r="L85" s="1769"/>
      <c r="M85" s="1762">
        <f t="shared" si="19"/>
        <v>1</v>
      </c>
      <c r="N85" s="1769"/>
      <c r="O85" s="1762">
        <f t="shared" si="20"/>
        <v>1</v>
      </c>
      <c r="P85" s="1769"/>
      <c r="Q85" s="1762">
        <f t="shared" si="21"/>
        <v>1</v>
      </c>
      <c r="R85" s="1833">
        <f ca="1" t="shared" si="26"/>
        <v>0</v>
      </c>
      <c r="S85" s="1716">
        <f ca="1" t="shared" si="27"/>
        <v>0</v>
      </c>
      <c r="T85" s="1768">
        <f ca="1" t="shared" si="28"/>
        <v>0</v>
      </c>
      <c r="U85" s="1838">
        <f t="shared" si="22"/>
        <v>0</v>
      </c>
      <c r="V85" s="1838">
        <f t="shared" si="23"/>
        <v>0</v>
      </c>
      <c r="W85" s="1840"/>
      <c r="X85" s="1838">
        <f t="shared" si="24"/>
        <v>0</v>
      </c>
      <c r="Y85" s="1838">
        <f t="shared" si="25"/>
        <v>0</v>
      </c>
      <c r="Z85" s="1840"/>
    </row>
    <row r="86" spans="1:26">
      <c r="A86" s="1770"/>
      <c r="B86" s="1771"/>
      <c r="C86" s="1762">
        <f t="shared" si="14"/>
        <v>1</v>
      </c>
      <c r="D86" s="1769"/>
      <c r="E86" s="1762">
        <f t="shared" si="15"/>
        <v>1</v>
      </c>
      <c r="F86" s="1769"/>
      <c r="G86" s="1762">
        <f t="shared" si="16"/>
        <v>1</v>
      </c>
      <c r="H86" s="1769"/>
      <c r="I86" s="1762">
        <f t="shared" si="17"/>
        <v>1</v>
      </c>
      <c r="J86" s="1769"/>
      <c r="K86" s="1762">
        <f t="shared" si="18"/>
        <v>1</v>
      </c>
      <c r="L86" s="1769"/>
      <c r="M86" s="1762">
        <f t="shared" si="19"/>
        <v>1</v>
      </c>
      <c r="N86" s="1769"/>
      <c r="O86" s="1762">
        <f t="shared" si="20"/>
        <v>1</v>
      </c>
      <c r="P86" s="1769"/>
      <c r="Q86" s="1762">
        <f t="shared" si="21"/>
        <v>1</v>
      </c>
      <c r="R86" s="1833">
        <f ca="1" t="shared" si="26"/>
        <v>0</v>
      </c>
      <c r="S86" s="1716">
        <f ca="1" t="shared" si="27"/>
        <v>0</v>
      </c>
      <c r="T86" s="1768">
        <f ca="1" t="shared" si="28"/>
        <v>0</v>
      </c>
      <c r="U86" s="1838">
        <f t="shared" si="22"/>
        <v>0</v>
      </c>
      <c r="V86" s="1838">
        <f t="shared" si="23"/>
        <v>0</v>
      </c>
      <c r="W86" s="1840"/>
      <c r="X86" s="1838">
        <f t="shared" si="24"/>
        <v>0</v>
      </c>
      <c r="Y86" s="1838">
        <f t="shared" si="25"/>
        <v>0</v>
      </c>
      <c r="Z86" s="1840"/>
    </row>
    <row r="87" spans="1:26">
      <c r="A87" s="1770"/>
      <c r="B87" s="1771"/>
      <c r="C87" s="1762">
        <f t="shared" si="14"/>
        <v>1</v>
      </c>
      <c r="D87" s="1769"/>
      <c r="E87" s="1762">
        <f t="shared" si="15"/>
        <v>1</v>
      </c>
      <c r="F87" s="1769"/>
      <c r="G87" s="1762">
        <f t="shared" si="16"/>
        <v>1</v>
      </c>
      <c r="H87" s="1769"/>
      <c r="I87" s="1762">
        <f t="shared" si="17"/>
        <v>1</v>
      </c>
      <c r="J87" s="1769"/>
      <c r="K87" s="1762">
        <f t="shared" si="18"/>
        <v>1</v>
      </c>
      <c r="L87" s="1769"/>
      <c r="M87" s="1762">
        <f t="shared" si="19"/>
        <v>1</v>
      </c>
      <c r="N87" s="1769"/>
      <c r="O87" s="1762">
        <f t="shared" si="20"/>
        <v>1</v>
      </c>
      <c r="P87" s="1769"/>
      <c r="Q87" s="1762">
        <f t="shared" si="21"/>
        <v>1</v>
      </c>
      <c r="R87" s="1833">
        <f ca="1" t="shared" si="26"/>
        <v>0</v>
      </c>
      <c r="S87" s="1716">
        <f ca="1" t="shared" si="27"/>
        <v>0</v>
      </c>
      <c r="T87" s="1768">
        <f ca="1" t="shared" si="28"/>
        <v>0</v>
      </c>
      <c r="U87" s="1838">
        <f t="shared" si="22"/>
        <v>0</v>
      </c>
      <c r="V87" s="1838">
        <f t="shared" si="23"/>
        <v>0</v>
      </c>
      <c r="W87" s="1840"/>
      <c r="X87" s="1838">
        <f t="shared" si="24"/>
        <v>0</v>
      </c>
      <c r="Y87" s="1838">
        <f t="shared" si="25"/>
        <v>0</v>
      </c>
      <c r="Z87" s="1840"/>
    </row>
    <row r="88" spans="1:26">
      <c r="A88" s="1770"/>
      <c r="B88" s="1771"/>
      <c r="C88" s="1762">
        <f t="shared" si="14"/>
        <v>1</v>
      </c>
      <c r="D88" s="1769"/>
      <c r="E88" s="1762">
        <f t="shared" si="15"/>
        <v>1</v>
      </c>
      <c r="F88" s="1769"/>
      <c r="G88" s="1762">
        <f t="shared" si="16"/>
        <v>1</v>
      </c>
      <c r="H88" s="1769"/>
      <c r="I88" s="1762">
        <f t="shared" si="17"/>
        <v>1</v>
      </c>
      <c r="J88" s="1769"/>
      <c r="K88" s="1762">
        <f t="shared" si="18"/>
        <v>1</v>
      </c>
      <c r="L88" s="1769"/>
      <c r="M88" s="1762">
        <f t="shared" si="19"/>
        <v>1</v>
      </c>
      <c r="N88" s="1769"/>
      <c r="O88" s="1762">
        <f t="shared" si="20"/>
        <v>1</v>
      </c>
      <c r="P88" s="1769"/>
      <c r="Q88" s="1762">
        <f t="shared" si="21"/>
        <v>1</v>
      </c>
      <c r="R88" s="1833">
        <f ca="1" t="shared" si="26"/>
        <v>0</v>
      </c>
      <c r="S88" s="1716">
        <f ca="1" t="shared" si="27"/>
        <v>0</v>
      </c>
      <c r="T88" s="1768">
        <f ca="1" t="shared" si="28"/>
        <v>0</v>
      </c>
      <c r="U88" s="1838">
        <f t="shared" si="22"/>
        <v>0</v>
      </c>
      <c r="V88" s="1838">
        <f t="shared" si="23"/>
        <v>0</v>
      </c>
      <c r="W88" s="1840"/>
      <c r="X88" s="1838">
        <f t="shared" si="24"/>
        <v>0</v>
      </c>
      <c r="Y88" s="1838">
        <f t="shared" si="25"/>
        <v>0</v>
      </c>
      <c r="Z88" s="1840"/>
    </row>
    <row r="89" spans="1:26">
      <c r="A89" s="1770"/>
      <c r="B89" s="1771"/>
      <c r="C89" s="1762">
        <f t="shared" si="14"/>
        <v>1</v>
      </c>
      <c r="D89" s="1769"/>
      <c r="E89" s="1762">
        <f t="shared" si="15"/>
        <v>1</v>
      </c>
      <c r="F89" s="1769"/>
      <c r="G89" s="1762">
        <f t="shared" si="16"/>
        <v>1</v>
      </c>
      <c r="H89" s="1769"/>
      <c r="I89" s="1762">
        <f t="shared" si="17"/>
        <v>1</v>
      </c>
      <c r="J89" s="1769"/>
      <c r="K89" s="1762">
        <f t="shared" si="18"/>
        <v>1</v>
      </c>
      <c r="L89" s="1769"/>
      <c r="M89" s="1762">
        <f t="shared" si="19"/>
        <v>1</v>
      </c>
      <c r="N89" s="1769"/>
      <c r="O89" s="1762">
        <f t="shared" si="20"/>
        <v>1</v>
      </c>
      <c r="P89" s="1769"/>
      <c r="Q89" s="1762">
        <f t="shared" si="21"/>
        <v>1</v>
      </c>
      <c r="R89" s="1833">
        <f ca="1" t="shared" si="26"/>
        <v>0</v>
      </c>
      <c r="S89" s="1716">
        <f ca="1" t="shared" si="27"/>
        <v>0</v>
      </c>
      <c r="T89" s="1768">
        <f ca="1" t="shared" si="28"/>
        <v>0</v>
      </c>
      <c r="U89" s="1838">
        <f t="shared" si="22"/>
        <v>0</v>
      </c>
      <c r="V89" s="1838">
        <f t="shared" si="23"/>
        <v>0</v>
      </c>
      <c r="W89" s="1840"/>
      <c r="X89" s="1838">
        <f t="shared" si="24"/>
        <v>0</v>
      </c>
      <c r="Y89" s="1838">
        <f t="shared" si="25"/>
        <v>0</v>
      </c>
      <c r="Z89" s="1840"/>
    </row>
    <row r="90" spans="1:26">
      <c r="A90" s="1770"/>
      <c r="B90" s="1771"/>
      <c r="C90" s="1762">
        <f t="shared" si="14"/>
        <v>1</v>
      </c>
      <c r="D90" s="1769"/>
      <c r="E90" s="1762">
        <f t="shared" si="15"/>
        <v>1</v>
      </c>
      <c r="F90" s="1769"/>
      <c r="G90" s="1762">
        <f t="shared" si="16"/>
        <v>1</v>
      </c>
      <c r="H90" s="1769"/>
      <c r="I90" s="1762">
        <f t="shared" si="17"/>
        <v>1</v>
      </c>
      <c r="J90" s="1769"/>
      <c r="K90" s="1762">
        <f t="shared" si="18"/>
        <v>1</v>
      </c>
      <c r="L90" s="1769"/>
      <c r="M90" s="1762">
        <f t="shared" si="19"/>
        <v>1</v>
      </c>
      <c r="N90" s="1769"/>
      <c r="O90" s="1762">
        <f t="shared" si="20"/>
        <v>1</v>
      </c>
      <c r="P90" s="1769"/>
      <c r="Q90" s="1762">
        <f t="shared" si="21"/>
        <v>1</v>
      </c>
      <c r="R90" s="1833">
        <f ca="1" t="shared" si="26"/>
        <v>0</v>
      </c>
      <c r="S90" s="1716">
        <f ca="1" t="shared" si="27"/>
        <v>0</v>
      </c>
      <c r="T90" s="1768">
        <f ca="1" t="shared" si="28"/>
        <v>0</v>
      </c>
      <c r="U90" s="1838">
        <f t="shared" si="22"/>
        <v>0</v>
      </c>
      <c r="V90" s="1838">
        <f t="shared" si="23"/>
        <v>0</v>
      </c>
      <c r="W90" s="1840"/>
      <c r="X90" s="1838">
        <f t="shared" si="24"/>
        <v>0</v>
      </c>
      <c r="Y90" s="1838">
        <f t="shared" si="25"/>
        <v>0</v>
      </c>
      <c r="Z90" s="1840"/>
    </row>
    <row r="91" spans="1:26">
      <c r="A91" s="1770"/>
      <c r="B91" s="1771"/>
      <c r="C91" s="1762">
        <f t="shared" si="14"/>
        <v>1</v>
      </c>
      <c r="D91" s="1769"/>
      <c r="E91" s="1762">
        <f t="shared" si="15"/>
        <v>1</v>
      </c>
      <c r="F91" s="1769"/>
      <c r="G91" s="1762">
        <f t="shared" si="16"/>
        <v>1</v>
      </c>
      <c r="H91" s="1769"/>
      <c r="I91" s="1762">
        <f t="shared" si="17"/>
        <v>1</v>
      </c>
      <c r="J91" s="1769"/>
      <c r="K91" s="1762">
        <f t="shared" si="18"/>
        <v>1</v>
      </c>
      <c r="L91" s="1769"/>
      <c r="M91" s="1762">
        <f t="shared" si="19"/>
        <v>1</v>
      </c>
      <c r="N91" s="1769"/>
      <c r="O91" s="1762">
        <f t="shared" si="20"/>
        <v>1</v>
      </c>
      <c r="P91" s="1769"/>
      <c r="Q91" s="1762">
        <f t="shared" si="21"/>
        <v>1</v>
      </c>
      <c r="R91" s="1833">
        <f ca="1" t="shared" si="26"/>
        <v>0</v>
      </c>
      <c r="S91" s="1716">
        <f ca="1" t="shared" si="27"/>
        <v>0</v>
      </c>
      <c r="T91" s="1768">
        <f ca="1" t="shared" si="28"/>
        <v>0</v>
      </c>
      <c r="U91" s="1838">
        <f t="shared" si="22"/>
        <v>0</v>
      </c>
      <c r="V91" s="1838">
        <f t="shared" si="23"/>
        <v>0</v>
      </c>
      <c r="W91" s="1840"/>
      <c r="X91" s="1838">
        <f t="shared" si="24"/>
        <v>0</v>
      </c>
      <c r="Y91" s="1838">
        <f t="shared" si="25"/>
        <v>0</v>
      </c>
      <c r="Z91" s="1840"/>
    </row>
    <row r="92" spans="1:26">
      <c r="A92" s="1770"/>
      <c r="B92" s="1771"/>
      <c r="C92" s="1762">
        <f t="shared" ref="C92:C155" si="29">IF(B92="",1,(LOOKUP(B92,$6:$6,$7:$7)-LOOKUP($B$27,$6:$6,$7:$7)+100)/100)</f>
        <v>1</v>
      </c>
      <c r="D92" s="1769"/>
      <c r="E92" s="1762">
        <f t="shared" ref="E92:E155" si="30">(SUMIF($8:$8,D92,$9:$9)-SUMIF($8:$8,$D$27,$9:$9)+100)/100</f>
        <v>1</v>
      </c>
      <c r="F92" s="1769"/>
      <c r="G92" s="1762">
        <f t="shared" ref="G92:G155" si="31">(SUMIF($10:$10,F92,$11:$11)-SUMIF($10:$10,$F$27,$11:$11)+100)/100</f>
        <v>1</v>
      </c>
      <c r="H92" s="1769"/>
      <c r="I92" s="1762">
        <f t="shared" ref="I92:I155" si="32">(SUMIF($12:$12,H92,$13:$13)-SUMIF($12:$12,$H$27,$13:$13)+100)/100</f>
        <v>1</v>
      </c>
      <c r="J92" s="1769"/>
      <c r="K92" s="1762">
        <f t="shared" ref="K92:K155" si="33">(SUMIF($14:$14,J92,$15:$15)-SUMIF($14:$14,$J$27,$15:$15)+100)/100</f>
        <v>1</v>
      </c>
      <c r="L92" s="1769"/>
      <c r="M92" s="1762">
        <f t="shared" ref="M92:M155" si="34">(SUMIF($16:$16,L92,$17:$17)-SUMIF($16:$16,$L$27,$17:$17)+100)/100</f>
        <v>1</v>
      </c>
      <c r="N92" s="1769"/>
      <c r="O92" s="1762">
        <f t="shared" ref="O92:O155" si="35">(SUMIF($18:$18,N92,$19:$19)-SUMIF($18:$18,$N$27,$19:$19)+100)/100</f>
        <v>1</v>
      </c>
      <c r="P92" s="1769"/>
      <c r="Q92" s="1762">
        <f t="shared" ref="Q92:Q155" si="36">(SUMIF($20:$20,P92,$21:$21)-SUMIF($20:$20,$P$27,$21:$21)+100)/100</f>
        <v>1</v>
      </c>
      <c r="R92" s="1833">
        <f ca="1" t="shared" si="26"/>
        <v>0</v>
      </c>
      <c r="S92" s="1716">
        <f ca="1" t="shared" si="27"/>
        <v>0</v>
      </c>
      <c r="T92" s="1768">
        <f ca="1" t="shared" si="28"/>
        <v>0</v>
      </c>
      <c r="U92" s="1838">
        <f t="shared" ref="U92:U155" si="37">ROUND(W92*B92,0)</f>
        <v>0</v>
      </c>
      <c r="V92" s="1838">
        <f t="shared" ref="V92:V155" si="38">ROUND(W92*B92/10000,0)</f>
        <v>0</v>
      </c>
      <c r="W92" s="1840"/>
      <c r="X92" s="1838">
        <f t="shared" ref="X92:X155" si="39">ROUND(Z92*B92,0)</f>
        <v>0</v>
      </c>
      <c r="Y92" s="1838">
        <f t="shared" ref="Y92:Y155" si="40">ROUND(Z92*B92/10000,0)</f>
        <v>0</v>
      </c>
      <c r="Z92" s="1840"/>
    </row>
    <row r="93" spans="1:26">
      <c r="A93" s="1770"/>
      <c r="B93" s="1771"/>
      <c r="C93" s="1762">
        <f t="shared" si="29"/>
        <v>1</v>
      </c>
      <c r="D93" s="1769"/>
      <c r="E93" s="1762">
        <f t="shared" si="30"/>
        <v>1</v>
      </c>
      <c r="F93" s="1769"/>
      <c r="G93" s="1762">
        <f t="shared" si="31"/>
        <v>1</v>
      </c>
      <c r="H93" s="1769"/>
      <c r="I93" s="1762">
        <f t="shared" si="32"/>
        <v>1</v>
      </c>
      <c r="J93" s="1769"/>
      <c r="K93" s="1762">
        <f t="shared" si="33"/>
        <v>1</v>
      </c>
      <c r="L93" s="1769"/>
      <c r="M93" s="1762">
        <f t="shared" si="34"/>
        <v>1</v>
      </c>
      <c r="N93" s="1769"/>
      <c r="O93" s="1762">
        <f t="shared" si="35"/>
        <v>1</v>
      </c>
      <c r="P93" s="1769"/>
      <c r="Q93" s="1762">
        <f t="shared" si="36"/>
        <v>1</v>
      </c>
      <c r="R93" s="1833">
        <f ca="1" t="shared" ref="R93:R156" si="41">IF(B93="",0,ROUND($R$27*C93*E93*G93*I93*K93*M93*O93*Q93,0))</f>
        <v>0</v>
      </c>
      <c r="S93" s="1716">
        <f ca="1" t="shared" ref="S93:S156" si="42">ROUND(R93*B93,0)</f>
        <v>0</v>
      </c>
      <c r="T93" s="1768">
        <f ca="1" t="shared" ref="T93:T156" si="43">ROUND(R93*B93/10000,0)</f>
        <v>0</v>
      </c>
      <c r="U93" s="1838">
        <f t="shared" si="37"/>
        <v>0</v>
      </c>
      <c r="V93" s="1838">
        <f t="shared" si="38"/>
        <v>0</v>
      </c>
      <c r="W93" s="1840"/>
      <c r="X93" s="1838">
        <f t="shared" si="39"/>
        <v>0</v>
      </c>
      <c r="Y93" s="1838">
        <f t="shared" si="40"/>
        <v>0</v>
      </c>
      <c r="Z93" s="1840"/>
    </row>
    <row r="94" spans="1:26">
      <c r="A94" s="1770"/>
      <c r="B94" s="1771"/>
      <c r="C94" s="1762">
        <f t="shared" si="29"/>
        <v>1</v>
      </c>
      <c r="D94" s="1769"/>
      <c r="E94" s="1762">
        <f t="shared" si="30"/>
        <v>1</v>
      </c>
      <c r="F94" s="1769"/>
      <c r="G94" s="1762">
        <f t="shared" si="31"/>
        <v>1</v>
      </c>
      <c r="H94" s="1769"/>
      <c r="I94" s="1762">
        <f t="shared" si="32"/>
        <v>1</v>
      </c>
      <c r="J94" s="1769"/>
      <c r="K94" s="1762">
        <f t="shared" si="33"/>
        <v>1</v>
      </c>
      <c r="L94" s="1769"/>
      <c r="M94" s="1762">
        <f t="shared" si="34"/>
        <v>1</v>
      </c>
      <c r="N94" s="1769"/>
      <c r="O94" s="1762">
        <f t="shared" si="35"/>
        <v>1</v>
      </c>
      <c r="P94" s="1769"/>
      <c r="Q94" s="1762">
        <f t="shared" si="36"/>
        <v>1</v>
      </c>
      <c r="R94" s="1833">
        <f ca="1" t="shared" si="41"/>
        <v>0</v>
      </c>
      <c r="S94" s="1716">
        <f ca="1" t="shared" si="42"/>
        <v>0</v>
      </c>
      <c r="T94" s="1768">
        <f ca="1" t="shared" si="43"/>
        <v>0</v>
      </c>
      <c r="U94" s="1838">
        <f t="shared" si="37"/>
        <v>0</v>
      </c>
      <c r="V94" s="1838">
        <f t="shared" si="38"/>
        <v>0</v>
      </c>
      <c r="W94" s="1840"/>
      <c r="X94" s="1838">
        <f t="shared" si="39"/>
        <v>0</v>
      </c>
      <c r="Y94" s="1838">
        <f t="shared" si="40"/>
        <v>0</v>
      </c>
      <c r="Z94" s="1840"/>
    </row>
    <row r="95" spans="1:26">
      <c r="A95" s="1770"/>
      <c r="B95" s="1771"/>
      <c r="C95" s="1762">
        <f t="shared" si="29"/>
        <v>1</v>
      </c>
      <c r="D95" s="1769"/>
      <c r="E95" s="1762">
        <f t="shared" si="30"/>
        <v>1</v>
      </c>
      <c r="F95" s="1769"/>
      <c r="G95" s="1762">
        <f t="shared" si="31"/>
        <v>1</v>
      </c>
      <c r="H95" s="1769"/>
      <c r="I95" s="1762">
        <f t="shared" si="32"/>
        <v>1</v>
      </c>
      <c r="J95" s="1769"/>
      <c r="K95" s="1762">
        <f t="shared" si="33"/>
        <v>1</v>
      </c>
      <c r="L95" s="1769"/>
      <c r="M95" s="1762">
        <f t="shared" si="34"/>
        <v>1</v>
      </c>
      <c r="N95" s="1769"/>
      <c r="O95" s="1762">
        <f t="shared" si="35"/>
        <v>1</v>
      </c>
      <c r="P95" s="1769"/>
      <c r="Q95" s="1762">
        <f t="shared" si="36"/>
        <v>1</v>
      </c>
      <c r="R95" s="1833">
        <f ca="1" t="shared" si="41"/>
        <v>0</v>
      </c>
      <c r="S95" s="1716">
        <f ca="1" t="shared" si="42"/>
        <v>0</v>
      </c>
      <c r="T95" s="1768">
        <f ca="1" t="shared" si="43"/>
        <v>0</v>
      </c>
      <c r="U95" s="1838">
        <f t="shared" si="37"/>
        <v>0</v>
      </c>
      <c r="V95" s="1838">
        <f t="shared" si="38"/>
        <v>0</v>
      </c>
      <c r="W95" s="1840"/>
      <c r="X95" s="1838">
        <f t="shared" si="39"/>
        <v>0</v>
      </c>
      <c r="Y95" s="1838">
        <f t="shared" si="40"/>
        <v>0</v>
      </c>
      <c r="Z95" s="1840"/>
    </row>
    <row r="96" spans="1:26">
      <c r="A96" s="1770"/>
      <c r="B96" s="1771"/>
      <c r="C96" s="1762">
        <f t="shared" si="29"/>
        <v>1</v>
      </c>
      <c r="D96" s="1769"/>
      <c r="E96" s="1762">
        <f t="shared" si="30"/>
        <v>1</v>
      </c>
      <c r="F96" s="1769"/>
      <c r="G96" s="1762">
        <f t="shared" si="31"/>
        <v>1</v>
      </c>
      <c r="H96" s="1769"/>
      <c r="I96" s="1762">
        <f t="shared" si="32"/>
        <v>1</v>
      </c>
      <c r="J96" s="1769"/>
      <c r="K96" s="1762">
        <f t="shared" si="33"/>
        <v>1</v>
      </c>
      <c r="L96" s="1769"/>
      <c r="M96" s="1762">
        <f t="shared" si="34"/>
        <v>1</v>
      </c>
      <c r="N96" s="1769"/>
      <c r="O96" s="1762">
        <f t="shared" si="35"/>
        <v>1</v>
      </c>
      <c r="P96" s="1769"/>
      <c r="Q96" s="1762">
        <f t="shared" si="36"/>
        <v>1</v>
      </c>
      <c r="R96" s="1833">
        <f ca="1" t="shared" si="41"/>
        <v>0</v>
      </c>
      <c r="S96" s="1716">
        <f ca="1" t="shared" si="42"/>
        <v>0</v>
      </c>
      <c r="T96" s="1768">
        <f ca="1" t="shared" si="43"/>
        <v>0</v>
      </c>
      <c r="U96" s="1838">
        <f t="shared" si="37"/>
        <v>0</v>
      </c>
      <c r="V96" s="1838">
        <f t="shared" si="38"/>
        <v>0</v>
      </c>
      <c r="W96" s="1840"/>
      <c r="X96" s="1838">
        <f t="shared" si="39"/>
        <v>0</v>
      </c>
      <c r="Y96" s="1838">
        <f t="shared" si="40"/>
        <v>0</v>
      </c>
      <c r="Z96" s="1840"/>
    </row>
    <row r="97" spans="1:26">
      <c r="A97" s="1770"/>
      <c r="B97" s="1771"/>
      <c r="C97" s="1762">
        <f t="shared" si="29"/>
        <v>1</v>
      </c>
      <c r="D97" s="1769"/>
      <c r="E97" s="1762">
        <f t="shared" si="30"/>
        <v>1</v>
      </c>
      <c r="F97" s="1769"/>
      <c r="G97" s="1762">
        <f t="shared" si="31"/>
        <v>1</v>
      </c>
      <c r="H97" s="1769"/>
      <c r="I97" s="1762">
        <f t="shared" si="32"/>
        <v>1</v>
      </c>
      <c r="J97" s="1769"/>
      <c r="K97" s="1762">
        <f t="shared" si="33"/>
        <v>1</v>
      </c>
      <c r="L97" s="1769"/>
      <c r="M97" s="1762">
        <f t="shared" si="34"/>
        <v>1</v>
      </c>
      <c r="N97" s="1769"/>
      <c r="O97" s="1762">
        <f t="shared" si="35"/>
        <v>1</v>
      </c>
      <c r="P97" s="1769"/>
      <c r="Q97" s="1762">
        <f t="shared" si="36"/>
        <v>1</v>
      </c>
      <c r="R97" s="1833">
        <f ca="1" t="shared" si="41"/>
        <v>0</v>
      </c>
      <c r="S97" s="1716">
        <f ca="1" t="shared" si="42"/>
        <v>0</v>
      </c>
      <c r="T97" s="1768">
        <f ca="1" t="shared" si="43"/>
        <v>0</v>
      </c>
      <c r="U97" s="1838">
        <f t="shared" si="37"/>
        <v>0</v>
      </c>
      <c r="V97" s="1838">
        <f t="shared" si="38"/>
        <v>0</v>
      </c>
      <c r="W97" s="1840"/>
      <c r="X97" s="1838">
        <f t="shared" si="39"/>
        <v>0</v>
      </c>
      <c r="Y97" s="1838">
        <f t="shared" si="40"/>
        <v>0</v>
      </c>
      <c r="Z97" s="1840"/>
    </row>
    <row r="98" spans="1:26">
      <c r="A98" s="1770"/>
      <c r="B98" s="1771"/>
      <c r="C98" s="1762">
        <f t="shared" si="29"/>
        <v>1</v>
      </c>
      <c r="D98" s="1769"/>
      <c r="E98" s="1762">
        <f t="shared" si="30"/>
        <v>1</v>
      </c>
      <c r="F98" s="1769"/>
      <c r="G98" s="1762">
        <f t="shared" si="31"/>
        <v>1</v>
      </c>
      <c r="H98" s="1769"/>
      <c r="I98" s="1762">
        <f t="shared" si="32"/>
        <v>1</v>
      </c>
      <c r="J98" s="1769"/>
      <c r="K98" s="1762">
        <f t="shared" si="33"/>
        <v>1</v>
      </c>
      <c r="L98" s="1769"/>
      <c r="M98" s="1762">
        <f t="shared" si="34"/>
        <v>1</v>
      </c>
      <c r="N98" s="1769"/>
      <c r="O98" s="1762">
        <f t="shared" si="35"/>
        <v>1</v>
      </c>
      <c r="P98" s="1769"/>
      <c r="Q98" s="1762">
        <f t="shared" si="36"/>
        <v>1</v>
      </c>
      <c r="R98" s="1833">
        <f ca="1" t="shared" si="41"/>
        <v>0</v>
      </c>
      <c r="S98" s="1716">
        <f ca="1" t="shared" si="42"/>
        <v>0</v>
      </c>
      <c r="T98" s="1768">
        <f ca="1" t="shared" si="43"/>
        <v>0</v>
      </c>
      <c r="U98" s="1838">
        <f t="shared" si="37"/>
        <v>0</v>
      </c>
      <c r="V98" s="1838">
        <f t="shared" si="38"/>
        <v>0</v>
      </c>
      <c r="W98" s="1840"/>
      <c r="X98" s="1838">
        <f t="shared" si="39"/>
        <v>0</v>
      </c>
      <c r="Y98" s="1838">
        <f t="shared" si="40"/>
        <v>0</v>
      </c>
      <c r="Z98" s="1840"/>
    </row>
    <row r="99" spans="1:26">
      <c r="A99" s="1770"/>
      <c r="B99" s="1771"/>
      <c r="C99" s="1762">
        <f t="shared" si="29"/>
        <v>1</v>
      </c>
      <c r="D99" s="1769"/>
      <c r="E99" s="1762">
        <f t="shared" si="30"/>
        <v>1</v>
      </c>
      <c r="F99" s="1769"/>
      <c r="G99" s="1762">
        <f t="shared" si="31"/>
        <v>1</v>
      </c>
      <c r="H99" s="1769"/>
      <c r="I99" s="1762">
        <f t="shared" si="32"/>
        <v>1</v>
      </c>
      <c r="J99" s="1769"/>
      <c r="K99" s="1762">
        <f t="shared" si="33"/>
        <v>1</v>
      </c>
      <c r="L99" s="1769"/>
      <c r="M99" s="1762">
        <f t="shared" si="34"/>
        <v>1</v>
      </c>
      <c r="N99" s="1769"/>
      <c r="O99" s="1762">
        <f t="shared" si="35"/>
        <v>1</v>
      </c>
      <c r="P99" s="1769"/>
      <c r="Q99" s="1762">
        <f t="shared" si="36"/>
        <v>1</v>
      </c>
      <c r="R99" s="1833">
        <f ca="1" t="shared" si="41"/>
        <v>0</v>
      </c>
      <c r="S99" s="1716">
        <f ca="1" t="shared" si="42"/>
        <v>0</v>
      </c>
      <c r="T99" s="1768">
        <f ca="1" t="shared" si="43"/>
        <v>0</v>
      </c>
      <c r="U99" s="1838">
        <f t="shared" si="37"/>
        <v>0</v>
      </c>
      <c r="V99" s="1838">
        <f t="shared" si="38"/>
        <v>0</v>
      </c>
      <c r="W99" s="1840"/>
      <c r="X99" s="1838">
        <f t="shared" si="39"/>
        <v>0</v>
      </c>
      <c r="Y99" s="1838">
        <f t="shared" si="40"/>
        <v>0</v>
      </c>
      <c r="Z99" s="1840"/>
    </row>
    <row r="100" spans="1:26">
      <c r="A100" s="1770"/>
      <c r="B100" s="1771"/>
      <c r="C100" s="1762">
        <f t="shared" si="29"/>
        <v>1</v>
      </c>
      <c r="D100" s="1769"/>
      <c r="E100" s="1762">
        <f t="shared" si="30"/>
        <v>1</v>
      </c>
      <c r="F100" s="1769"/>
      <c r="G100" s="1762">
        <f t="shared" si="31"/>
        <v>1</v>
      </c>
      <c r="H100" s="1769"/>
      <c r="I100" s="1762">
        <f t="shared" si="32"/>
        <v>1</v>
      </c>
      <c r="J100" s="1769"/>
      <c r="K100" s="1762">
        <f t="shared" si="33"/>
        <v>1</v>
      </c>
      <c r="L100" s="1769"/>
      <c r="M100" s="1762">
        <f t="shared" si="34"/>
        <v>1</v>
      </c>
      <c r="N100" s="1769"/>
      <c r="O100" s="1762">
        <f t="shared" si="35"/>
        <v>1</v>
      </c>
      <c r="P100" s="1769"/>
      <c r="Q100" s="1762">
        <f t="shared" si="36"/>
        <v>1</v>
      </c>
      <c r="R100" s="1833">
        <f ca="1" t="shared" si="41"/>
        <v>0</v>
      </c>
      <c r="S100" s="1716">
        <f ca="1" t="shared" si="42"/>
        <v>0</v>
      </c>
      <c r="T100" s="1768">
        <f ca="1" t="shared" si="43"/>
        <v>0</v>
      </c>
      <c r="U100" s="1838">
        <f t="shared" si="37"/>
        <v>0</v>
      </c>
      <c r="V100" s="1838">
        <f t="shared" si="38"/>
        <v>0</v>
      </c>
      <c r="W100" s="1840"/>
      <c r="X100" s="1838">
        <f t="shared" si="39"/>
        <v>0</v>
      </c>
      <c r="Y100" s="1838">
        <f t="shared" si="40"/>
        <v>0</v>
      </c>
      <c r="Z100" s="1840"/>
    </row>
    <row r="101" spans="1:26">
      <c r="A101" s="1770"/>
      <c r="B101" s="1771"/>
      <c r="C101" s="1762">
        <f t="shared" si="29"/>
        <v>1</v>
      </c>
      <c r="D101" s="1769"/>
      <c r="E101" s="1762">
        <f t="shared" si="30"/>
        <v>1</v>
      </c>
      <c r="F101" s="1769"/>
      <c r="G101" s="1762">
        <f t="shared" si="31"/>
        <v>1</v>
      </c>
      <c r="H101" s="1769"/>
      <c r="I101" s="1762">
        <f t="shared" si="32"/>
        <v>1</v>
      </c>
      <c r="J101" s="1769"/>
      <c r="K101" s="1762">
        <f t="shared" si="33"/>
        <v>1</v>
      </c>
      <c r="L101" s="1769"/>
      <c r="M101" s="1762">
        <f t="shared" si="34"/>
        <v>1</v>
      </c>
      <c r="N101" s="1769"/>
      <c r="O101" s="1762">
        <f t="shared" si="35"/>
        <v>1</v>
      </c>
      <c r="P101" s="1769"/>
      <c r="Q101" s="1762">
        <f t="shared" si="36"/>
        <v>1</v>
      </c>
      <c r="R101" s="1833">
        <f ca="1" t="shared" si="41"/>
        <v>0</v>
      </c>
      <c r="S101" s="1716">
        <f ca="1" t="shared" si="42"/>
        <v>0</v>
      </c>
      <c r="T101" s="1768">
        <f ca="1" t="shared" si="43"/>
        <v>0</v>
      </c>
      <c r="U101" s="1838">
        <f t="shared" si="37"/>
        <v>0</v>
      </c>
      <c r="V101" s="1838">
        <f t="shared" si="38"/>
        <v>0</v>
      </c>
      <c r="W101" s="1840"/>
      <c r="X101" s="1838">
        <f t="shared" si="39"/>
        <v>0</v>
      </c>
      <c r="Y101" s="1838">
        <f t="shared" si="40"/>
        <v>0</v>
      </c>
      <c r="Z101" s="1840"/>
    </row>
    <row r="102" spans="1:26">
      <c r="A102" s="1770"/>
      <c r="B102" s="1771"/>
      <c r="C102" s="1762">
        <f t="shared" si="29"/>
        <v>1</v>
      </c>
      <c r="D102" s="1769"/>
      <c r="E102" s="1762">
        <f t="shared" si="30"/>
        <v>1</v>
      </c>
      <c r="F102" s="1769"/>
      <c r="G102" s="1762">
        <f t="shared" si="31"/>
        <v>1</v>
      </c>
      <c r="H102" s="1769"/>
      <c r="I102" s="1762">
        <f t="shared" si="32"/>
        <v>1</v>
      </c>
      <c r="J102" s="1769"/>
      <c r="K102" s="1762">
        <f t="shared" si="33"/>
        <v>1</v>
      </c>
      <c r="L102" s="1769"/>
      <c r="M102" s="1762">
        <f t="shared" si="34"/>
        <v>1</v>
      </c>
      <c r="N102" s="1769"/>
      <c r="O102" s="1762">
        <f t="shared" si="35"/>
        <v>1</v>
      </c>
      <c r="P102" s="1769"/>
      <c r="Q102" s="1762">
        <f t="shared" si="36"/>
        <v>1</v>
      </c>
      <c r="R102" s="1833">
        <f ca="1" t="shared" si="41"/>
        <v>0</v>
      </c>
      <c r="S102" s="1716">
        <f ca="1" t="shared" si="42"/>
        <v>0</v>
      </c>
      <c r="T102" s="1768">
        <f ca="1" t="shared" si="43"/>
        <v>0</v>
      </c>
      <c r="U102" s="1838">
        <f t="shared" si="37"/>
        <v>0</v>
      </c>
      <c r="V102" s="1838">
        <f t="shared" si="38"/>
        <v>0</v>
      </c>
      <c r="W102" s="1840"/>
      <c r="X102" s="1838">
        <f t="shared" si="39"/>
        <v>0</v>
      </c>
      <c r="Y102" s="1838">
        <f t="shared" si="40"/>
        <v>0</v>
      </c>
      <c r="Z102" s="1840"/>
    </row>
    <row r="103" spans="1:26">
      <c r="A103" s="1770"/>
      <c r="B103" s="1771"/>
      <c r="C103" s="1762">
        <f t="shared" si="29"/>
        <v>1</v>
      </c>
      <c r="D103" s="1769"/>
      <c r="E103" s="1762">
        <f t="shared" si="30"/>
        <v>1</v>
      </c>
      <c r="F103" s="1769"/>
      <c r="G103" s="1762">
        <f t="shared" si="31"/>
        <v>1</v>
      </c>
      <c r="H103" s="1769"/>
      <c r="I103" s="1762">
        <f t="shared" si="32"/>
        <v>1</v>
      </c>
      <c r="J103" s="1769"/>
      <c r="K103" s="1762">
        <f t="shared" si="33"/>
        <v>1</v>
      </c>
      <c r="L103" s="1769"/>
      <c r="M103" s="1762">
        <f t="shared" si="34"/>
        <v>1</v>
      </c>
      <c r="N103" s="1769"/>
      <c r="O103" s="1762">
        <f t="shared" si="35"/>
        <v>1</v>
      </c>
      <c r="P103" s="1769"/>
      <c r="Q103" s="1762">
        <f t="shared" si="36"/>
        <v>1</v>
      </c>
      <c r="R103" s="1833">
        <f ca="1" t="shared" si="41"/>
        <v>0</v>
      </c>
      <c r="S103" s="1716">
        <f ca="1" t="shared" si="42"/>
        <v>0</v>
      </c>
      <c r="T103" s="1768">
        <f ca="1" t="shared" si="43"/>
        <v>0</v>
      </c>
      <c r="U103" s="1838">
        <f t="shared" si="37"/>
        <v>0</v>
      </c>
      <c r="V103" s="1838">
        <f t="shared" si="38"/>
        <v>0</v>
      </c>
      <c r="W103" s="1840"/>
      <c r="X103" s="1838">
        <f t="shared" si="39"/>
        <v>0</v>
      </c>
      <c r="Y103" s="1838">
        <f t="shared" si="40"/>
        <v>0</v>
      </c>
      <c r="Z103" s="1840"/>
    </row>
    <row r="104" spans="1:26">
      <c r="A104" s="1770"/>
      <c r="B104" s="1771"/>
      <c r="C104" s="1762">
        <f t="shared" si="29"/>
        <v>1</v>
      </c>
      <c r="D104" s="1769"/>
      <c r="E104" s="1762">
        <f t="shared" si="30"/>
        <v>1</v>
      </c>
      <c r="F104" s="1769"/>
      <c r="G104" s="1762">
        <f t="shared" si="31"/>
        <v>1</v>
      </c>
      <c r="H104" s="1769"/>
      <c r="I104" s="1762">
        <f t="shared" si="32"/>
        <v>1</v>
      </c>
      <c r="J104" s="1769"/>
      <c r="K104" s="1762">
        <f t="shared" si="33"/>
        <v>1</v>
      </c>
      <c r="L104" s="1769"/>
      <c r="M104" s="1762">
        <f t="shared" si="34"/>
        <v>1</v>
      </c>
      <c r="N104" s="1769"/>
      <c r="O104" s="1762">
        <f t="shared" si="35"/>
        <v>1</v>
      </c>
      <c r="P104" s="1769"/>
      <c r="Q104" s="1762">
        <f t="shared" si="36"/>
        <v>1</v>
      </c>
      <c r="R104" s="1833">
        <f ca="1" t="shared" si="41"/>
        <v>0</v>
      </c>
      <c r="S104" s="1716">
        <f ca="1" t="shared" si="42"/>
        <v>0</v>
      </c>
      <c r="T104" s="1768">
        <f ca="1" t="shared" si="43"/>
        <v>0</v>
      </c>
      <c r="U104" s="1838">
        <f t="shared" si="37"/>
        <v>0</v>
      </c>
      <c r="V104" s="1838">
        <f t="shared" si="38"/>
        <v>0</v>
      </c>
      <c r="W104" s="1840"/>
      <c r="X104" s="1838">
        <f t="shared" si="39"/>
        <v>0</v>
      </c>
      <c r="Y104" s="1838">
        <f t="shared" si="40"/>
        <v>0</v>
      </c>
      <c r="Z104" s="1840"/>
    </row>
    <row r="105" spans="1:26">
      <c r="A105" s="1770"/>
      <c r="B105" s="1771"/>
      <c r="C105" s="1762">
        <f t="shared" si="29"/>
        <v>1</v>
      </c>
      <c r="D105" s="1769"/>
      <c r="E105" s="1762">
        <f t="shared" si="30"/>
        <v>1</v>
      </c>
      <c r="F105" s="1769"/>
      <c r="G105" s="1762">
        <f t="shared" si="31"/>
        <v>1</v>
      </c>
      <c r="H105" s="1769"/>
      <c r="I105" s="1762">
        <f t="shared" si="32"/>
        <v>1</v>
      </c>
      <c r="J105" s="1769"/>
      <c r="K105" s="1762">
        <f t="shared" si="33"/>
        <v>1</v>
      </c>
      <c r="L105" s="1769"/>
      <c r="M105" s="1762">
        <f t="shared" si="34"/>
        <v>1</v>
      </c>
      <c r="N105" s="1769"/>
      <c r="O105" s="1762">
        <f t="shared" si="35"/>
        <v>1</v>
      </c>
      <c r="P105" s="1769"/>
      <c r="Q105" s="1762">
        <f t="shared" si="36"/>
        <v>1</v>
      </c>
      <c r="R105" s="1833">
        <f ca="1" t="shared" si="41"/>
        <v>0</v>
      </c>
      <c r="S105" s="1716">
        <f ca="1" t="shared" si="42"/>
        <v>0</v>
      </c>
      <c r="T105" s="1768">
        <f ca="1" t="shared" si="43"/>
        <v>0</v>
      </c>
      <c r="U105" s="1838">
        <f t="shared" si="37"/>
        <v>0</v>
      </c>
      <c r="V105" s="1838">
        <f t="shared" si="38"/>
        <v>0</v>
      </c>
      <c r="W105" s="1840"/>
      <c r="X105" s="1838">
        <f t="shared" si="39"/>
        <v>0</v>
      </c>
      <c r="Y105" s="1838">
        <f t="shared" si="40"/>
        <v>0</v>
      </c>
      <c r="Z105" s="1840"/>
    </row>
    <row r="106" spans="1:26">
      <c r="A106" s="1770"/>
      <c r="B106" s="1771"/>
      <c r="C106" s="1762">
        <f t="shared" si="29"/>
        <v>1</v>
      </c>
      <c r="D106" s="1769"/>
      <c r="E106" s="1762">
        <f t="shared" si="30"/>
        <v>1</v>
      </c>
      <c r="F106" s="1769"/>
      <c r="G106" s="1762">
        <f t="shared" si="31"/>
        <v>1</v>
      </c>
      <c r="H106" s="1769"/>
      <c r="I106" s="1762">
        <f t="shared" si="32"/>
        <v>1</v>
      </c>
      <c r="J106" s="1769"/>
      <c r="K106" s="1762">
        <f t="shared" si="33"/>
        <v>1</v>
      </c>
      <c r="L106" s="1769"/>
      <c r="M106" s="1762">
        <f t="shared" si="34"/>
        <v>1</v>
      </c>
      <c r="N106" s="1769"/>
      <c r="O106" s="1762">
        <f t="shared" si="35"/>
        <v>1</v>
      </c>
      <c r="P106" s="1769"/>
      <c r="Q106" s="1762">
        <f t="shared" si="36"/>
        <v>1</v>
      </c>
      <c r="R106" s="1833">
        <f ca="1" t="shared" si="41"/>
        <v>0</v>
      </c>
      <c r="S106" s="1716">
        <f ca="1" t="shared" si="42"/>
        <v>0</v>
      </c>
      <c r="T106" s="1768">
        <f ca="1" t="shared" si="43"/>
        <v>0</v>
      </c>
      <c r="U106" s="1838">
        <f t="shared" si="37"/>
        <v>0</v>
      </c>
      <c r="V106" s="1838">
        <f t="shared" si="38"/>
        <v>0</v>
      </c>
      <c r="W106" s="1840"/>
      <c r="X106" s="1838">
        <f t="shared" si="39"/>
        <v>0</v>
      </c>
      <c r="Y106" s="1838">
        <f t="shared" si="40"/>
        <v>0</v>
      </c>
      <c r="Z106" s="1840"/>
    </row>
    <row r="107" spans="1:26">
      <c r="A107" s="1770"/>
      <c r="B107" s="1771"/>
      <c r="C107" s="1762">
        <f t="shared" si="29"/>
        <v>1</v>
      </c>
      <c r="D107" s="1769"/>
      <c r="E107" s="1762">
        <f t="shared" si="30"/>
        <v>1</v>
      </c>
      <c r="F107" s="1769"/>
      <c r="G107" s="1762">
        <f t="shared" si="31"/>
        <v>1</v>
      </c>
      <c r="H107" s="1769"/>
      <c r="I107" s="1762">
        <f t="shared" si="32"/>
        <v>1</v>
      </c>
      <c r="J107" s="1769"/>
      <c r="K107" s="1762">
        <f t="shared" si="33"/>
        <v>1</v>
      </c>
      <c r="L107" s="1769"/>
      <c r="M107" s="1762">
        <f t="shared" si="34"/>
        <v>1</v>
      </c>
      <c r="N107" s="1769"/>
      <c r="O107" s="1762">
        <f t="shared" si="35"/>
        <v>1</v>
      </c>
      <c r="P107" s="1769"/>
      <c r="Q107" s="1762">
        <f t="shared" si="36"/>
        <v>1</v>
      </c>
      <c r="R107" s="1833">
        <f ca="1" t="shared" si="41"/>
        <v>0</v>
      </c>
      <c r="S107" s="1716">
        <f ca="1" t="shared" si="42"/>
        <v>0</v>
      </c>
      <c r="T107" s="1768">
        <f ca="1" t="shared" si="43"/>
        <v>0</v>
      </c>
      <c r="U107" s="1838">
        <f t="shared" si="37"/>
        <v>0</v>
      </c>
      <c r="V107" s="1838">
        <f t="shared" si="38"/>
        <v>0</v>
      </c>
      <c r="W107" s="1840"/>
      <c r="X107" s="1838">
        <f t="shared" si="39"/>
        <v>0</v>
      </c>
      <c r="Y107" s="1838">
        <f t="shared" si="40"/>
        <v>0</v>
      </c>
      <c r="Z107" s="1840"/>
    </row>
    <row r="108" spans="1:26">
      <c r="A108" s="1770"/>
      <c r="B108" s="1771"/>
      <c r="C108" s="1762">
        <f t="shared" si="29"/>
        <v>1</v>
      </c>
      <c r="D108" s="1769"/>
      <c r="E108" s="1762">
        <f t="shared" si="30"/>
        <v>1</v>
      </c>
      <c r="F108" s="1769"/>
      <c r="G108" s="1762">
        <f t="shared" si="31"/>
        <v>1</v>
      </c>
      <c r="H108" s="1769"/>
      <c r="I108" s="1762">
        <f t="shared" si="32"/>
        <v>1</v>
      </c>
      <c r="J108" s="1769"/>
      <c r="K108" s="1762">
        <f t="shared" si="33"/>
        <v>1</v>
      </c>
      <c r="L108" s="1769"/>
      <c r="M108" s="1762">
        <f t="shared" si="34"/>
        <v>1</v>
      </c>
      <c r="N108" s="1769"/>
      <c r="O108" s="1762">
        <f t="shared" si="35"/>
        <v>1</v>
      </c>
      <c r="P108" s="1769"/>
      <c r="Q108" s="1762">
        <f t="shared" si="36"/>
        <v>1</v>
      </c>
      <c r="R108" s="1833">
        <f ca="1" t="shared" si="41"/>
        <v>0</v>
      </c>
      <c r="S108" s="1716">
        <f ca="1" t="shared" si="42"/>
        <v>0</v>
      </c>
      <c r="T108" s="1768">
        <f ca="1" t="shared" si="43"/>
        <v>0</v>
      </c>
      <c r="U108" s="1838">
        <f t="shared" si="37"/>
        <v>0</v>
      </c>
      <c r="V108" s="1838">
        <f t="shared" si="38"/>
        <v>0</v>
      </c>
      <c r="W108" s="1840"/>
      <c r="X108" s="1838">
        <f t="shared" si="39"/>
        <v>0</v>
      </c>
      <c r="Y108" s="1838">
        <f t="shared" si="40"/>
        <v>0</v>
      </c>
      <c r="Z108" s="1840"/>
    </row>
    <row r="109" spans="1:26">
      <c r="A109" s="1770"/>
      <c r="B109" s="1771"/>
      <c r="C109" s="1762">
        <f t="shared" si="29"/>
        <v>1</v>
      </c>
      <c r="D109" s="1769"/>
      <c r="E109" s="1762">
        <f t="shared" si="30"/>
        <v>1</v>
      </c>
      <c r="F109" s="1769"/>
      <c r="G109" s="1762">
        <f t="shared" si="31"/>
        <v>1</v>
      </c>
      <c r="H109" s="1769"/>
      <c r="I109" s="1762">
        <f t="shared" si="32"/>
        <v>1</v>
      </c>
      <c r="J109" s="1769"/>
      <c r="K109" s="1762">
        <f t="shared" si="33"/>
        <v>1</v>
      </c>
      <c r="L109" s="1769"/>
      <c r="M109" s="1762">
        <f t="shared" si="34"/>
        <v>1</v>
      </c>
      <c r="N109" s="1769"/>
      <c r="O109" s="1762">
        <f t="shared" si="35"/>
        <v>1</v>
      </c>
      <c r="P109" s="1769"/>
      <c r="Q109" s="1762">
        <f t="shared" si="36"/>
        <v>1</v>
      </c>
      <c r="R109" s="1833">
        <f ca="1" t="shared" si="41"/>
        <v>0</v>
      </c>
      <c r="S109" s="1716">
        <f ca="1" t="shared" si="42"/>
        <v>0</v>
      </c>
      <c r="T109" s="1768">
        <f ca="1" t="shared" si="43"/>
        <v>0</v>
      </c>
      <c r="U109" s="1838">
        <f t="shared" si="37"/>
        <v>0</v>
      </c>
      <c r="V109" s="1838">
        <f t="shared" si="38"/>
        <v>0</v>
      </c>
      <c r="W109" s="1840"/>
      <c r="X109" s="1838">
        <f t="shared" si="39"/>
        <v>0</v>
      </c>
      <c r="Y109" s="1838">
        <f t="shared" si="40"/>
        <v>0</v>
      </c>
      <c r="Z109" s="1840"/>
    </row>
    <row r="110" spans="1:26">
      <c r="A110" s="1770"/>
      <c r="B110" s="1771"/>
      <c r="C110" s="1762">
        <f t="shared" si="29"/>
        <v>1</v>
      </c>
      <c r="D110" s="1769"/>
      <c r="E110" s="1762">
        <f t="shared" si="30"/>
        <v>1</v>
      </c>
      <c r="F110" s="1769"/>
      <c r="G110" s="1762">
        <f t="shared" si="31"/>
        <v>1</v>
      </c>
      <c r="H110" s="1769"/>
      <c r="I110" s="1762">
        <f t="shared" si="32"/>
        <v>1</v>
      </c>
      <c r="J110" s="1769"/>
      <c r="K110" s="1762">
        <f t="shared" si="33"/>
        <v>1</v>
      </c>
      <c r="L110" s="1769"/>
      <c r="M110" s="1762">
        <f t="shared" si="34"/>
        <v>1</v>
      </c>
      <c r="N110" s="1769"/>
      <c r="O110" s="1762">
        <f t="shared" si="35"/>
        <v>1</v>
      </c>
      <c r="P110" s="1769"/>
      <c r="Q110" s="1762">
        <f t="shared" si="36"/>
        <v>1</v>
      </c>
      <c r="R110" s="1833">
        <f ca="1" t="shared" si="41"/>
        <v>0</v>
      </c>
      <c r="S110" s="1716">
        <f ca="1" t="shared" si="42"/>
        <v>0</v>
      </c>
      <c r="T110" s="1768">
        <f ca="1" t="shared" si="43"/>
        <v>0</v>
      </c>
      <c r="U110" s="1838">
        <f t="shared" si="37"/>
        <v>0</v>
      </c>
      <c r="V110" s="1838">
        <f t="shared" si="38"/>
        <v>0</v>
      </c>
      <c r="W110" s="1840"/>
      <c r="X110" s="1838">
        <f t="shared" si="39"/>
        <v>0</v>
      </c>
      <c r="Y110" s="1838">
        <f t="shared" si="40"/>
        <v>0</v>
      </c>
      <c r="Z110" s="1840"/>
    </row>
    <row r="111" spans="1:26">
      <c r="A111" s="1770"/>
      <c r="B111" s="1771"/>
      <c r="C111" s="1762">
        <f t="shared" si="29"/>
        <v>1</v>
      </c>
      <c r="D111" s="1769"/>
      <c r="E111" s="1762">
        <f t="shared" si="30"/>
        <v>1</v>
      </c>
      <c r="F111" s="1769"/>
      <c r="G111" s="1762">
        <f t="shared" si="31"/>
        <v>1</v>
      </c>
      <c r="H111" s="1769"/>
      <c r="I111" s="1762">
        <f t="shared" si="32"/>
        <v>1</v>
      </c>
      <c r="J111" s="1769"/>
      <c r="K111" s="1762">
        <f t="shared" si="33"/>
        <v>1</v>
      </c>
      <c r="L111" s="1769"/>
      <c r="M111" s="1762">
        <f t="shared" si="34"/>
        <v>1</v>
      </c>
      <c r="N111" s="1769"/>
      <c r="O111" s="1762">
        <f t="shared" si="35"/>
        <v>1</v>
      </c>
      <c r="P111" s="1769"/>
      <c r="Q111" s="1762">
        <f t="shared" si="36"/>
        <v>1</v>
      </c>
      <c r="R111" s="1833">
        <f ca="1" t="shared" si="41"/>
        <v>0</v>
      </c>
      <c r="S111" s="1716">
        <f ca="1" t="shared" si="42"/>
        <v>0</v>
      </c>
      <c r="T111" s="1768">
        <f ca="1" t="shared" si="43"/>
        <v>0</v>
      </c>
      <c r="U111" s="1838">
        <f t="shared" si="37"/>
        <v>0</v>
      </c>
      <c r="V111" s="1838">
        <f t="shared" si="38"/>
        <v>0</v>
      </c>
      <c r="W111" s="1840"/>
      <c r="X111" s="1838">
        <f t="shared" si="39"/>
        <v>0</v>
      </c>
      <c r="Y111" s="1838">
        <f t="shared" si="40"/>
        <v>0</v>
      </c>
      <c r="Z111" s="1840"/>
    </row>
    <row r="112" spans="1:26">
      <c r="A112" s="1770"/>
      <c r="B112" s="1771"/>
      <c r="C112" s="1762">
        <f t="shared" si="29"/>
        <v>1</v>
      </c>
      <c r="D112" s="1769"/>
      <c r="E112" s="1762">
        <f t="shared" si="30"/>
        <v>1</v>
      </c>
      <c r="F112" s="1769"/>
      <c r="G112" s="1762">
        <f t="shared" si="31"/>
        <v>1</v>
      </c>
      <c r="H112" s="1769"/>
      <c r="I112" s="1762">
        <f t="shared" si="32"/>
        <v>1</v>
      </c>
      <c r="J112" s="1769"/>
      <c r="K112" s="1762">
        <f t="shared" si="33"/>
        <v>1</v>
      </c>
      <c r="L112" s="1769"/>
      <c r="M112" s="1762">
        <f t="shared" si="34"/>
        <v>1</v>
      </c>
      <c r="N112" s="1769"/>
      <c r="O112" s="1762">
        <f t="shared" si="35"/>
        <v>1</v>
      </c>
      <c r="P112" s="1769"/>
      <c r="Q112" s="1762">
        <f t="shared" si="36"/>
        <v>1</v>
      </c>
      <c r="R112" s="1833">
        <f ca="1" t="shared" si="41"/>
        <v>0</v>
      </c>
      <c r="S112" s="1716">
        <f ca="1" t="shared" si="42"/>
        <v>0</v>
      </c>
      <c r="T112" s="1768">
        <f ca="1" t="shared" si="43"/>
        <v>0</v>
      </c>
      <c r="U112" s="1838">
        <f t="shared" si="37"/>
        <v>0</v>
      </c>
      <c r="V112" s="1838">
        <f t="shared" si="38"/>
        <v>0</v>
      </c>
      <c r="W112" s="1840"/>
      <c r="X112" s="1838">
        <f t="shared" si="39"/>
        <v>0</v>
      </c>
      <c r="Y112" s="1838">
        <f t="shared" si="40"/>
        <v>0</v>
      </c>
      <c r="Z112" s="1840"/>
    </row>
    <row r="113" spans="1:26">
      <c r="A113" s="1770"/>
      <c r="B113" s="1771"/>
      <c r="C113" s="1762">
        <f t="shared" si="29"/>
        <v>1</v>
      </c>
      <c r="D113" s="1769"/>
      <c r="E113" s="1762">
        <f t="shared" si="30"/>
        <v>1</v>
      </c>
      <c r="F113" s="1769"/>
      <c r="G113" s="1762">
        <f t="shared" si="31"/>
        <v>1</v>
      </c>
      <c r="H113" s="1769"/>
      <c r="I113" s="1762">
        <f t="shared" si="32"/>
        <v>1</v>
      </c>
      <c r="J113" s="1769"/>
      <c r="K113" s="1762">
        <f t="shared" si="33"/>
        <v>1</v>
      </c>
      <c r="L113" s="1769"/>
      <c r="M113" s="1762">
        <f t="shared" si="34"/>
        <v>1</v>
      </c>
      <c r="N113" s="1769"/>
      <c r="O113" s="1762">
        <f t="shared" si="35"/>
        <v>1</v>
      </c>
      <c r="P113" s="1769"/>
      <c r="Q113" s="1762">
        <f t="shared" si="36"/>
        <v>1</v>
      </c>
      <c r="R113" s="1833">
        <f ca="1" t="shared" si="41"/>
        <v>0</v>
      </c>
      <c r="S113" s="1716">
        <f ca="1" t="shared" si="42"/>
        <v>0</v>
      </c>
      <c r="T113" s="1768">
        <f ca="1" t="shared" si="43"/>
        <v>0</v>
      </c>
      <c r="U113" s="1838">
        <f t="shared" si="37"/>
        <v>0</v>
      </c>
      <c r="V113" s="1838">
        <f t="shared" si="38"/>
        <v>0</v>
      </c>
      <c r="W113" s="1840"/>
      <c r="X113" s="1838">
        <f t="shared" si="39"/>
        <v>0</v>
      </c>
      <c r="Y113" s="1838">
        <f t="shared" si="40"/>
        <v>0</v>
      </c>
      <c r="Z113" s="1840"/>
    </row>
    <row r="114" spans="1:26">
      <c r="A114" s="1770"/>
      <c r="B114" s="1771"/>
      <c r="C114" s="1762">
        <f t="shared" si="29"/>
        <v>1</v>
      </c>
      <c r="D114" s="1769"/>
      <c r="E114" s="1762">
        <f t="shared" si="30"/>
        <v>1</v>
      </c>
      <c r="F114" s="1769"/>
      <c r="G114" s="1762">
        <f t="shared" si="31"/>
        <v>1</v>
      </c>
      <c r="H114" s="1769"/>
      <c r="I114" s="1762">
        <f t="shared" si="32"/>
        <v>1</v>
      </c>
      <c r="J114" s="1769"/>
      <c r="K114" s="1762">
        <f t="shared" si="33"/>
        <v>1</v>
      </c>
      <c r="L114" s="1769"/>
      <c r="M114" s="1762">
        <f t="shared" si="34"/>
        <v>1</v>
      </c>
      <c r="N114" s="1769"/>
      <c r="O114" s="1762">
        <f t="shared" si="35"/>
        <v>1</v>
      </c>
      <c r="P114" s="1769"/>
      <c r="Q114" s="1762">
        <f t="shared" si="36"/>
        <v>1</v>
      </c>
      <c r="R114" s="1833">
        <f ca="1" t="shared" si="41"/>
        <v>0</v>
      </c>
      <c r="S114" s="1716">
        <f ca="1" t="shared" si="42"/>
        <v>0</v>
      </c>
      <c r="T114" s="1768">
        <f ca="1" t="shared" si="43"/>
        <v>0</v>
      </c>
      <c r="U114" s="1838">
        <f t="shared" si="37"/>
        <v>0</v>
      </c>
      <c r="V114" s="1838">
        <f t="shared" si="38"/>
        <v>0</v>
      </c>
      <c r="W114" s="1840"/>
      <c r="X114" s="1838">
        <f t="shared" si="39"/>
        <v>0</v>
      </c>
      <c r="Y114" s="1838">
        <f t="shared" si="40"/>
        <v>0</v>
      </c>
      <c r="Z114" s="1840"/>
    </row>
    <row r="115" spans="1:26">
      <c r="A115" s="1770"/>
      <c r="B115" s="1771"/>
      <c r="C115" s="1762">
        <f t="shared" si="29"/>
        <v>1</v>
      </c>
      <c r="D115" s="1769"/>
      <c r="E115" s="1762">
        <f t="shared" si="30"/>
        <v>1</v>
      </c>
      <c r="F115" s="1769"/>
      <c r="G115" s="1762">
        <f t="shared" si="31"/>
        <v>1</v>
      </c>
      <c r="H115" s="1769"/>
      <c r="I115" s="1762">
        <f t="shared" si="32"/>
        <v>1</v>
      </c>
      <c r="J115" s="1769"/>
      <c r="K115" s="1762">
        <f t="shared" si="33"/>
        <v>1</v>
      </c>
      <c r="L115" s="1769"/>
      <c r="M115" s="1762">
        <f t="shared" si="34"/>
        <v>1</v>
      </c>
      <c r="N115" s="1769"/>
      <c r="O115" s="1762">
        <f t="shared" si="35"/>
        <v>1</v>
      </c>
      <c r="P115" s="1769"/>
      <c r="Q115" s="1762">
        <f t="shared" si="36"/>
        <v>1</v>
      </c>
      <c r="R115" s="1833">
        <f ca="1" t="shared" si="41"/>
        <v>0</v>
      </c>
      <c r="S115" s="1716">
        <f ca="1" t="shared" si="42"/>
        <v>0</v>
      </c>
      <c r="T115" s="1768">
        <f ca="1" t="shared" si="43"/>
        <v>0</v>
      </c>
      <c r="U115" s="1838">
        <f t="shared" si="37"/>
        <v>0</v>
      </c>
      <c r="V115" s="1838">
        <f t="shared" si="38"/>
        <v>0</v>
      </c>
      <c r="W115" s="1840"/>
      <c r="X115" s="1838">
        <f t="shared" si="39"/>
        <v>0</v>
      </c>
      <c r="Y115" s="1838">
        <f t="shared" si="40"/>
        <v>0</v>
      </c>
      <c r="Z115" s="1840"/>
    </row>
    <row r="116" spans="1:26">
      <c r="A116" s="1770"/>
      <c r="B116" s="1771"/>
      <c r="C116" s="1762">
        <f t="shared" si="29"/>
        <v>1</v>
      </c>
      <c r="D116" s="1769"/>
      <c r="E116" s="1762">
        <f t="shared" si="30"/>
        <v>1</v>
      </c>
      <c r="F116" s="1769"/>
      <c r="G116" s="1762">
        <f t="shared" si="31"/>
        <v>1</v>
      </c>
      <c r="H116" s="1769"/>
      <c r="I116" s="1762">
        <f t="shared" si="32"/>
        <v>1</v>
      </c>
      <c r="J116" s="1769"/>
      <c r="K116" s="1762">
        <f t="shared" si="33"/>
        <v>1</v>
      </c>
      <c r="L116" s="1769"/>
      <c r="M116" s="1762">
        <f t="shared" si="34"/>
        <v>1</v>
      </c>
      <c r="N116" s="1769"/>
      <c r="O116" s="1762">
        <f t="shared" si="35"/>
        <v>1</v>
      </c>
      <c r="P116" s="1769"/>
      <c r="Q116" s="1762">
        <f t="shared" si="36"/>
        <v>1</v>
      </c>
      <c r="R116" s="1833">
        <f ca="1" t="shared" si="41"/>
        <v>0</v>
      </c>
      <c r="S116" s="1716">
        <f ca="1" t="shared" si="42"/>
        <v>0</v>
      </c>
      <c r="T116" s="1768">
        <f ca="1" t="shared" si="43"/>
        <v>0</v>
      </c>
      <c r="U116" s="1838">
        <f t="shared" si="37"/>
        <v>0</v>
      </c>
      <c r="V116" s="1838">
        <f t="shared" si="38"/>
        <v>0</v>
      </c>
      <c r="W116" s="1840"/>
      <c r="X116" s="1838">
        <f t="shared" si="39"/>
        <v>0</v>
      </c>
      <c r="Y116" s="1838">
        <f t="shared" si="40"/>
        <v>0</v>
      </c>
      <c r="Z116" s="1840"/>
    </row>
    <row r="117" spans="1:26">
      <c r="A117" s="1770"/>
      <c r="B117" s="1771"/>
      <c r="C117" s="1762">
        <f t="shared" si="29"/>
        <v>1</v>
      </c>
      <c r="D117" s="1769"/>
      <c r="E117" s="1762">
        <f t="shared" si="30"/>
        <v>1</v>
      </c>
      <c r="F117" s="1769"/>
      <c r="G117" s="1762">
        <f t="shared" si="31"/>
        <v>1</v>
      </c>
      <c r="H117" s="1769"/>
      <c r="I117" s="1762">
        <f t="shared" si="32"/>
        <v>1</v>
      </c>
      <c r="J117" s="1769"/>
      <c r="K117" s="1762">
        <f t="shared" si="33"/>
        <v>1</v>
      </c>
      <c r="L117" s="1769"/>
      <c r="M117" s="1762">
        <f t="shared" si="34"/>
        <v>1</v>
      </c>
      <c r="N117" s="1769"/>
      <c r="O117" s="1762">
        <f t="shared" si="35"/>
        <v>1</v>
      </c>
      <c r="P117" s="1769"/>
      <c r="Q117" s="1762">
        <f t="shared" si="36"/>
        <v>1</v>
      </c>
      <c r="R117" s="1833">
        <f ca="1" t="shared" si="41"/>
        <v>0</v>
      </c>
      <c r="S117" s="1716">
        <f ca="1" t="shared" si="42"/>
        <v>0</v>
      </c>
      <c r="T117" s="1768">
        <f ca="1" t="shared" si="43"/>
        <v>0</v>
      </c>
      <c r="U117" s="1838">
        <f t="shared" si="37"/>
        <v>0</v>
      </c>
      <c r="V117" s="1838">
        <f t="shared" si="38"/>
        <v>0</v>
      </c>
      <c r="W117" s="1840"/>
      <c r="X117" s="1838">
        <f t="shared" si="39"/>
        <v>0</v>
      </c>
      <c r="Y117" s="1838">
        <f t="shared" si="40"/>
        <v>0</v>
      </c>
      <c r="Z117" s="1840"/>
    </row>
    <row r="118" spans="1:26">
      <c r="A118" s="1770"/>
      <c r="B118" s="1771"/>
      <c r="C118" s="1762">
        <f t="shared" si="29"/>
        <v>1</v>
      </c>
      <c r="D118" s="1769"/>
      <c r="E118" s="1762">
        <f t="shared" si="30"/>
        <v>1</v>
      </c>
      <c r="F118" s="1769"/>
      <c r="G118" s="1762">
        <f t="shared" si="31"/>
        <v>1</v>
      </c>
      <c r="H118" s="1769"/>
      <c r="I118" s="1762">
        <f t="shared" si="32"/>
        <v>1</v>
      </c>
      <c r="J118" s="1769"/>
      <c r="K118" s="1762">
        <f t="shared" si="33"/>
        <v>1</v>
      </c>
      <c r="L118" s="1769"/>
      <c r="M118" s="1762">
        <f t="shared" si="34"/>
        <v>1</v>
      </c>
      <c r="N118" s="1769"/>
      <c r="O118" s="1762">
        <f t="shared" si="35"/>
        <v>1</v>
      </c>
      <c r="P118" s="1769"/>
      <c r="Q118" s="1762">
        <f t="shared" si="36"/>
        <v>1</v>
      </c>
      <c r="R118" s="1833">
        <f ca="1" t="shared" si="41"/>
        <v>0</v>
      </c>
      <c r="S118" s="1716">
        <f ca="1" t="shared" si="42"/>
        <v>0</v>
      </c>
      <c r="T118" s="1768">
        <f ca="1" t="shared" si="43"/>
        <v>0</v>
      </c>
      <c r="U118" s="1838">
        <f t="shared" si="37"/>
        <v>0</v>
      </c>
      <c r="V118" s="1838">
        <f t="shared" si="38"/>
        <v>0</v>
      </c>
      <c r="W118" s="1840"/>
      <c r="X118" s="1838">
        <f t="shared" si="39"/>
        <v>0</v>
      </c>
      <c r="Y118" s="1838">
        <f t="shared" si="40"/>
        <v>0</v>
      </c>
      <c r="Z118" s="1840"/>
    </row>
    <row r="119" spans="1:26">
      <c r="A119" s="1770"/>
      <c r="B119" s="1771"/>
      <c r="C119" s="1762">
        <f t="shared" si="29"/>
        <v>1</v>
      </c>
      <c r="D119" s="1769"/>
      <c r="E119" s="1762">
        <f t="shared" si="30"/>
        <v>1</v>
      </c>
      <c r="F119" s="1769"/>
      <c r="G119" s="1762">
        <f t="shared" si="31"/>
        <v>1</v>
      </c>
      <c r="H119" s="1769"/>
      <c r="I119" s="1762">
        <f t="shared" si="32"/>
        <v>1</v>
      </c>
      <c r="J119" s="1769"/>
      <c r="K119" s="1762">
        <f t="shared" si="33"/>
        <v>1</v>
      </c>
      <c r="L119" s="1769"/>
      <c r="M119" s="1762">
        <f t="shared" si="34"/>
        <v>1</v>
      </c>
      <c r="N119" s="1769"/>
      <c r="O119" s="1762">
        <f t="shared" si="35"/>
        <v>1</v>
      </c>
      <c r="P119" s="1769"/>
      <c r="Q119" s="1762">
        <f t="shared" si="36"/>
        <v>1</v>
      </c>
      <c r="R119" s="1833">
        <f ca="1" t="shared" si="41"/>
        <v>0</v>
      </c>
      <c r="S119" s="1716">
        <f ca="1" t="shared" si="42"/>
        <v>0</v>
      </c>
      <c r="T119" s="1768">
        <f ca="1" t="shared" si="43"/>
        <v>0</v>
      </c>
      <c r="U119" s="1838">
        <f t="shared" si="37"/>
        <v>0</v>
      </c>
      <c r="V119" s="1838">
        <f t="shared" si="38"/>
        <v>0</v>
      </c>
      <c r="W119" s="1840"/>
      <c r="X119" s="1838">
        <f t="shared" si="39"/>
        <v>0</v>
      </c>
      <c r="Y119" s="1838">
        <f t="shared" si="40"/>
        <v>0</v>
      </c>
      <c r="Z119" s="1840"/>
    </row>
    <row r="120" spans="1:26">
      <c r="A120" s="1770"/>
      <c r="B120" s="1771"/>
      <c r="C120" s="1762">
        <f t="shared" si="29"/>
        <v>1</v>
      </c>
      <c r="D120" s="1769"/>
      <c r="E120" s="1762">
        <f t="shared" si="30"/>
        <v>1</v>
      </c>
      <c r="F120" s="1769"/>
      <c r="G120" s="1762">
        <f t="shared" si="31"/>
        <v>1</v>
      </c>
      <c r="H120" s="1769"/>
      <c r="I120" s="1762">
        <f t="shared" si="32"/>
        <v>1</v>
      </c>
      <c r="J120" s="1769"/>
      <c r="K120" s="1762">
        <f t="shared" si="33"/>
        <v>1</v>
      </c>
      <c r="L120" s="1769"/>
      <c r="M120" s="1762">
        <f t="shared" si="34"/>
        <v>1</v>
      </c>
      <c r="N120" s="1769"/>
      <c r="O120" s="1762">
        <f t="shared" si="35"/>
        <v>1</v>
      </c>
      <c r="P120" s="1769"/>
      <c r="Q120" s="1762">
        <f t="shared" si="36"/>
        <v>1</v>
      </c>
      <c r="R120" s="1833">
        <f ca="1" t="shared" si="41"/>
        <v>0</v>
      </c>
      <c r="S120" s="1716">
        <f ca="1" t="shared" si="42"/>
        <v>0</v>
      </c>
      <c r="T120" s="1768">
        <f ca="1" t="shared" si="43"/>
        <v>0</v>
      </c>
      <c r="U120" s="1838">
        <f t="shared" si="37"/>
        <v>0</v>
      </c>
      <c r="V120" s="1838">
        <f t="shared" si="38"/>
        <v>0</v>
      </c>
      <c r="W120" s="1840"/>
      <c r="X120" s="1838">
        <f t="shared" si="39"/>
        <v>0</v>
      </c>
      <c r="Y120" s="1838">
        <f t="shared" si="40"/>
        <v>0</v>
      </c>
      <c r="Z120" s="1840"/>
    </row>
    <row r="121" spans="1:26">
      <c r="A121" s="1770"/>
      <c r="B121" s="1771"/>
      <c r="C121" s="1762">
        <f t="shared" si="29"/>
        <v>1</v>
      </c>
      <c r="D121" s="1769"/>
      <c r="E121" s="1762">
        <f t="shared" si="30"/>
        <v>1</v>
      </c>
      <c r="F121" s="1769"/>
      <c r="G121" s="1762">
        <f t="shared" si="31"/>
        <v>1</v>
      </c>
      <c r="H121" s="1769"/>
      <c r="I121" s="1762">
        <f t="shared" si="32"/>
        <v>1</v>
      </c>
      <c r="J121" s="1769"/>
      <c r="K121" s="1762">
        <f t="shared" si="33"/>
        <v>1</v>
      </c>
      <c r="L121" s="1769"/>
      <c r="M121" s="1762">
        <f t="shared" si="34"/>
        <v>1</v>
      </c>
      <c r="N121" s="1769"/>
      <c r="O121" s="1762">
        <f t="shared" si="35"/>
        <v>1</v>
      </c>
      <c r="P121" s="1769"/>
      <c r="Q121" s="1762">
        <f t="shared" si="36"/>
        <v>1</v>
      </c>
      <c r="R121" s="1833">
        <f ca="1" t="shared" si="41"/>
        <v>0</v>
      </c>
      <c r="S121" s="1716">
        <f ca="1" t="shared" si="42"/>
        <v>0</v>
      </c>
      <c r="T121" s="1768">
        <f ca="1" t="shared" si="43"/>
        <v>0</v>
      </c>
      <c r="U121" s="1838">
        <f t="shared" si="37"/>
        <v>0</v>
      </c>
      <c r="V121" s="1838">
        <f t="shared" si="38"/>
        <v>0</v>
      </c>
      <c r="W121" s="1840"/>
      <c r="X121" s="1838">
        <f t="shared" si="39"/>
        <v>0</v>
      </c>
      <c r="Y121" s="1838">
        <f t="shared" si="40"/>
        <v>0</v>
      </c>
      <c r="Z121" s="1840"/>
    </row>
    <row r="122" spans="1:26">
      <c r="A122" s="1770"/>
      <c r="B122" s="1771"/>
      <c r="C122" s="1762">
        <f t="shared" si="29"/>
        <v>1</v>
      </c>
      <c r="D122" s="1769"/>
      <c r="E122" s="1762">
        <f t="shared" si="30"/>
        <v>1</v>
      </c>
      <c r="F122" s="1769"/>
      <c r="G122" s="1762">
        <f t="shared" si="31"/>
        <v>1</v>
      </c>
      <c r="H122" s="1769"/>
      <c r="I122" s="1762">
        <f t="shared" si="32"/>
        <v>1</v>
      </c>
      <c r="J122" s="1769"/>
      <c r="K122" s="1762">
        <f t="shared" si="33"/>
        <v>1</v>
      </c>
      <c r="L122" s="1769"/>
      <c r="M122" s="1762">
        <f t="shared" si="34"/>
        <v>1</v>
      </c>
      <c r="N122" s="1769"/>
      <c r="O122" s="1762">
        <f t="shared" si="35"/>
        <v>1</v>
      </c>
      <c r="P122" s="1769"/>
      <c r="Q122" s="1762">
        <f t="shared" si="36"/>
        <v>1</v>
      </c>
      <c r="R122" s="1833">
        <f ca="1" t="shared" si="41"/>
        <v>0</v>
      </c>
      <c r="S122" s="1716">
        <f ca="1" t="shared" si="42"/>
        <v>0</v>
      </c>
      <c r="T122" s="1768">
        <f ca="1" t="shared" si="43"/>
        <v>0</v>
      </c>
      <c r="U122" s="1838">
        <f t="shared" si="37"/>
        <v>0</v>
      </c>
      <c r="V122" s="1838">
        <f t="shared" si="38"/>
        <v>0</v>
      </c>
      <c r="W122" s="1840"/>
      <c r="X122" s="1838">
        <f t="shared" si="39"/>
        <v>0</v>
      </c>
      <c r="Y122" s="1838">
        <f t="shared" si="40"/>
        <v>0</v>
      </c>
      <c r="Z122" s="1840"/>
    </row>
    <row r="123" spans="1:26">
      <c r="A123" s="1770"/>
      <c r="B123" s="1771"/>
      <c r="C123" s="1762">
        <f t="shared" si="29"/>
        <v>1</v>
      </c>
      <c r="D123" s="1769"/>
      <c r="E123" s="1762">
        <f t="shared" si="30"/>
        <v>1</v>
      </c>
      <c r="F123" s="1769"/>
      <c r="G123" s="1762">
        <f t="shared" si="31"/>
        <v>1</v>
      </c>
      <c r="H123" s="1769"/>
      <c r="I123" s="1762">
        <f t="shared" si="32"/>
        <v>1</v>
      </c>
      <c r="J123" s="1769"/>
      <c r="K123" s="1762">
        <f t="shared" si="33"/>
        <v>1</v>
      </c>
      <c r="L123" s="1769"/>
      <c r="M123" s="1762">
        <f t="shared" si="34"/>
        <v>1</v>
      </c>
      <c r="N123" s="1769"/>
      <c r="O123" s="1762">
        <f t="shared" si="35"/>
        <v>1</v>
      </c>
      <c r="P123" s="1769"/>
      <c r="Q123" s="1762">
        <f t="shared" si="36"/>
        <v>1</v>
      </c>
      <c r="R123" s="1833">
        <f ca="1" t="shared" si="41"/>
        <v>0</v>
      </c>
      <c r="S123" s="1716">
        <f ca="1" t="shared" si="42"/>
        <v>0</v>
      </c>
      <c r="T123" s="1768">
        <f ca="1" t="shared" si="43"/>
        <v>0</v>
      </c>
      <c r="U123" s="1838">
        <f t="shared" si="37"/>
        <v>0</v>
      </c>
      <c r="V123" s="1838">
        <f t="shared" si="38"/>
        <v>0</v>
      </c>
      <c r="W123" s="1840"/>
      <c r="X123" s="1838">
        <f t="shared" si="39"/>
        <v>0</v>
      </c>
      <c r="Y123" s="1838">
        <f t="shared" si="40"/>
        <v>0</v>
      </c>
      <c r="Z123" s="1840"/>
    </row>
    <row r="124" spans="1:26">
      <c r="A124" s="1770"/>
      <c r="B124" s="1771"/>
      <c r="C124" s="1762">
        <f t="shared" si="29"/>
        <v>1</v>
      </c>
      <c r="D124" s="1769"/>
      <c r="E124" s="1762">
        <f t="shared" si="30"/>
        <v>1</v>
      </c>
      <c r="F124" s="1769"/>
      <c r="G124" s="1762">
        <f t="shared" si="31"/>
        <v>1</v>
      </c>
      <c r="H124" s="1769"/>
      <c r="I124" s="1762">
        <f t="shared" si="32"/>
        <v>1</v>
      </c>
      <c r="J124" s="1769"/>
      <c r="K124" s="1762">
        <f t="shared" si="33"/>
        <v>1</v>
      </c>
      <c r="L124" s="1769"/>
      <c r="M124" s="1762">
        <f t="shared" si="34"/>
        <v>1</v>
      </c>
      <c r="N124" s="1769"/>
      <c r="O124" s="1762">
        <f t="shared" si="35"/>
        <v>1</v>
      </c>
      <c r="P124" s="1769"/>
      <c r="Q124" s="1762">
        <f t="shared" si="36"/>
        <v>1</v>
      </c>
      <c r="R124" s="1833">
        <f ca="1" t="shared" si="41"/>
        <v>0</v>
      </c>
      <c r="S124" s="1716">
        <f ca="1" t="shared" si="42"/>
        <v>0</v>
      </c>
      <c r="T124" s="1768">
        <f ca="1" t="shared" si="43"/>
        <v>0</v>
      </c>
      <c r="U124" s="1838">
        <f t="shared" si="37"/>
        <v>0</v>
      </c>
      <c r="V124" s="1838">
        <f t="shared" si="38"/>
        <v>0</v>
      </c>
      <c r="W124" s="1840"/>
      <c r="X124" s="1838">
        <f t="shared" si="39"/>
        <v>0</v>
      </c>
      <c r="Y124" s="1838">
        <f t="shared" si="40"/>
        <v>0</v>
      </c>
      <c r="Z124" s="1840"/>
    </row>
    <row r="125" spans="1:26">
      <c r="A125" s="1770"/>
      <c r="B125" s="1771"/>
      <c r="C125" s="1762">
        <f t="shared" si="29"/>
        <v>1</v>
      </c>
      <c r="D125" s="1769"/>
      <c r="E125" s="1762">
        <f t="shared" si="30"/>
        <v>1</v>
      </c>
      <c r="F125" s="1769"/>
      <c r="G125" s="1762">
        <f t="shared" si="31"/>
        <v>1</v>
      </c>
      <c r="H125" s="1769"/>
      <c r="I125" s="1762">
        <f t="shared" si="32"/>
        <v>1</v>
      </c>
      <c r="J125" s="1769"/>
      <c r="K125" s="1762">
        <f t="shared" si="33"/>
        <v>1</v>
      </c>
      <c r="L125" s="1769"/>
      <c r="M125" s="1762">
        <f t="shared" si="34"/>
        <v>1</v>
      </c>
      <c r="N125" s="1769"/>
      <c r="O125" s="1762">
        <f t="shared" si="35"/>
        <v>1</v>
      </c>
      <c r="P125" s="1769"/>
      <c r="Q125" s="1762">
        <f t="shared" si="36"/>
        <v>1</v>
      </c>
      <c r="R125" s="1833">
        <f ca="1" t="shared" si="41"/>
        <v>0</v>
      </c>
      <c r="S125" s="1716">
        <f ca="1" t="shared" si="42"/>
        <v>0</v>
      </c>
      <c r="T125" s="1768">
        <f ca="1" t="shared" si="43"/>
        <v>0</v>
      </c>
      <c r="U125" s="1838">
        <f t="shared" si="37"/>
        <v>0</v>
      </c>
      <c r="V125" s="1838">
        <f t="shared" si="38"/>
        <v>0</v>
      </c>
      <c r="W125" s="1840"/>
      <c r="X125" s="1838">
        <f t="shared" si="39"/>
        <v>0</v>
      </c>
      <c r="Y125" s="1838">
        <f t="shared" si="40"/>
        <v>0</v>
      </c>
      <c r="Z125" s="1840"/>
    </row>
    <row r="126" spans="1:26">
      <c r="A126" s="1770"/>
      <c r="B126" s="1771"/>
      <c r="C126" s="1762">
        <f t="shared" si="29"/>
        <v>1</v>
      </c>
      <c r="D126" s="1769"/>
      <c r="E126" s="1762">
        <f t="shared" si="30"/>
        <v>1</v>
      </c>
      <c r="F126" s="1769"/>
      <c r="G126" s="1762">
        <f t="shared" si="31"/>
        <v>1</v>
      </c>
      <c r="H126" s="1769"/>
      <c r="I126" s="1762">
        <f t="shared" si="32"/>
        <v>1</v>
      </c>
      <c r="J126" s="1769"/>
      <c r="K126" s="1762">
        <f t="shared" si="33"/>
        <v>1</v>
      </c>
      <c r="L126" s="1769"/>
      <c r="M126" s="1762">
        <f t="shared" si="34"/>
        <v>1</v>
      </c>
      <c r="N126" s="1769"/>
      <c r="O126" s="1762">
        <f t="shared" si="35"/>
        <v>1</v>
      </c>
      <c r="P126" s="1769"/>
      <c r="Q126" s="1762">
        <f t="shared" si="36"/>
        <v>1</v>
      </c>
      <c r="R126" s="1833">
        <f ca="1" t="shared" si="41"/>
        <v>0</v>
      </c>
      <c r="S126" s="1716">
        <f ca="1" t="shared" si="42"/>
        <v>0</v>
      </c>
      <c r="T126" s="1768">
        <f ca="1" t="shared" si="43"/>
        <v>0</v>
      </c>
      <c r="U126" s="1838">
        <f t="shared" si="37"/>
        <v>0</v>
      </c>
      <c r="V126" s="1838">
        <f t="shared" si="38"/>
        <v>0</v>
      </c>
      <c r="W126" s="1840"/>
      <c r="X126" s="1838">
        <f t="shared" si="39"/>
        <v>0</v>
      </c>
      <c r="Y126" s="1838">
        <f t="shared" si="40"/>
        <v>0</v>
      </c>
      <c r="Z126" s="1840"/>
    </row>
    <row r="127" spans="1:26">
      <c r="A127" s="1770"/>
      <c r="B127" s="1771"/>
      <c r="C127" s="1762">
        <f t="shared" si="29"/>
        <v>1</v>
      </c>
      <c r="D127" s="1769"/>
      <c r="E127" s="1762">
        <f t="shared" si="30"/>
        <v>1</v>
      </c>
      <c r="F127" s="1769"/>
      <c r="G127" s="1762">
        <f t="shared" si="31"/>
        <v>1</v>
      </c>
      <c r="H127" s="1769"/>
      <c r="I127" s="1762">
        <f t="shared" si="32"/>
        <v>1</v>
      </c>
      <c r="J127" s="1769"/>
      <c r="K127" s="1762">
        <f t="shared" si="33"/>
        <v>1</v>
      </c>
      <c r="L127" s="1769"/>
      <c r="M127" s="1762">
        <f t="shared" si="34"/>
        <v>1</v>
      </c>
      <c r="N127" s="1769"/>
      <c r="O127" s="1762">
        <f t="shared" si="35"/>
        <v>1</v>
      </c>
      <c r="P127" s="1769"/>
      <c r="Q127" s="1762">
        <f t="shared" si="36"/>
        <v>1</v>
      </c>
      <c r="R127" s="1833">
        <f ca="1" t="shared" si="41"/>
        <v>0</v>
      </c>
      <c r="S127" s="1716">
        <f ca="1" t="shared" si="42"/>
        <v>0</v>
      </c>
      <c r="T127" s="1768">
        <f ca="1" t="shared" si="43"/>
        <v>0</v>
      </c>
      <c r="U127" s="1838">
        <f t="shared" si="37"/>
        <v>0</v>
      </c>
      <c r="V127" s="1838">
        <f t="shared" si="38"/>
        <v>0</v>
      </c>
      <c r="W127" s="1840"/>
      <c r="X127" s="1838">
        <f t="shared" si="39"/>
        <v>0</v>
      </c>
      <c r="Y127" s="1838">
        <f t="shared" si="40"/>
        <v>0</v>
      </c>
      <c r="Z127" s="1840"/>
    </row>
    <row r="128" spans="1:26">
      <c r="A128" s="1770"/>
      <c r="B128" s="1771"/>
      <c r="C128" s="1762">
        <f t="shared" si="29"/>
        <v>1</v>
      </c>
      <c r="D128" s="1769"/>
      <c r="E128" s="1762">
        <f t="shared" si="30"/>
        <v>1</v>
      </c>
      <c r="F128" s="1769"/>
      <c r="G128" s="1762">
        <f t="shared" si="31"/>
        <v>1</v>
      </c>
      <c r="H128" s="1769"/>
      <c r="I128" s="1762">
        <f t="shared" si="32"/>
        <v>1</v>
      </c>
      <c r="J128" s="1769"/>
      <c r="K128" s="1762">
        <f t="shared" si="33"/>
        <v>1</v>
      </c>
      <c r="L128" s="1769"/>
      <c r="M128" s="1762">
        <f t="shared" si="34"/>
        <v>1</v>
      </c>
      <c r="N128" s="1769"/>
      <c r="O128" s="1762">
        <f t="shared" si="35"/>
        <v>1</v>
      </c>
      <c r="P128" s="1769"/>
      <c r="Q128" s="1762">
        <f t="shared" si="36"/>
        <v>1</v>
      </c>
      <c r="R128" s="1833">
        <f ca="1" t="shared" si="41"/>
        <v>0</v>
      </c>
      <c r="S128" s="1716">
        <f ca="1" t="shared" si="42"/>
        <v>0</v>
      </c>
      <c r="T128" s="1768">
        <f ca="1" t="shared" si="43"/>
        <v>0</v>
      </c>
      <c r="U128" s="1838">
        <f t="shared" si="37"/>
        <v>0</v>
      </c>
      <c r="V128" s="1838">
        <f t="shared" si="38"/>
        <v>0</v>
      </c>
      <c r="W128" s="1840"/>
      <c r="X128" s="1838">
        <f t="shared" si="39"/>
        <v>0</v>
      </c>
      <c r="Y128" s="1838">
        <f t="shared" si="40"/>
        <v>0</v>
      </c>
      <c r="Z128" s="1840"/>
    </row>
    <row r="129" spans="1:26">
      <c r="A129" s="1770"/>
      <c r="B129" s="1771"/>
      <c r="C129" s="1762">
        <f t="shared" si="29"/>
        <v>1</v>
      </c>
      <c r="D129" s="1769"/>
      <c r="E129" s="1762">
        <f t="shared" si="30"/>
        <v>1</v>
      </c>
      <c r="F129" s="1769"/>
      <c r="G129" s="1762">
        <f t="shared" si="31"/>
        <v>1</v>
      </c>
      <c r="H129" s="1769"/>
      <c r="I129" s="1762">
        <f t="shared" si="32"/>
        <v>1</v>
      </c>
      <c r="J129" s="1769"/>
      <c r="K129" s="1762">
        <f t="shared" si="33"/>
        <v>1</v>
      </c>
      <c r="L129" s="1769"/>
      <c r="M129" s="1762">
        <f t="shared" si="34"/>
        <v>1</v>
      </c>
      <c r="N129" s="1769"/>
      <c r="O129" s="1762">
        <f t="shared" si="35"/>
        <v>1</v>
      </c>
      <c r="P129" s="1769"/>
      <c r="Q129" s="1762">
        <f t="shared" si="36"/>
        <v>1</v>
      </c>
      <c r="R129" s="1833">
        <f ca="1" t="shared" si="41"/>
        <v>0</v>
      </c>
      <c r="S129" s="1716">
        <f ca="1" t="shared" si="42"/>
        <v>0</v>
      </c>
      <c r="T129" s="1768">
        <f ca="1" t="shared" si="43"/>
        <v>0</v>
      </c>
      <c r="U129" s="1838">
        <f t="shared" si="37"/>
        <v>0</v>
      </c>
      <c r="V129" s="1838">
        <f t="shared" si="38"/>
        <v>0</v>
      </c>
      <c r="W129" s="1840"/>
      <c r="X129" s="1838">
        <f t="shared" si="39"/>
        <v>0</v>
      </c>
      <c r="Y129" s="1838">
        <f t="shared" si="40"/>
        <v>0</v>
      </c>
      <c r="Z129" s="1840"/>
    </row>
    <row r="130" spans="1:26">
      <c r="A130" s="1770"/>
      <c r="B130" s="1771"/>
      <c r="C130" s="1762">
        <f t="shared" si="29"/>
        <v>1</v>
      </c>
      <c r="D130" s="1769"/>
      <c r="E130" s="1762">
        <f t="shared" si="30"/>
        <v>1</v>
      </c>
      <c r="F130" s="1769"/>
      <c r="G130" s="1762">
        <f t="shared" si="31"/>
        <v>1</v>
      </c>
      <c r="H130" s="1769"/>
      <c r="I130" s="1762">
        <f t="shared" si="32"/>
        <v>1</v>
      </c>
      <c r="J130" s="1769"/>
      <c r="K130" s="1762">
        <f t="shared" si="33"/>
        <v>1</v>
      </c>
      <c r="L130" s="1769"/>
      <c r="M130" s="1762">
        <f t="shared" si="34"/>
        <v>1</v>
      </c>
      <c r="N130" s="1769"/>
      <c r="O130" s="1762">
        <f t="shared" si="35"/>
        <v>1</v>
      </c>
      <c r="P130" s="1769"/>
      <c r="Q130" s="1762">
        <f t="shared" si="36"/>
        <v>1</v>
      </c>
      <c r="R130" s="1833">
        <f ca="1" t="shared" si="41"/>
        <v>0</v>
      </c>
      <c r="S130" s="1716">
        <f ca="1" t="shared" si="42"/>
        <v>0</v>
      </c>
      <c r="T130" s="1768">
        <f ca="1" t="shared" si="43"/>
        <v>0</v>
      </c>
      <c r="U130" s="1838">
        <f t="shared" si="37"/>
        <v>0</v>
      </c>
      <c r="V130" s="1838">
        <f t="shared" si="38"/>
        <v>0</v>
      </c>
      <c r="W130" s="1840"/>
      <c r="X130" s="1838">
        <f t="shared" si="39"/>
        <v>0</v>
      </c>
      <c r="Y130" s="1838">
        <f t="shared" si="40"/>
        <v>0</v>
      </c>
      <c r="Z130" s="1840"/>
    </row>
    <row r="131" spans="1:26">
      <c r="A131" s="1770"/>
      <c r="B131" s="1771"/>
      <c r="C131" s="1762">
        <f t="shared" si="29"/>
        <v>1</v>
      </c>
      <c r="D131" s="1769"/>
      <c r="E131" s="1762">
        <f t="shared" si="30"/>
        <v>1</v>
      </c>
      <c r="F131" s="1769"/>
      <c r="G131" s="1762">
        <f t="shared" si="31"/>
        <v>1</v>
      </c>
      <c r="H131" s="1769"/>
      <c r="I131" s="1762">
        <f t="shared" si="32"/>
        <v>1</v>
      </c>
      <c r="J131" s="1769"/>
      <c r="K131" s="1762">
        <f t="shared" si="33"/>
        <v>1</v>
      </c>
      <c r="L131" s="1769"/>
      <c r="M131" s="1762">
        <f t="shared" si="34"/>
        <v>1</v>
      </c>
      <c r="N131" s="1769"/>
      <c r="O131" s="1762">
        <f t="shared" si="35"/>
        <v>1</v>
      </c>
      <c r="P131" s="1769"/>
      <c r="Q131" s="1762">
        <f t="shared" si="36"/>
        <v>1</v>
      </c>
      <c r="R131" s="1833">
        <f ca="1" t="shared" si="41"/>
        <v>0</v>
      </c>
      <c r="S131" s="1716">
        <f ca="1" t="shared" si="42"/>
        <v>0</v>
      </c>
      <c r="T131" s="1768">
        <f ca="1" t="shared" si="43"/>
        <v>0</v>
      </c>
      <c r="U131" s="1838">
        <f t="shared" si="37"/>
        <v>0</v>
      </c>
      <c r="V131" s="1838">
        <f t="shared" si="38"/>
        <v>0</v>
      </c>
      <c r="W131" s="1840"/>
      <c r="X131" s="1838">
        <f t="shared" si="39"/>
        <v>0</v>
      </c>
      <c r="Y131" s="1838">
        <f t="shared" si="40"/>
        <v>0</v>
      </c>
      <c r="Z131" s="1840"/>
    </row>
    <row r="132" spans="1:26">
      <c r="A132" s="1770"/>
      <c r="B132" s="1771"/>
      <c r="C132" s="1762">
        <f t="shared" si="29"/>
        <v>1</v>
      </c>
      <c r="D132" s="1769"/>
      <c r="E132" s="1762">
        <f t="shared" si="30"/>
        <v>1</v>
      </c>
      <c r="F132" s="1769"/>
      <c r="G132" s="1762">
        <f t="shared" si="31"/>
        <v>1</v>
      </c>
      <c r="H132" s="1769"/>
      <c r="I132" s="1762">
        <f t="shared" si="32"/>
        <v>1</v>
      </c>
      <c r="J132" s="1769"/>
      <c r="K132" s="1762">
        <f t="shared" si="33"/>
        <v>1</v>
      </c>
      <c r="L132" s="1769"/>
      <c r="M132" s="1762">
        <f t="shared" si="34"/>
        <v>1</v>
      </c>
      <c r="N132" s="1769"/>
      <c r="O132" s="1762">
        <f t="shared" si="35"/>
        <v>1</v>
      </c>
      <c r="P132" s="1769"/>
      <c r="Q132" s="1762">
        <f t="shared" si="36"/>
        <v>1</v>
      </c>
      <c r="R132" s="1833">
        <f ca="1" t="shared" si="41"/>
        <v>0</v>
      </c>
      <c r="S132" s="1716">
        <f ca="1" t="shared" si="42"/>
        <v>0</v>
      </c>
      <c r="T132" s="1768">
        <f ca="1" t="shared" si="43"/>
        <v>0</v>
      </c>
      <c r="U132" s="1838">
        <f t="shared" si="37"/>
        <v>0</v>
      </c>
      <c r="V132" s="1838">
        <f t="shared" si="38"/>
        <v>0</v>
      </c>
      <c r="W132" s="1840"/>
      <c r="X132" s="1838">
        <f t="shared" si="39"/>
        <v>0</v>
      </c>
      <c r="Y132" s="1838">
        <f t="shared" si="40"/>
        <v>0</v>
      </c>
      <c r="Z132" s="1840"/>
    </row>
    <row r="133" spans="1:26">
      <c r="A133" s="1770"/>
      <c r="B133" s="1771"/>
      <c r="C133" s="1762">
        <f t="shared" si="29"/>
        <v>1</v>
      </c>
      <c r="D133" s="1769"/>
      <c r="E133" s="1762">
        <f t="shared" si="30"/>
        <v>1</v>
      </c>
      <c r="F133" s="1769"/>
      <c r="G133" s="1762">
        <f t="shared" si="31"/>
        <v>1</v>
      </c>
      <c r="H133" s="1769"/>
      <c r="I133" s="1762">
        <f t="shared" si="32"/>
        <v>1</v>
      </c>
      <c r="J133" s="1769"/>
      <c r="K133" s="1762">
        <f t="shared" si="33"/>
        <v>1</v>
      </c>
      <c r="L133" s="1769"/>
      <c r="M133" s="1762">
        <f t="shared" si="34"/>
        <v>1</v>
      </c>
      <c r="N133" s="1769"/>
      <c r="O133" s="1762">
        <f t="shared" si="35"/>
        <v>1</v>
      </c>
      <c r="P133" s="1769"/>
      <c r="Q133" s="1762">
        <f t="shared" si="36"/>
        <v>1</v>
      </c>
      <c r="R133" s="1833">
        <f ca="1" t="shared" si="41"/>
        <v>0</v>
      </c>
      <c r="S133" s="1716">
        <f ca="1" t="shared" si="42"/>
        <v>0</v>
      </c>
      <c r="T133" s="1768">
        <f ca="1" t="shared" si="43"/>
        <v>0</v>
      </c>
      <c r="U133" s="1838">
        <f t="shared" si="37"/>
        <v>0</v>
      </c>
      <c r="V133" s="1838">
        <f t="shared" si="38"/>
        <v>0</v>
      </c>
      <c r="W133" s="1840"/>
      <c r="X133" s="1838">
        <f t="shared" si="39"/>
        <v>0</v>
      </c>
      <c r="Y133" s="1838">
        <f t="shared" si="40"/>
        <v>0</v>
      </c>
      <c r="Z133" s="1840"/>
    </row>
    <row r="134" spans="1:26">
      <c r="A134" s="1770"/>
      <c r="B134" s="1771"/>
      <c r="C134" s="1762">
        <f t="shared" si="29"/>
        <v>1</v>
      </c>
      <c r="D134" s="1769"/>
      <c r="E134" s="1762">
        <f t="shared" si="30"/>
        <v>1</v>
      </c>
      <c r="F134" s="1769"/>
      <c r="G134" s="1762">
        <f t="shared" si="31"/>
        <v>1</v>
      </c>
      <c r="H134" s="1769"/>
      <c r="I134" s="1762">
        <f t="shared" si="32"/>
        <v>1</v>
      </c>
      <c r="J134" s="1769"/>
      <c r="K134" s="1762">
        <f t="shared" si="33"/>
        <v>1</v>
      </c>
      <c r="L134" s="1769"/>
      <c r="M134" s="1762">
        <f t="shared" si="34"/>
        <v>1</v>
      </c>
      <c r="N134" s="1769"/>
      <c r="O134" s="1762">
        <f t="shared" si="35"/>
        <v>1</v>
      </c>
      <c r="P134" s="1769"/>
      <c r="Q134" s="1762">
        <f t="shared" si="36"/>
        <v>1</v>
      </c>
      <c r="R134" s="1833">
        <f ca="1" t="shared" si="41"/>
        <v>0</v>
      </c>
      <c r="S134" s="1716">
        <f ca="1" t="shared" si="42"/>
        <v>0</v>
      </c>
      <c r="T134" s="1768">
        <f ca="1" t="shared" si="43"/>
        <v>0</v>
      </c>
      <c r="U134" s="1838">
        <f t="shared" si="37"/>
        <v>0</v>
      </c>
      <c r="V134" s="1838">
        <f t="shared" si="38"/>
        <v>0</v>
      </c>
      <c r="W134" s="1840"/>
      <c r="X134" s="1838">
        <f t="shared" si="39"/>
        <v>0</v>
      </c>
      <c r="Y134" s="1838">
        <f t="shared" si="40"/>
        <v>0</v>
      </c>
      <c r="Z134" s="1840"/>
    </row>
    <row r="135" spans="1:26">
      <c r="A135" s="1770"/>
      <c r="B135" s="1771"/>
      <c r="C135" s="1762">
        <f t="shared" si="29"/>
        <v>1</v>
      </c>
      <c r="D135" s="1769"/>
      <c r="E135" s="1762">
        <f t="shared" si="30"/>
        <v>1</v>
      </c>
      <c r="F135" s="1769"/>
      <c r="G135" s="1762">
        <f t="shared" si="31"/>
        <v>1</v>
      </c>
      <c r="H135" s="1769"/>
      <c r="I135" s="1762">
        <f t="shared" si="32"/>
        <v>1</v>
      </c>
      <c r="J135" s="1769"/>
      <c r="K135" s="1762">
        <f t="shared" si="33"/>
        <v>1</v>
      </c>
      <c r="L135" s="1769"/>
      <c r="M135" s="1762">
        <f t="shared" si="34"/>
        <v>1</v>
      </c>
      <c r="N135" s="1769"/>
      <c r="O135" s="1762">
        <f t="shared" si="35"/>
        <v>1</v>
      </c>
      <c r="P135" s="1769"/>
      <c r="Q135" s="1762">
        <f t="shared" si="36"/>
        <v>1</v>
      </c>
      <c r="R135" s="1833">
        <f ca="1" t="shared" si="41"/>
        <v>0</v>
      </c>
      <c r="S135" s="1716">
        <f ca="1" t="shared" si="42"/>
        <v>0</v>
      </c>
      <c r="T135" s="1768">
        <f ca="1" t="shared" si="43"/>
        <v>0</v>
      </c>
      <c r="U135" s="1838">
        <f t="shared" si="37"/>
        <v>0</v>
      </c>
      <c r="V135" s="1838">
        <f t="shared" si="38"/>
        <v>0</v>
      </c>
      <c r="W135" s="1840"/>
      <c r="X135" s="1838">
        <f t="shared" si="39"/>
        <v>0</v>
      </c>
      <c r="Y135" s="1838">
        <f t="shared" si="40"/>
        <v>0</v>
      </c>
      <c r="Z135" s="1840"/>
    </row>
    <row r="136" spans="1:26">
      <c r="A136" s="1770"/>
      <c r="B136" s="1771"/>
      <c r="C136" s="1762">
        <f t="shared" si="29"/>
        <v>1</v>
      </c>
      <c r="D136" s="1769"/>
      <c r="E136" s="1762">
        <f t="shared" si="30"/>
        <v>1</v>
      </c>
      <c r="F136" s="1769"/>
      <c r="G136" s="1762">
        <f t="shared" si="31"/>
        <v>1</v>
      </c>
      <c r="H136" s="1769"/>
      <c r="I136" s="1762">
        <f t="shared" si="32"/>
        <v>1</v>
      </c>
      <c r="J136" s="1769"/>
      <c r="K136" s="1762">
        <f t="shared" si="33"/>
        <v>1</v>
      </c>
      <c r="L136" s="1769"/>
      <c r="M136" s="1762">
        <f t="shared" si="34"/>
        <v>1</v>
      </c>
      <c r="N136" s="1769"/>
      <c r="O136" s="1762">
        <f t="shared" si="35"/>
        <v>1</v>
      </c>
      <c r="P136" s="1769"/>
      <c r="Q136" s="1762">
        <f t="shared" si="36"/>
        <v>1</v>
      </c>
      <c r="R136" s="1833">
        <f ca="1" t="shared" si="41"/>
        <v>0</v>
      </c>
      <c r="S136" s="1716">
        <f ca="1" t="shared" si="42"/>
        <v>0</v>
      </c>
      <c r="T136" s="1768">
        <f ca="1" t="shared" si="43"/>
        <v>0</v>
      </c>
      <c r="U136" s="1838">
        <f t="shared" si="37"/>
        <v>0</v>
      </c>
      <c r="V136" s="1838">
        <f t="shared" si="38"/>
        <v>0</v>
      </c>
      <c r="W136" s="1840"/>
      <c r="X136" s="1838">
        <f t="shared" si="39"/>
        <v>0</v>
      </c>
      <c r="Y136" s="1838">
        <f t="shared" si="40"/>
        <v>0</v>
      </c>
      <c r="Z136" s="1840"/>
    </row>
    <row r="137" spans="1:26">
      <c r="A137" s="1770"/>
      <c r="B137" s="1771"/>
      <c r="C137" s="1762">
        <f t="shared" si="29"/>
        <v>1</v>
      </c>
      <c r="D137" s="1769"/>
      <c r="E137" s="1762">
        <f t="shared" si="30"/>
        <v>1</v>
      </c>
      <c r="F137" s="1769"/>
      <c r="G137" s="1762">
        <f t="shared" si="31"/>
        <v>1</v>
      </c>
      <c r="H137" s="1769"/>
      <c r="I137" s="1762">
        <f t="shared" si="32"/>
        <v>1</v>
      </c>
      <c r="J137" s="1769"/>
      <c r="K137" s="1762">
        <f t="shared" si="33"/>
        <v>1</v>
      </c>
      <c r="L137" s="1769"/>
      <c r="M137" s="1762">
        <f t="shared" si="34"/>
        <v>1</v>
      </c>
      <c r="N137" s="1769"/>
      <c r="O137" s="1762">
        <f t="shared" si="35"/>
        <v>1</v>
      </c>
      <c r="P137" s="1769"/>
      <c r="Q137" s="1762">
        <f t="shared" si="36"/>
        <v>1</v>
      </c>
      <c r="R137" s="1833">
        <f ca="1" t="shared" si="41"/>
        <v>0</v>
      </c>
      <c r="S137" s="1716">
        <f ca="1" t="shared" si="42"/>
        <v>0</v>
      </c>
      <c r="T137" s="1768">
        <f ca="1" t="shared" si="43"/>
        <v>0</v>
      </c>
      <c r="U137" s="1838">
        <f t="shared" si="37"/>
        <v>0</v>
      </c>
      <c r="V137" s="1838">
        <f t="shared" si="38"/>
        <v>0</v>
      </c>
      <c r="W137" s="1840"/>
      <c r="X137" s="1838">
        <f t="shared" si="39"/>
        <v>0</v>
      </c>
      <c r="Y137" s="1838">
        <f t="shared" si="40"/>
        <v>0</v>
      </c>
      <c r="Z137" s="1840"/>
    </row>
    <row r="138" spans="1:26">
      <c r="A138" s="1770"/>
      <c r="B138" s="1771"/>
      <c r="C138" s="1762">
        <f t="shared" si="29"/>
        <v>1</v>
      </c>
      <c r="D138" s="1769"/>
      <c r="E138" s="1762">
        <f t="shared" si="30"/>
        <v>1</v>
      </c>
      <c r="F138" s="1769"/>
      <c r="G138" s="1762">
        <f t="shared" si="31"/>
        <v>1</v>
      </c>
      <c r="H138" s="1769"/>
      <c r="I138" s="1762">
        <f t="shared" si="32"/>
        <v>1</v>
      </c>
      <c r="J138" s="1769"/>
      <c r="K138" s="1762">
        <f t="shared" si="33"/>
        <v>1</v>
      </c>
      <c r="L138" s="1769"/>
      <c r="M138" s="1762">
        <f t="shared" si="34"/>
        <v>1</v>
      </c>
      <c r="N138" s="1769"/>
      <c r="O138" s="1762">
        <f t="shared" si="35"/>
        <v>1</v>
      </c>
      <c r="P138" s="1769"/>
      <c r="Q138" s="1762">
        <f t="shared" si="36"/>
        <v>1</v>
      </c>
      <c r="R138" s="1833">
        <f ca="1" t="shared" si="41"/>
        <v>0</v>
      </c>
      <c r="S138" s="1716">
        <f ca="1" t="shared" si="42"/>
        <v>0</v>
      </c>
      <c r="T138" s="1768">
        <f ca="1" t="shared" si="43"/>
        <v>0</v>
      </c>
      <c r="U138" s="1838">
        <f t="shared" si="37"/>
        <v>0</v>
      </c>
      <c r="V138" s="1838">
        <f t="shared" si="38"/>
        <v>0</v>
      </c>
      <c r="W138" s="1840"/>
      <c r="X138" s="1838">
        <f t="shared" si="39"/>
        <v>0</v>
      </c>
      <c r="Y138" s="1838">
        <f t="shared" si="40"/>
        <v>0</v>
      </c>
      <c r="Z138" s="1840"/>
    </row>
    <row r="139" spans="1:26">
      <c r="A139" s="1770"/>
      <c r="B139" s="1771"/>
      <c r="C139" s="1762">
        <f t="shared" si="29"/>
        <v>1</v>
      </c>
      <c r="D139" s="1769"/>
      <c r="E139" s="1762">
        <f t="shared" si="30"/>
        <v>1</v>
      </c>
      <c r="F139" s="1769"/>
      <c r="G139" s="1762">
        <f t="shared" si="31"/>
        <v>1</v>
      </c>
      <c r="H139" s="1769"/>
      <c r="I139" s="1762">
        <f t="shared" si="32"/>
        <v>1</v>
      </c>
      <c r="J139" s="1769"/>
      <c r="K139" s="1762">
        <f t="shared" si="33"/>
        <v>1</v>
      </c>
      <c r="L139" s="1769"/>
      <c r="M139" s="1762">
        <f t="shared" si="34"/>
        <v>1</v>
      </c>
      <c r="N139" s="1769"/>
      <c r="O139" s="1762">
        <f t="shared" si="35"/>
        <v>1</v>
      </c>
      <c r="P139" s="1769"/>
      <c r="Q139" s="1762">
        <f t="shared" si="36"/>
        <v>1</v>
      </c>
      <c r="R139" s="1833">
        <f ca="1" t="shared" si="41"/>
        <v>0</v>
      </c>
      <c r="S139" s="1716">
        <f ca="1" t="shared" si="42"/>
        <v>0</v>
      </c>
      <c r="T139" s="1768">
        <f ca="1" t="shared" si="43"/>
        <v>0</v>
      </c>
      <c r="U139" s="1838">
        <f t="shared" si="37"/>
        <v>0</v>
      </c>
      <c r="V139" s="1838">
        <f t="shared" si="38"/>
        <v>0</v>
      </c>
      <c r="W139" s="1840"/>
      <c r="X139" s="1838">
        <f t="shared" si="39"/>
        <v>0</v>
      </c>
      <c r="Y139" s="1838">
        <f t="shared" si="40"/>
        <v>0</v>
      </c>
      <c r="Z139" s="1840"/>
    </row>
    <row r="140" spans="1:26">
      <c r="A140" s="1770"/>
      <c r="B140" s="1771"/>
      <c r="C140" s="1762">
        <f t="shared" si="29"/>
        <v>1</v>
      </c>
      <c r="D140" s="1769"/>
      <c r="E140" s="1762">
        <f t="shared" si="30"/>
        <v>1</v>
      </c>
      <c r="F140" s="1769"/>
      <c r="G140" s="1762">
        <f t="shared" si="31"/>
        <v>1</v>
      </c>
      <c r="H140" s="1769"/>
      <c r="I140" s="1762">
        <f t="shared" si="32"/>
        <v>1</v>
      </c>
      <c r="J140" s="1769"/>
      <c r="K140" s="1762">
        <f t="shared" si="33"/>
        <v>1</v>
      </c>
      <c r="L140" s="1769"/>
      <c r="M140" s="1762">
        <f t="shared" si="34"/>
        <v>1</v>
      </c>
      <c r="N140" s="1769"/>
      <c r="O140" s="1762">
        <f t="shared" si="35"/>
        <v>1</v>
      </c>
      <c r="P140" s="1769"/>
      <c r="Q140" s="1762">
        <f t="shared" si="36"/>
        <v>1</v>
      </c>
      <c r="R140" s="1833">
        <f ca="1" t="shared" si="41"/>
        <v>0</v>
      </c>
      <c r="S140" s="1716">
        <f ca="1" t="shared" si="42"/>
        <v>0</v>
      </c>
      <c r="T140" s="1768">
        <f ca="1" t="shared" si="43"/>
        <v>0</v>
      </c>
      <c r="U140" s="1838">
        <f t="shared" si="37"/>
        <v>0</v>
      </c>
      <c r="V140" s="1838">
        <f t="shared" si="38"/>
        <v>0</v>
      </c>
      <c r="W140" s="1840"/>
      <c r="X140" s="1838">
        <f t="shared" si="39"/>
        <v>0</v>
      </c>
      <c r="Y140" s="1838">
        <f t="shared" si="40"/>
        <v>0</v>
      </c>
      <c r="Z140" s="1840"/>
    </row>
    <row r="141" spans="1:26">
      <c r="A141" s="1770"/>
      <c r="B141" s="1771"/>
      <c r="C141" s="1762">
        <f t="shared" si="29"/>
        <v>1</v>
      </c>
      <c r="D141" s="1769"/>
      <c r="E141" s="1762">
        <f t="shared" si="30"/>
        <v>1</v>
      </c>
      <c r="F141" s="1769"/>
      <c r="G141" s="1762">
        <f t="shared" si="31"/>
        <v>1</v>
      </c>
      <c r="H141" s="1769"/>
      <c r="I141" s="1762">
        <f t="shared" si="32"/>
        <v>1</v>
      </c>
      <c r="J141" s="1769"/>
      <c r="K141" s="1762">
        <f t="shared" si="33"/>
        <v>1</v>
      </c>
      <c r="L141" s="1769"/>
      <c r="M141" s="1762">
        <f t="shared" si="34"/>
        <v>1</v>
      </c>
      <c r="N141" s="1769"/>
      <c r="O141" s="1762">
        <f t="shared" si="35"/>
        <v>1</v>
      </c>
      <c r="P141" s="1769"/>
      <c r="Q141" s="1762">
        <f t="shared" si="36"/>
        <v>1</v>
      </c>
      <c r="R141" s="1833">
        <f ca="1" t="shared" si="41"/>
        <v>0</v>
      </c>
      <c r="S141" s="1716">
        <f ca="1" t="shared" si="42"/>
        <v>0</v>
      </c>
      <c r="T141" s="1768">
        <f ca="1" t="shared" si="43"/>
        <v>0</v>
      </c>
      <c r="U141" s="1838">
        <f t="shared" si="37"/>
        <v>0</v>
      </c>
      <c r="V141" s="1838">
        <f t="shared" si="38"/>
        <v>0</v>
      </c>
      <c r="W141" s="1840"/>
      <c r="X141" s="1838">
        <f t="shared" si="39"/>
        <v>0</v>
      </c>
      <c r="Y141" s="1838">
        <f t="shared" si="40"/>
        <v>0</v>
      </c>
      <c r="Z141" s="1840"/>
    </row>
    <row r="142" spans="1:26">
      <c r="A142" s="1770"/>
      <c r="B142" s="1771"/>
      <c r="C142" s="1762">
        <f t="shared" si="29"/>
        <v>1</v>
      </c>
      <c r="D142" s="1769"/>
      <c r="E142" s="1762">
        <f t="shared" si="30"/>
        <v>1</v>
      </c>
      <c r="F142" s="1769"/>
      <c r="G142" s="1762">
        <f t="shared" si="31"/>
        <v>1</v>
      </c>
      <c r="H142" s="1769"/>
      <c r="I142" s="1762">
        <f t="shared" si="32"/>
        <v>1</v>
      </c>
      <c r="J142" s="1769"/>
      <c r="K142" s="1762">
        <f t="shared" si="33"/>
        <v>1</v>
      </c>
      <c r="L142" s="1769"/>
      <c r="M142" s="1762">
        <f t="shared" si="34"/>
        <v>1</v>
      </c>
      <c r="N142" s="1769"/>
      <c r="O142" s="1762">
        <f t="shared" si="35"/>
        <v>1</v>
      </c>
      <c r="P142" s="1769"/>
      <c r="Q142" s="1762">
        <f t="shared" si="36"/>
        <v>1</v>
      </c>
      <c r="R142" s="1833">
        <f ca="1" t="shared" si="41"/>
        <v>0</v>
      </c>
      <c r="S142" s="1716">
        <f ca="1" t="shared" si="42"/>
        <v>0</v>
      </c>
      <c r="T142" s="1768">
        <f ca="1" t="shared" si="43"/>
        <v>0</v>
      </c>
      <c r="U142" s="1838">
        <f t="shared" si="37"/>
        <v>0</v>
      </c>
      <c r="V142" s="1838">
        <f t="shared" si="38"/>
        <v>0</v>
      </c>
      <c r="W142" s="1840"/>
      <c r="X142" s="1838">
        <f t="shared" si="39"/>
        <v>0</v>
      </c>
      <c r="Y142" s="1838">
        <f t="shared" si="40"/>
        <v>0</v>
      </c>
      <c r="Z142" s="1840"/>
    </row>
    <row r="143" spans="1:26">
      <c r="A143" s="1770"/>
      <c r="B143" s="1771"/>
      <c r="C143" s="1762">
        <f t="shared" si="29"/>
        <v>1</v>
      </c>
      <c r="D143" s="1769"/>
      <c r="E143" s="1762">
        <f t="shared" si="30"/>
        <v>1</v>
      </c>
      <c r="F143" s="1769"/>
      <c r="G143" s="1762">
        <f t="shared" si="31"/>
        <v>1</v>
      </c>
      <c r="H143" s="1769"/>
      <c r="I143" s="1762">
        <f t="shared" si="32"/>
        <v>1</v>
      </c>
      <c r="J143" s="1769"/>
      <c r="K143" s="1762">
        <f t="shared" si="33"/>
        <v>1</v>
      </c>
      <c r="L143" s="1769"/>
      <c r="M143" s="1762">
        <f t="shared" si="34"/>
        <v>1</v>
      </c>
      <c r="N143" s="1769"/>
      <c r="O143" s="1762">
        <f t="shared" si="35"/>
        <v>1</v>
      </c>
      <c r="P143" s="1769"/>
      <c r="Q143" s="1762">
        <f t="shared" si="36"/>
        <v>1</v>
      </c>
      <c r="R143" s="1833">
        <f ca="1" t="shared" si="41"/>
        <v>0</v>
      </c>
      <c r="S143" s="1716">
        <f ca="1" t="shared" si="42"/>
        <v>0</v>
      </c>
      <c r="T143" s="1768">
        <f ca="1" t="shared" si="43"/>
        <v>0</v>
      </c>
      <c r="U143" s="1838">
        <f t="shared" si="37"/>
        <v>0</v>
      </c>
      <c r="V143" s="1838">
        <f t="shared" si="38"/>
        <v>0</v>
      </c>
      <c r="W143" s="1840"/>
      <c r="X143" s="1838">
        <f t="shared" si="39"/>
        <v>0</v>
      </c>
      <c r="Y143" s="1838">
        <f t="shared" si="40"/>
        <v>0</v>
      </c>
      <c r="Z143" s="1840"/>
    </row>
    <row r="144" spans="1:26">
      <c r="A144" s="1770"/>
      <c r="B144" s="1771"/>
      <c r="C144" s="1762">
        <f t="shared" si="29"/>
        <v>1</v>
      </c>
      <c r="D144" s="1769"/>
      <c r="E144" s="1762">
        <f t="shared" si="30"/>
        <v>1</v>
      </c>
      <c r="F144" s="1769"/>
      <c r="G144" s="1762">
        <f t="shared" si="31"/>
        <v>1</v>
      </c>
      <c r="H144" s="1769"/>
      <c r="I144" s="1762">
        <f t="shared" si="32"/>
        <v>1</v>
      </c>
      <c r="J144" s="1769"/>
      <c r="K144" s="1762">
        <f t="shared" si="33"/>
        <v>1</v>
      </c>
      <c r="L144" s="1769"/>
      <c r="M144" s="1762">
        <f t="shared" si="34"/>
        <v>1</v>
      </c>
      <c r="N144" s="1769"/>
      <c r="O144" s="1762">
        <f t="shared" si="35"/>
        <v>1</v>
      </c>
      <c r="P144" s="1769"/>
      <c r="Q144" s="1762">
        <f t="shared" si="36"/>
        <v>1</v>
      </c>
      <c r="R144" s="1833">
        <f ca="1" t="shared" si="41"/>
        <v>0</v>
      </c>
      <c r="S144" s="1716">
        <f ca="1" t="shared" si="42"/>
        <v>0</v>
      </c>
      <c r="T144" s="1768">
        <f ca="1" t="shared" si="43"/>
        <v>0</v>
      </c>
      <c r="U144" s="1838">
        <f t="shared" si="37"/>
        <v>0</v>
      </c>
      <c r="V144" s="1838">
        <f t="shared" si="38"/>
        <v>0</v>
      </c>
      <c r="W144" s="1840"/>
      <c r="X144" s="1838">
        <f t="shared" si="39"/>
        <v>0</v>
      </c>
      <c r="Y144" s="1838">
        <f t="shared" si="40"/>
        <v>0</v>
      </c>
      <c r="Z144" s="1840"/>
    </row>
    <row r="145" spans="1:26">
      <c r="A145" s="1770"/>
      <c r="B145" s="1771"/>
      <c r="C145" s="1762">
        <f t="shared" si="29"/>
        <v>1</v>
      </c>
      <c r="D145" s="1769"/>
      <c r="E145" s="1762">
        <f t="shared" si="30"/>
        <v>1</v>
      </c>
      <c r="F145" s="1769"/>
      <c r="G145" s="1762">
        <f t="shared" si="31"/>
        <v>1</v>
      </c>
      <c r="H145" s="1769"/>
      <c r="I145" s="1762">
        <f t="shared" si="32"/>
        <v>1</v>
      </c>
      <c r="J145" s="1769"/>
      <c r="K145" s="1762">
        <f t="shared" si="33"/>
        <v>1</v>
      </c>
      <c r="L145" s="1769"/>
      <c r="M145" s="1762">
        <f t="shared" si="34"/>
        <v>1</v>
      </c>
      <c r="N145" s="1769"/>
      <c r="O145" s="1762">
        <f t="shared" si="35"/>
        <v>1</v>
      </c>
      <c r="P145" s="1769"/>
      <c r="Q145" s="1762">
        <f t="shared" si="36"/>
        <v>1</v>
      </c>
      <c r="R145" s="1833">
        <f ca="1" t="shared" si="41"/>
        <v>0</v>
      </c>
      <c r="S145" s="1716">
        <f ca="1" t="shared" si="42"/>
        <v>0</v>
      </c>
      <c r="T145" s="1768">
        <f ca="1" t="shared" si="43"/>
        <v>0</v>
      </c>
      <c r="U145" s="1838">
        <f t="shared" si="37"/>
        <v>0</v>
      </c>
      <c r="V145" s="1838">
        <f t="shared" si="38"/>
        <v>0</v>
      </c>
      <c r="W145" s="1840"/>
      <c r="X145" s="1838">
        <f t="shared" si="39"/>
        <v>0</v>
      </c>
      <c r="Y145" s="1838">
        <f t="shared" si="40"/>
        <v>0</v>
      </c>
      <c r="Z145" s="1840"/>
    </row>
    <row r="146" spans="1:26">
      <c r="A146" s="1770"/>
      <c r="B146" s="1771"/>
      <c r="C146" s="1762">
        <f t="shared" si="29"/>
        <v>1</v>
      </c>
      <c r="D146" s="1769"/>
      <c r="E146" s="1762">
        <f t="shared" si="30"/>
        <v>1</v>
      </c>
      <c r="F146" s="1769"/>
      <c r="G146" s="1762">
        <f t="shared" si="31"/>
        <v>1</v>
      </c>
      <c r="H146" s="1769"/>
      <c r="I146" s="1762">
        <f t="shared" si="32"/>
        <v>1</v>
      </c>
      <c r="J146" s="1769"/>
      <c r="K146" s="1762">
        <f t="shared" si="33"/>
        <v>1</v>
      </c>
      <c r="L146" s="1769"/>
      <c r="M146" s="1762">
        <f t="shared" si="34"/>
        <v>1</v>
      </c>
      <c r="N146" s="1769"/>
      <c r="O146" s="1762">
        <f t="shared" si="35"/>
        <v>1</v>
      </c>
      <c r="P146" s="1769"/>
      <c r="Q146" s="1762">
        <f t="shared" si="36"/>
        <v>1</v>
      </c>
      <c r="R146" s="1833">
        <f ca="1" t="shared" si="41"/>
        <v>0</v>
      </c>
      <c r="S146" s="1716">
        <f ca="1" t="shared" si="42"/>
        <v>0</v>
      </c>
      <c r="T146" s="1768">
        <f ca="1" t="shared" si="43"/>
        <v>0</v>
      </c>
      <c r="U146" s="1838">
        <f t="shared" si="37"/>
        <v>0</v>
      </c>
      <c r="V146" s="1838">
        <f t="shared" si="38"/>
        <v>0</v>
      </c>
      <c r="W146" s="1840"/>
      <c r="X146" s="1838">
        <f t="shared" si="39"/>
        <v>0</v>
      </c>
      <c r="Y146" s="1838">
        <f t="shared" si="40"/>
        <v>0</v>
      </c>
      <c r="Z146" s="1840"/>
    </row>
    <row r="147" spans="1:26">
      <c r="A147" s="1770"/>
      <c r="B147" s="1771"/>
      <c r="C147" s="1762">
        <f t="shared" si="29"/>
        <v>1</v>
      </c>
      <c r="D147" s="1769"/>
      <c r="E147" s="1762">
        <f t="shared" si="30"/>
        <v>1</v>
      </c>
      <c r="F147" s="1769"/>
      <c r="G147" s="1762">
        <f t="shared" si="31"/>
        <v>1</v>
      </c>
      <c r="H147" s="1769"/>
      <c r="I147" s="1762">
        <f t="shared" si="32"/>
        <v>1</v>
      </c>
      <c r="J147" s="1769"/>
      <c r="K147" s="1762">
        <f t="shared" si="33"/>
        <v>1</v>
      </c>
      <c r="L147" s="1769"/>
      <c r="M147" s="1762">
        <f t="shared" si="34"/>
        <v>1</v>
      </c>
      <c r="N147" s="1769"/>
      <c r="O147" s="1762">
        <f t="shared" si="35"/>
        <v>1</v>
      </c>
      <c r="P147" s="1769"/>
      <c r="Q147" s="1762">
        <f t="shared" si="36"/>
        <v>1</v>
      </c>
      <c r="R147" s="1833">
        <f ca="1" t="shared" si="41"/>
        <v>0</v>
      </c>
      <c r="S147" s="1716">
        <f ca="1" t="shared" si="42"/>
        <v>0</v>
      </c>
      <c r="T147" s="1768">
        <f ca="1" t="shared" si="43"/>
        <v>0</v>
      </c>
      <c r="U147" s="1838">
        <f t="shared" si="37"/>
        <v>0</v>
      </c>
      <c r="V147" s="1838">
        <f t="shared" si="38"/>
        <v>0</v>
      </c>
      <c r="W147" s="1840"/>
      <c r="X147" s="1838">
        <f t="shared" si="39"/>
        <v>0</v>
      </c>
      <c r="Y147" s="1838">
        <f t="shared" si="40"/>
        <v>0</v>
      </c>
      <c r="Z147" s="1840"/>
    </row>
    <row r="148" spans="1:26">
      <c r="A148" s="1770"/>
      <c r="B148" s="1771"/>
      <c r="C148" s="1762">
        <f t="shared" si="29"/>
        <v>1</v>
      </c>
      <c r="D148" s="1769"/>
      <c r="E148" s="1762">
        <f t="shared" si="30"/>
        <v>1</v>
      </c>
      <c r="F148" s="1769"/>
      <c r="G148" s="1762">
        <f t="shared" si="31"/>
        <v>1</v>
      </c>
      <c r="H148" s="1769"/>
      <c r="I148" s="1762">
        <f t="shared" si="32"/>
        <v>1</v>
      </c>
      <c r="J148" s="1769"/>
      <c r="K148" s="1762">
        <f t="shared" si="33"/>
        <v>1</v>
      </c>
      <c r="L148" s="1769"/>
      <c r="M148" s="1762">
        <f t="shared" si="34"/>
        <v>1</v>
      </c>
      <c r="N148" s="1769"/>
      <c r="O148" s="1762">
        <f t="shared" si="35"/>
        <v>1</v>
      </c>
      <c r="P148" s="1769"/>
      <c r="Q148" s="1762">
        <f t="shared" si="36"/>
        <v>1</v>
      </c>
      <c r="R148" s="1833">
        <f ca="1" t="shared" si="41"/>
        <v>0</v>
      </c>
      <c r="S148" s="1716">
        <f ca="1" t="shared" si="42"/>
        <v>0</v>
      </c>
      <c r="T148" s="1768">
        <f ca="1" t="shared" si="43"/>
        <v>0</v>
      </c>
      <c r="U148" s="1838">
        <f t="shared" si="37"/>
        <v>0</v>
      </c>
      <c r="V148" s="1838">
        <f t="shared" si="38"/>
        <v>0</v>
      </c>
      <c r="W148" s="1840"/>
      <c r="X148" s="1838">
        <f t="shared" si="39"/>
        <v>0</v>
      </c>
      <c r="Y148" s="1838">
        <f t="shared" si="40"/>
        <v>0</v>
      </c>
      <c r="Z148" s="1840"/>
    </row>
    <row r="149" spans="1:26">
      <c r="A149" s="1770"/>
      <c r="B149" s="1771"/>
      <c r="C149" s="1762">
        <f t="shared" si="29"/>
        <v>1</v>
      </c>
      <c r="D149" s="1769"/>
      <c r="E149" s="1762">
        <f t="shared" si="30"/>
        <v>1</v>
      </c>
      <c r="F149" s="1769"/>
      <c r="G149" s="1762">
        <f t="shared" si="31"/>
        <v>1</v>
      </c>
      <c r="H149" s="1769"/>
      <c r="I149" s="1762">
        <f t="shared" si="32"/>
        <v>1</v>
      </c>
      <c r="J149" s="1769"/>
      <c r="K149" s="1762">
        <f t="shared" si="33"/>
        <v>1</v>
      </c>
      <c r="L149" s="1769"/>
      <c r="M149" s="1762">
        <f t="shared" si="34"/>
        <v>1</v>
      </c>
      <c r="N149" s="1769"/>
      <c r="O149" s="1762">
        <f t="shared" si="35"/>
        <v>1</v>
      </c>
      <c r="P149" s="1769"/>
      <c r="Q149" s="1762">
        <f t="shared" si="36"/>
        <v>1</v>
      </c>
      <c r="R149" s="1833">
        <f ca="1" t="shared" si="41"/>
        <v>0</v>
      </c>
      <c r="S149" s="1716">
        <f ca="1" t="shared" si="42"/>
        <v>0</v>
      </c>
      <c r="T149" s="1768">
        <f ca="1" t="shared" si="43"/>
        <v>0</v>
      </c>
      <c r="U149" s="1838">
        <f t="shared" si="37"/>
        <v>0</v>
      </c>
      <c r="V149" s="1838">
        <f t="shared" si="38"/>
        <v>0</v>
      </c>
      <c r="W149" s="1840"/>
      <c r="X149" s="1838">
        <f t="shared" si="39"/>
        <v>0</v>
      </c>
      <c r="Y149" s="1838">
        <f t="shared" si="40"/>
        <v>0</v>
      </c>
      <c r="Z149" s="1840"/>
    </row>
    <row r="150" spans="1:26">
      <c r="A150" s="1770"/>
      <c r="B150" s="1771"/>
      <c r="C150" s="1762">
        <f t="shared" si="29"/>
        <v>1</v>
      </c>
      <c r="D150" s="1769"/>
      <c r="E150" s="1762">
        <f t="shared" si="30"/>
        <v>1</v>
      </c>
      <c r="F150" s="1769"/>
      <c r="G150" s="1762">
        <f t="shared" si="31"/>
        <v>1</v>
      </c>
      <c r="H150" s="1769"/>
      <c r="I150" s="1762">
        <f t="shared" si="32"/>
        <v>1</v>
      </c>
      <c r="J150" s="1769"/>
      <c r="K150" s="1762">
        <f t="shared" si="33"/>
        <v>1</v>
      </c>
      <c r="L150" s="1769"/>
      <c r="M150" s="1762">
        <f t="shared" si="34"/>
        <v>1</v>
      </c>
      <c r="N150" s="1769"/>
      <c r="O150" s="1762">
        <f t="shared" si="35"/>
        <v>1</v>
      </c>
      <c r="P150" s="1769"/>
      <c r="Q150" s="1762">
        <f t="shared" si="36"/>
        <v>1</v>
      </c>
      <c r="R150" s="1833">
        <f ca="1" t="shared" si="41"/>
        <v>0</v>
      </c>
      <c r="S150" s="1716">
        <f ca="1" t="shared" si="42"/>
        <v>0</v>
      </c>
      <c r="T150" s="1768">
        <f ca="1" t="shared" si="43"/>
        <v>0</v>
      </c>
      <c r="U150" s="1838">
        <f t="shared" si="37"/>
        <v>0</v>
      </c>
      <c r="V150" s="1838">
        <f t="shared" si="38"/>
        <v>0</v>
      </c>
      <c r="W150" s="1840"/>
      <c r="X150" s="1838">
        <f t="shared" si="39"/>
        <v>0</v>
      </c>
      <c r="Y150" s="1838">
        <f t="shared" si="40"/>
        <v>0</v>
      </c>
      <c r="Z150" s="1840"/>
    </row>
    <row r="151" spans="1:26">
      <c r="A151" s="1770"/>
      <c r="B151" s="1771"/>
      <c r="C151" s="1762">
        <f t="shared" si="29"/>
        <v>1</v>
      </c>
      <c r="D151" s="1769"/>
      <c r="E151" s="1762">
        <f t="shared" si="30"/>
        <v>1</v>
      </c>
      <c r="F151" s="1769"/>
      <c r="G151" s="1762">
        <f t="shared" si="31"/>
        <v>1</v>
      </c>
      <c r="H151" s="1769"/>
      <c r="I151" s="1762">
        <f t="shared" si="32"/>
        <v>1</v>
      </c>
      <c r="J151" s="1769"/>
      <c r="K151" s="1762">
        <f t="shared" si="33"/>
        <v>1</v>
      </c>
      <c r="L151" s="1769"/>
      <c r="M151" s="1762">
        <f t="shared" si="34"/>
        <v>1</v>
      </c>
      <c r="N151" s="1769"/>
      <c r="O151" s="1762">
        <f t="shared" si="35"/>
        <v>1</v>
      </c>
      <c r="P151" s="1769"/>
      <c r="Q151" s="1762">
        <f t="shared" si="36"/>
        <v>1</v>
      </c>
      <c r="R151" s="1833">
        <f ca="1" t="shared" si="41"/>
        <v>0</v>
      </c>
      <c r="S151" s="1716">
        <f ca="1" t="shared" si="42"/>
        <v>0</v>
      </c>
      <c r="T151" s="1768">
        <f ca="1" t="shared" si="43"/>
        <v>0</v>
      </c>
      <c r="U151" s="1838">
        <f t="shared" si="37"/>
        <v>0</v>
      </c>
      <c r="V151" s="1838">
        <f t="shared" si="38"/>
        <v>0</v>
      </c>
      <c r="W151" s="1840"/>
      <c r="X151" s="1838">
        <f t="shared" si="39"/>
        <v>0</v>
      </c>
      <c r="Y151" s="1838">
        <f t="shared" si="40"/>
        <v>0</v>
      </c>
      <c r="Z151" s="1840"/>
    </row>
    <row r="152" spans="1:26">
      <c r="A152" s="1770"/>
      <c r="B152" s="1771"/>
      <c r="C152" s="1762">
        <f t="shared" si="29"/>
        <v>1</v>
      </c>
      <c r="D152" s="1769"/>
      <c r="E152" s="1762">
        <f t="shared" si="30"/>
        <v>1</v>
      </c>
      <c r="F152" s="1769"/>
      <c r="G152" s="1762">
        <f t="shared" si="31"/>
        <v>1</v>
      </c>
      <c r="H152" s="1769"/>
      <c r="I152" s="1762">
        <f t="shared" si="32"/>
        <v>1</v>
      </c>
      <c r="J152" s="1769"/>
      <c r="K152" s="1762">
        <f t="shared" si="33"/>
        <v>1</v>
      </c>
      <c r="L152" s="1769"/>
      <c r="M152" s="1762">
        <f t="shared" si="34"/>
        <v>1</v>
      </c>
      <c r="N152" s="1769"/>
      <c r="O152" s="1762">
        <f t="shared" si="35"/>
        <v>1</v>
      </c>
      <c r="P152" s="1769"/>
      <c r="Q152" s="1762">
        <f t="shared" si="36"/>
        <v>1</v>
      </c>
      <c r="R152" s="1833">
        <f ca="1" t="shared" si="41"/>
        <v>0</v>
      </c>
      <c r="S152" s="1716">
        <f ca="1" t="shared" si="42"/>
        <v>0</v>
      </c>
      <c r="T152" s="1768">
        <f ca="1" t="shared" si="43"/>
        <v>0</v>
      </c>
      <c r="U152" s="1838">
        <f t="shared" si="37"/>
        <v>0</v>
      </c>
      <c r="V152" s="1838">
        <f t="shared" si="38"/>
        <v>0</v>
      </c>
      <c r="W152" s="1840"/>
      <c r="X152" s="1838">
        <f t="shared" si="39"/>
        <v>0</v>
      </c>
      <c r="Y152" s="1838">
        <f t="shared" si="40"/>
        <v>0</v>
      </c>
      <c r="Z152" s="1840"/>
    </row>
    <row r="153" spans="1:26">
      <c r="A153" s="1770"/>
      <c r="B153" s="1771"/>
      <c r="C153" s="1762">
        <f t="shared" si="29"/>
        <v>1</v>
      </c>
      <c r="D153" s="1769"/>
      <c r="E153" s="1762">
        <f t="shared" si="30"/>
        <v>1</v>
      </c>
      <c r="F153" s="1769"/>
      <c r="G153" s="1762">
        <f t="shared" si="31"/>
        <v>1</v>
      </c>
      <c r="H153" s="1769"/>
      <c r="I153" s="1762">
        <f t="shared" si="32"/>
        <v>1</v>
      </c>
      <c r="J153" s="1769"/>
      <c r="K153" s="1762">
        <f t="shared" si="33"/>
        <v>1</v>
      </c>
      <c r="L153" s="1769"/>
      <c r="M153" s="1762">
        <f t="shared" si="34"/>
        <v>1</v>
      </c>
      <c r="N153" s="1769"/>
      <c r="O153" s="1762">
        <f t="shared" si="35"/>
        <v>1</v>
      </c>
      <c r="P153" s="1769"/>
      <c r="Q153" s="1762">
        <f t="shared" si="36"/>
        <v>1</v>
      </c>
      <c r="R153" s="1833">
        <f ca="1" t="shared" si="41"/>
        <v>0</v>
      </c>
      <c r="S153" s="1716">
        <f ca="1" t="shared" si="42"/>
        <v>0</v>
      </c>
      <c r="T153" s="1768">
        <f ca="1" t="shared" si="43"/>
        <v>0</v>
      </c>
      <c r="U153" s="1838">
        <f t="shared" si="37"/>
        <v>0</v>
      </c>
      <c r="V153" s="1838">
        <f t="shared" si="38"/>
        <v>0</v>
      </c>
      <c r="W153" s="1840"/>
      <c r="X153" s="1838">
        <f t="shared" si="39"/>
        <v>0</v>
      </c>
      <c r="Y153" s="1838">
        <f t="shared" si="40"/>
        <v>0</v>
      </c>
      <c r="Z153" s="1840"/>
    </row>
    <row r="154" spans="1:26">
      <c r="A154" s="1770"/>
      <c r="B154" s="1771"/>
      <c r="C154" s="1762">
        <f t="shared" si="29"/>
        <v>1</v>
      </c>
      <c r="D154" s="1769"/>
      <c r="E154" s="1762">
        <f t="shared" si="30"/>
        <v>1</v>
      </c>
      <c r="F154" s="1769"/>
      <c r="G154" s="1762">
        <f t="shared" si="31"/>
        <v>1</v>
      </c>
      <c r="H154" s="1769"/>
      <c r="I154" s="1762">
        <f t="shared" si="32"/>
        <v>1</v>
      </c>
      <c r="J154" s="1769"/>
      <c r="K154" s="1762">
        <f t="shared" si="33"/>
        <v>1</v>
      </c>
      <c r="L154" s="1769"/>
      <c r="M154" s="1762">
        <f t="shared" si="34"/>
        <v>1</v>
      </c>
      <c r="N154" s="1769"/>
      <c r="O154" s="1762">
        <f t="shared" si="35"/>
        <v>1</v>
      </c>
      <c r="P154" s="1769"/>
      <c r="Q154" s="1762">
        <f t="shared" si="36"/>
        <v>1</v>
      </c>
      <c r="R154" s="1833">
        <f ca="1" t="shared" si="41"/>
        <v>0</v>
      </c>
      <c r="S154" s="1716">
        <f ca="1" t="shared" si="42"/>
        <v>0</v>
      </c>
      <c r="T154" s="1768">
        <f ca="1" t="shared" si="43"/>
        <v>0</v>
      </c>
      <c r="U154" s="1838">
        <f t="shared" si="37"/>
        <v>0</v>
      </c>
      <c r="V154" s="1838">
        <f t="shared" si="38"/>
        <v>0</v>
      </c>
      <c r="W154" s="1840"/>
      <c r="X154" s="1838">
        <f t="shared" si="39"/>
        <v>0</v>
      </c>
      <c r="Y154" s="1838">
        <f t="shared" si="40"/>
        <v>0</v>
      </c>
      <c r="Z154" s="1840"/>
    </row>
    <row r="155" spans="1:26">
      <c r="A155" s="1770"/>
      <c r="B155" s="1771"/>
      <c r="C155" s="1762">
        <f t="shared" si="29"/>
        <v>1</v>
      </c>
      <c r="D155" s="1769"/>
      <c r="E155" s="1762">
        <f t="shared" si="30"/>
        <v>1</v>
      </c>
      <c r="F155" s="1769"/>
      <c r="G155" s="1762">
        <f t="shared" si="31"/>
        <v>1</v>
      </c>
      <c r="H155" s="1769"/>
      <c r="I155" s="1762">
        <f t="shared" si="32"/>
        <v>1</v>
      </c>
      <c r="J155" s="1769"/>
      <c r="K155" s="1762">
        <f t="shared" si="33"/>
        <v>1</v>
      </c>
      <c r="L155" s="1769"/>
      <c r="M155" s="1762">
        <f t="shared" si="34"/>
        <v>1</v>
      </c>
      <c r="N155" s="1769"/>
      <c r="O155" s="1762">
        <f t="shared" si="35"/>
        <v>1</v>
      </c>
      <c r="P155" s="1769"/>
      <c r="Q155" s="1762">
        <f t="shared" si="36"/>
        <v>1</v>
      </c>
      <c r="R155" s="1833">
        <f ca="1" t="shared" si="41"/>
        <v>0</v>
      </c>
      <c r="S155" s="1716">
        <f ca="1" t="shared" si="42"/>
        <v>0</v>
      </c>
      <c r="T155" s="1768">
        <f ca="1" t="shared" si="43"/>
        <v>0</v>
      </c>
      <c r="U155" s="1838">
        <f t="shared" si="37"/>
        <v>0</v>
      </c>
      <c r="V155" s="1838">
        <f t="shared" si="38"/>
        <v>0</v>
      </c>
      <c r="W155" s="1840"/>
      <c r="X155" s="1838">
        <f t="shared" si="39"/>
        <v>0</v>
      </c>
      <c r="Y155" s="1838">
        <f t="shared" si="40"/>
        <v>0</v>
      </c>
      <c r="Z155" s="1840"/>
    </row>
    <row r="156" spans="1:26">
      <c r="A156" s="1770"/>
      <c r="B156" s="1771"/>
      <c r="C156" s="1762">
        <f t="shared" ref="C156:C219" si="44">IF(B156="",1,(LOOKUP(B156,$6:$6,$7:$7)-LOOKUP($B$27,$6:$6,$7:$7)+100)/100)</f>
        <v>1</v>
      </c>
      <c r="D156" s="1769"/>
      <c r="E156" s="1762">
        <f t="shared" ref="E156:E219" si="45">(SUMIF($8:$8,D156,$9:$9)-SUMIF($8:$8,$D$27,$9:$9)+100)/100</f>
        <v>1</v>
      </c>
      <c r="F156" s="1769"/>
      <c r="G156" s="1762">
        <f t="shared" ref="G156:G219" si="46">(SUMIF($10:$10,F156,$11:$11)-SUMIF($10:$10,$F$27,$11:$11)+100)/100</f>
        <v>1</v>
      </c>
      <c r="H156" s="1769"/>
      <c r="I156" s="1762">
        <f t="shared" ref="I156:I219" si="47">(SUMIF($12:$12,H156,$13:$13)-SUMIF($12:$12,$H$27,$13:$13)+100)/100</f>
        <v>1</v>
      </c>
      <c r="J156" s="1769"/>
      <c r="K156" s="1762">
        <f t="shared" ref="K156:K219" si="48">(SUMIF($14:$14,J156,$15:$15)-SUMIF($14:$14,$J$27,$15:$15)+100)/100</f>
        <v>1</v>
      </c>
      <c r="L156" s="1769"/>
      <c r="M156" s="1762">
        <f t="shared" ref="M156:M219" si="49">(SUMIF($16:$16,L156,$17:$17)-SUMIF($16:$16,$L$27,$17:$17)+100)/100</f>
        <v>1</v>
      </c>
      <c r="N156" s="1769"/>
      <c r="O156" s="1762">
        <f t="shared" ref="O156:O219" si="50">(SUMIF($18:$18,N156,$19:$19)-SUMIF($18:$18,$N$27,$19:$19)+100)/100</f>
        <v>1</v>
      </c>
      <c r="P156" s="1769"/>
      <c r="Q156" s="1762">
        <f t="shared" ref="Q156:Q219" si="51">(SUMIF($20:$20,P156,$21:$21)-SUMIF($20:$20,$P$27,$21:$21)+100)/100</f>
        <v>1</v>
      </c>
      <c r="R156" s="1833">
        <f ca="1" t="shared" si="41"/>
        <v>0</v>
      </c>
      <c r="S156" s="1716">
        <f ca="1" t="shared" si="42"/>
        <v>0</v>
      </c>
      <c r="T156" s="1768">
        <f ca="1" t="shared" si="43"/>
        <v>0</v>
      </c>
      <c r="U156" s="1838">
        <f t="shared" ref="U156:U219" si="52">ROUND(W156*B156,0)</f>
        <v>0</v>
      </c>
      <c r="V156" s="1838">
        <f t="shared" ref="V156:V219" si="53">ROUND(W156*B156/10000,0)</f>
        <v>0</v>
      </c>
      <c r="W156" s="1840"/>
      <c r="X156" s="1838">
        <f t="shared" ref="X156:X219" si="54">ROUND(Z156*B156,0)</f>
        <v>0</v>
      </c>
      <c r="Y156" s="1838">
        <f t="shared" ref="Y156:Y219" si="55">ROUND(Z156*B156/10000,0)</f>
        <v>0</v>
      </c>
      <c r="Z156" s="1840"/>
    </row>
    <row r="157" spans="1:26">
      <c r="A157" s="1770"/>
      <c r="B157" s="1771"/>
      <c r="C157" s="1762">
        <f t="shared" si="44"/>
        <v>1</v>
      </c>
      <c r="D157" s="1769"/>
      <c r="E157" s="1762">
        <f t="shared" si="45"/>
        <v>1</v>
      </c>
      <c r="F157" s="1769"/>
      <c r="G157" s="1762">
        <f t="shared" si="46"/>
        <v>1</v>
      </c>
      <c r="H157" s="1769"/>
      <c r="I157" s="1762">
        <f t="shared" si="47"/>
        <v>1</v>
      </c>
      <c r="J157" s="1769"/>
      <c r="K157" s="1762">
        <f t="shared" si="48"/>
        <v>1</v>
      </c>
      <c r="L157" s="1769"/>
      <c r="M157" s="1762">
        <f t="shared" si="49"/>
        <v>1</v>
      </c>
      <c r="N157" s="1769"/>
      <c r="O157" s="1762">
        <f t="shared" si="50"/>
        <v>1</v>
      </c>
      <c r="P157" s="1769"/>
      <c r="Q157" s="1762">
        <f t="shared" si="51"/>
        <v>1</v>
      </c>
      <c r="R157" s="1833">
        <f ca="1" t="shared" ref="R157:R220" si="56">IF(B157="",0,ROUND($R$27*C157*E157*G157*I157*K157*M157*O157*Q157,0))</f>
        <v>0</v>
      </c>
      <c r="S157" s="1716">
        <f ca="1" t="shared" ref="S157:S220" si="57">ROUND(R157*B157,0)</f>
        <v>0</v>
      </c>
      <c r="T157" s="1768">
        <f ca="1" t="shared" ref="T157:T220" si="58">ROUND(R157*B157/10000,0)</f>
        <v>0</v>
      </c>
      <c r="U157" s="1838">
        <f t="shared" si="52"/>
        <v>0</v>
      </c>
      <c r="V157" s="1838">
        <f t="shared" si="53"/>
        <v>0</v>
      </c>
      <c r="W157" s="1840"/>
      <c r="X157" s="1838">
        <f t="shared" si="54"/>
        <v>0</v>
      </c>
      <c r="Y157" s="1838">
        <f t="shared" si="55"/>
        <v>0</v>
      </c>
      <c r="Z157" s="1840"/>
    </row>
    <row r="158" spans="1:26">
      <c r="A158" s="1770"/>
      <c r="B158" s="1771"/>
      <c r="C158" s="1762">
        <f t="shared" si="44"/>
        <v>1</v>
      </c>
      <c r="D158" s="1769"/>
      <c r="E158" s="1762">
        <f t="shared" si="45"/>
        <v>1</v>
      </c>
      <c r="F158" s="1769"/>
      <c r="G158" s="1762">
        <f t="shared" si="46"/>
        <v>1</v>
      </c>
      <c r="H158" s="1769"/>
      <c r="I158" s="1762">
        <f t="shared" si="47"/>
        <v>1</v>
      </c>
      <c r="J158" s="1769"/>
      <c r="K158" s="1762">
        <f t="shared" si="48"/>
        <v>1</v>
      </c>
      <c r="L158" s="1769"/>
      <c r="M158" s="1762">
        <f t="shared" si="49"/>
        <v>1</v>
      </c>
      <c r="N158" s="1769"/>
      <c r="O158" s="1762">
        <f t="shared" si="50"/>
        <v>1</v>
      </c>
      <c r="P158" s="1769"/>
      <c r="Q158" s="1762">
        <f t="shared" si="51"/>
        <v>1</v>
      </c>
      <c r="R158" s="1833">
        <f ca="1" t="shared" si="56"/>
        <v>0</v>
      </c>
      <c r="S158" s="1716">
        <f ca="1" t="shared" si="57"/>
        <v>0</v>
      </c>
      <c r="T158" s="1768">
        <f ca="1" t="shared" si="58"/>
        <v>0</v>
      </c>
      <c r="U158" s="1838">
        <f t="shared" si="52"/>
        <v>0</v>
      </c>
      <c r="V158" s="1838">
        <f t="shared" si="53"/>
        <v>0</v>
      </c>
      <c r="W158" s="1840"/>
      <c r="X158" s="1838">
        <f t="shared" si="54"/>
        <v>0</v>
      </c>
      <c r="Y158" s="1838">
        <f t="shared" si="55"/>
        <v>0</v>
      </c>
      <c r="Z158" s="1840"/>
    </row>
    <row r="159" spans="1:26">
      <c r="A159" s="1770"/>
      <c r="B159" s="1771"/>
      <c r="C159" s="1762">
        <f t="shared" si="44"/>
        <v>1</v>
      </c>
      <c r="D159" s="1769"/>
      <c r="E159" s="1762">
        <f t="shared" si="45"/>
        <v>1</v>
      </c>
      <c r="F159" s="1769"/>
      <c r="G159" s="1762">
        <f t="shared" si="46"/>
        <v>1</v>
      </c>
      <c r="H159" s="1769"/>
      <c r="I159" s="1762">
        <f t="shared" si="47"/>
        <v>1</v>
      </c>
      <c r="J159" s="1769"/>
      <c r="K159" s="1762">
        <f t="shared" si="48"/>
        <v>1</v>
      </c>
      <c r="L159" s="1769"/>
      <c r="M159" s="1762">
        <f t="shared" si="49"/>
        <v>1</v>
      </c>
      <c r="N159" s="1769"/>
      <c r="O159" s="1762">
        <f t="shared" si="50"/>
        <v>1</v>
      </c>
      <c r="P159" s="1769"/>
      <c r="Q159" s="1762">
        <f t="shared" si="51"/>
        <v>1</v>
      </c>
      <c r="R159" s="1833">
        <f ca="1" t="shared" si="56"/>
        <v>0</v>
      </c>
      <c r="S159" s="1716">
        <f ca="1" t="shared" si="57"/>
        <v>0</v>
      </c>
      <c r="T159" s="1768">
        <f ca="1" t="shared" si="58"/>
        <v>0</v>
      </c>
      <c r="U159" s="1838">
        <f t="shared" si="52"/>
        <v>0</v>
      </c>
      <c r="V159" s="1838">
        <f t="shared" si="53"/>
        <v>0</v>
      </c>
      <c r="W159" s="1840"/>
      <c r="X159" s="1838">
        <f t="shared" si="54"/>
        <v>0</v>
      </c>
      <c r="Y159" s="1838">
        <f t="shared" si="55"/>
        <v>0</v>
      </c>
      <c r="Z159" s="1840"/>
    </row>
    <row r="160" spans="1:26">
      <c r="A160" s="1770"/>
      <c r="B160" s="1771"/>
      <c r="C160" s="1762">
        <f t="shared" si="44"/>
        <v>1</v>
      </c>
      <c r="D160" s="1769"/>
      <c r="E160" s="1762">
        <f t="shared" si="45"/>
        <v>1</v>
      </c>
      <c r="F160" s="1769"/>
      <c r="G160" s="1762">
        <f t="shared" si="46"/>
        <v>1</v>
      </c>
      <c r="H160" s="1769"/>
      <c r="I160" s="1762">
        <f t="shared" si="47"/>
        <v>1</v>
      </c>
      <c r="J160" s="1769"/>
      <c r="K160" s="1762">
        <f t="shared" si="48"/>
        <v>1</v>
      </c>
      <c r="L160" s="1769"/>
      <c r="M160" s="1762">
        <f t="shared" si="49"/>
        <v>1</v>
      </c>
      <c r="N160" s="1769"/>
      <c r="O160" s="1762">
        <f t="shared" si="50"/>
        <v>1</v>
      </c>
      <c r="P160" s="1769"/>
      <c r="Q160" s="1762">
        <f t="shared" si="51"/>
        <v>1</v>
      </c>
      <c r="R160" s="1833">
        <f ca="1" t="shared" si="56"/>
        <v>0</v>
      </c>
      <c r="S160" s="1716">
        <f ca="1" t="shared" si="57"/>
        <v>0</v>
      </c>
      <c r="T160" s="1768">
        <f ca="1" t="shared" si="58"/>
        <v>0</v>
      </c>
      <c r="U160" s="1838">
        <f t="shared" si="52"/>
        <v>0</v>
      </c>
      <c r="V160" s="1838">
        <f t="shared" si="53"/>
        <v>0</v>
      </c>
      <c r="W160" s="1840"/>
      <c r="X160" s="1838">
        <f t="shared" si="54"/>
        <v>0</v>
      </c>
      <c r="Y160" s="1838">
        <f t="shared" si="55"/>
        <v>0</v>
      </c>
      <c r="Z160" s="1840"/>
    </row>
    <row r="161" spans="1:26">
      <c r="A161" s="1770"/>
      <c r="B161" s="1771"/>
      <c r="C161" s="1762">
        <f t="shared" si="44"/>
        <v>1</v>
      </c>
      <c r="D161" s="1769"/>
      <c r="E161" s="1762">
        <f t="shared" si="45"/>
        <v>1</v>
      </c>
      <c r="F161" s="1769"/>
      <c r="G161" s="1762">
        <f t="shared" si="46"/>
        <v>1</v>
      </c>
      <c r="H161" s="1769"/>
      <c r="I161" s="1762">
        <f t="shared" si="47"/>
        <v>1</v>
      </c>
      <c r="J161" s="1769"/>
      <c r="K161" s="1762">
        <f t="shared" si="48"/>
        <v>1</v>
      </c>
      <c r="L161" s="1769"/>
      <c r="M161" s="1762">
        <f t="shared" si="49"/>
        <v>1</v>
      </c>
      <c r="N161" s="1769"/>
      <c r="O161" s="1762">
        <f t="shared" si="50"/>
        <v>1</v>
      </c>
      <c r="P161" s="1769"/>
      <c r="Q161" s="1762">
        <f t="shared" si="51"/>
        <v>1</v>
      </c>
      <c r="R161" s="1833">
        <f ca="1" t="shared" si="56"/>
        <v>0</v>
      </c>
      <c r="S161" s="1716">
        <f ca="1" t="shared" si="57"/>
        <v>0</v>
      </c>
      <c r="T161" s="1768">
        <f ca="1" t="shared" si="58"/>
        <v>0</v>
      </c>
      <c r="U161" s="1838">
        <f t="shared" si="52"/>
        <v>0</v>
      </c>
      <c r="V161" s="1838">
        <f t="shared" si="53"/>
        <v>0</v>
      </c>
      <c r="W161" s="1840"/>
      <c r="X161" s="1838">
        <f t="shared" si="54"/>
        <v>0</v>
      </c>
      <c r="Y161" s="1838">
        <f t="shared" si="55"/>
        <v>0</v>
      </c>
      <c r="Z161" s="1840"/>
    </row>
    <row r="162" spans="1:26">
      <c r="A162" s="1770"/>
      <c r="B162" s="1771"/>
      <c r="C162" s="1762">
        <f t="shared" si="44"/>
        <v>1</v>
      </c>
      <c r="D162" s="1769"/>
      <c r="E162" s="1762">
        <f t="shared" si="45"/>
        <v>1</v>
      </c>
      <c r="F162" s="1769"/>
      <c r="G162" s="1762">
        <f t="shared" si="46"/>
        <v>1</v>
      </c>
      <c r="H162" s="1769"/>
      <c r="I162" s="1762">
        <f t="shared" si="47"/>
        <v>1</v>
      </c>
      <c r="J162" s="1769"/>
      <c r="K162" s="1762">
        <f t="shared" si="48"/>
        <v>1</v>
      </c>
      <c r="L162" s="1769"/>
      <c r="M162" s="1762">
        <f t="shared" si="49"/>
        <v>1</v>
      </c>
      <c r="N162" s="1769"/>
      <c r="O162" s="1762">
        <f t="shared" si="50"/>
        <v>1</v>
      </c>
      <c r="P162" s="1769"/>
      <c r="Q162" s="1762">
        <f t="shared" si="51"/>
        <v>1</v>
      </c>
      <c r="R162" s="1833">
        <f ca="1" t="shared" si="56"/>
        <v>0</v>
      </c>
      <c r="S162" s="1716">
        <f ca="1" t="shared" si="57"/>
        <v>0</v>
      </c>
      <c r="T162" s="1768">
        <f ca="1" t="shared" si="58"/>
        <v>0</v>
      </c>
      <c r="U162" s="1838">
        <f t="shared" si="52"/>
        <v>0</v>
      </c>
      <c r="V162" s="1838">
        <f t="shared" si="53"/>
        <v>0</v>
      </c>
      <c r="W162" s="1840"/>
      <c r="X162" s="1838">
        <f t="shared" si="54"/>
        <v>0</v>
      </c>
      <c r="Y162" s="1838">
        <f t="shared" si="55"/>
        <v>0</v>
      </c>
      <c r="Z162" s="1840"/>
    </row>
    <row r="163" spans="1:26">
      <c r="A163" s="1770"/>
      <c r="B163" s="1771"/>
      <c r="C163" s="1762">
        <f t="shared" si="44"/>
        <v>1</v>
      </c>
      <c r="D163" s="1769"/>
      <c r="E163" s="1762">
        <f t="shared" si="45"/>
        <v>1</v>
      </c>
      <c r="F163" s="1769"/>
      <c r="G163" s="1762">
        <f t="shared" si="46"/>
        <v>1</v>
      </c>
      <c r="H163" s="1769"/>
      <c r="I163" s="1762">
        <f t="shared" si="47"/>
        <v>1</v>
      </c>
      <c r="J163" s="1769"/>
      <c r="K163" s="1762">
        <f t="shared" si="48"/>
        <v>1</v>
      </c>
      <c r="L163" s="1769"/>
      <c r="M163" s="1762">
        <f t="shared" si="49"/>
        <v>1</v>
      </c>
      <c r="N163" s="1769"/>
      <c r="O163" s="1762">
        <f t="shared" si="50"/>
        <v>1</v>
      </c>
      <c r="P163" s="1769"/>
      <c r="Q163" s="1762">
        <f t="shared" si="51"/>
        <v>1</v>
      </c>
      <c r="R163" s="1833">
        <f ca="1" t="shared" si="56"/>
        <v>0</v>
      </c>
      <c r="S163" s="1716">
        <f ca="1" t="shared" si="57"/>
        <v>0</v>
      </c>
      <c r="T163" s="1768">
        <f ca="1" t="shared" si="58"/>
        <v>0</v>
      </c>
      <c r="U163" s="1838">
        <f t="shared" si="52"/>
        <v>0</v>
      </c>
      <c r="V163" s="1838">
        <f t="shared" si="53"/>
        <v>0</v>
      </c>
      <c r="W163" s="1840"/>
      <c r="X163" s="1838">
        <f t="shared" si="54"/>
        <v>0</v>
      </c>
      <c r="Y163" s="1838">
        <f t="shared" si="55"/>
        <v>0</v>
      </c>
      <c r="Z163" s="1840"/>
    </row>
    <row r="164" spans="1:26">
      <c r="A164" s="1770"/>
      <c r="B164" s="1771"/>
      <c r="C164" s="1762">
        <f t="shared" si="44"/>
        <v>1</v>
      </c>
      <c r="D164" s="1769"/>
      <c r="E164" s="1762">
        <f t="shared" si="45"/>
        <v>1</v>
      </c>
      <c r="F164" s="1769"/>
      <c r="G164" s="1762">
        <f t="shared" si="46"/>
        <v>1</v>
      </c>
      <c r="H164" s="1769"/>
      <c r="I164" s="1762">
        <f t="shared" si="47"/>
        <v>1</v>
      </c>
      <c r="J164" s="1769"/>
      <c r="K164" s="1762">
        <f t="shared" si="48"/>
        <v>1</v>
      </c>
      <c r="L164" s="1769"/>
      <c r="M164" s="1762">
        <f t="shared" si="49"/>
        <v>1</v>
      </c>
      <c r="N164" s="1769"/>
      <c r="O164" s="1762">
        <f t="shared" si="50"/>
        <v>1</v>
      </c>
      <c r="P164" s="1769"/>
      <c r="Q164" s="1762">
        <f t="shared" si="51"/>
        <v>1</v>
      </c>
      <c r="R164" s="1833">
        <f ca="1" t="shared" si="56"/>
        <v>0</v>
      </c>
      <c r="S164" s="1716">
        <f ca="1" t="shared" si="57"/>
        <v>0</v>
      </c>
      <c r="T164" s="1768">
        <f ca="1" t="shared" si="58"/>
        <v>0</v>
      </c>
      <c r="U164" s="1838">
        <f t="shared" si="52"/>
        <v>0</v>
      </c>
      <c r="V164" s="1838">
        <f t="shared" si="53"/>
        <v>0</v>
      </c>
      <c r="W164" s="1840"/>
      <c r="X164" s="1838">
        <f t="shared" si="54"/>
        <v>0</v>
      </c>
      <c r="Y164" s="1838">
        <f t="shared" si="55"/>
        <v>0</v>
      </c>
      <c r="Z164" s="1840"/>
    </row>
    <row r="165" spans="1:26">
      <c r="A165" s="1770"/>
      <c r="B165" s="1771"/>
      <c r="C165" s="1762">
        <f t="shared" si="44"/>
        <v>1</v>
      </c>
      <c r="D165" s="1769"/>
      <c r="E165" s="1762">
        <f t="shared" si="45"/>
        <v>1</v>
      </c>
      <c r="F165" s="1769"/>
      <c r="G165" s="1762">
        <f t="shared" si="46"/>
        <v>1</v>
      </c>
      <c r="H165" s="1769"/>
      <c r="I165" s="1762">
        <f t="shared" si="47"/>
        <v>1</v>
      </c>
      <c r="J165" s="1769"/>
      <c r="K165" s="1762">
        <f t="shared" si="48"/>
        <v>1</v>
      </c>
      <c r="L165" s="1769"/>
      <c r="M165" s="1762">
        <f t="shared" si="49"/>
        <v>1</v>
      </c>
      <c r="N165" s="1769"/>
      <c r="O165" s="1762">
        <f t="shared" si="50"/>
        <v>1</v>
      </c>
      <c r="P165" s="1769"/>
      <c r="Q165" s="1762">
        <f t="shared" si="51"/>
        <v>1</v>
      </c>
      <c r="R165" s="1833">
        <f ca="1" t="shared" si="56"/>
        <v>0</v>
      </c>
      <c r="S165" s="1716">
        <f ca="1" t="shared" si="57"/>
        <v>0</v>
      </c>
      <c r="T165" s="1768">
        <f ca="1" t="shared" si="58"/>
        <v>0</v>
      </c>
      <c r="U165" s="1838">
        <f t="shared" si="52"/>
        <v>0</v>
      </c>
      <c r="V165" s="1838">
        <f t="shared" si="53"/>
        <v>0</v>
      </c>
      <c r="W165" s="1840"/>
      <c r="X165" s="1838">
        <f t="shared" si="54"/>
        <v>0</v>
      </c>
      <c r="Y165" s="1838">
        <f t="shared" si="55"/>
        <v>0</v>
      </c>
      <c r="Z165" s="1840"/>
    </row>
    <row r="166" spans="1:26">
      <c r="A166" s="1770"/>
      <c r="B166" s="1771"/>
      <c r="C166" s="1762">
        <f t="shared" si="44"/>
        <v>1</v>
      </c>
      <c r="D166" s="1769"/>
      <c r="E166" s="1762">
        <f t="shared" si="45"/>
        <v>1</v>
      </c>
      <c r="F166" s="1769"/>
      <c r="G166" s="1762">
        <f t="shared" si="46"/>
        <v>1</v>
      </c>
      <c r="H166" s="1769"/>
      <c r="I166" s="1762">
        <f t="shared" si="47"/>
        <v>1</v>
      </c>
      <c r="J166" s="1769"/>
      <c r="K166" s="1762">
        <f t="shared" si="48"/>
        <v>1</v>
      </c>
      <c r="L166" s="1769"/>
      <c r="M166" s="1762">
        <f t="shared" si="49"/>
        <v>1</v>
      </c>
      <c r="N166" s="1769"/>
      <c r="O166" s="1762">
        <f t="shared" si="50"/>
        <v>1</v>
      </c>
      <c r="P166" s="1769"/>
      <c r="Q166" s="1762">
        <f t="shared" si="51"/>
        <v>1</v>
      </c>
      <c r="R166" s="1833">
        <f ca="1" t="shared" si="56"/>
        <v>0</v>
      </c>
      <c r="S166" s="1716">
        <f ca="1" t="shared" si="57"/>
        <v>0</v>
      </c>
      <c r="T166" s="1768">
        <f ca="1" t="shared" si="58"/>
        <v>0</v>
      </c>
      <c r="U166" s="1838">
        <f t="shared" si="52"/>
        <v>0</v>
      </c>
      <c r="V166" s="1838">
        <f t="shared" si="53"/>
        <v>0</v>
      </c>
      <c r="W166" s="1840"/>
      <c r="X166" s="1838">
        <f t="shared" si="54"/>
        <v>0</v>
      </c>
      <c r="Y166" s="1838">
        <f t="shared" si="55"/>
        <v>0</v>
      </c>
      <c r="Z166" s="1840"/>
    </row>
    <row r="167" spans="1:26">
      <c r="A167" s="1770"/>
      <c r="B167" s="1771"/>
      <c r="C167" s="1762">
        <f t="shared" si="44"/>
        <v>1</v>
      </c>
      <c r="D167" s="1769"/>
      <c r="E167" s="1762">
        <f t="shared" si="45"/>
        <v>1</v>
      </c>
      <c r="F167" s="1769"/>
      <c r="G167" s="1762">
        <f t="shared" si="46"/>
        <v>1</v>
      </c>
      <c r="H167" s="1769"/>
      <c r="I167" s="1762">
        <f t="shared" si="47"/>
        <v>1</v>
      </c>
      <c r="J167" s="1769"/>
      <c r="K167" s="1762">
        <f t="shared" si="48"/>
        <v>1</v>
      </c>
      <c r="L167" s="1769"/>
      <c r="M167" s="1762">
        <f t="shared" si="49"/>
        <v>1</v>
      </c>
      <c r="N167" s="1769"/>
      <c r="O167" s="1762">
        <f t="shared" si="50"/>
        <v>1</v>
      </c>
      <c r="P167" s="1769"/>
      <c r="Q167" s="1762">
        <f t="shared" si="51"/>
        <v>1</v>
      </c>
      <c r="R167" s="1833">
        <f ca="1" t="shared" si="56"/>
        <v>0</v>
      </c>
      <c r="S167" s="1716">
        <f ca="1" t="shared" si="57"/>
        <v>0</v>
      </c>
      <c r="T167" s="1768">
        <f ca="1" t="shared" si="58"/>
        <v>0</v>
      </c>
      <c r="U167" s="1838">
        <f t="shared" si="52"/>
        <v>0</v>
      </c>
      <c r="V167" s="1838">
        <f t="shared" si="53"/>
        <v>0</v>
      </c>
      <c r="W167" s="1840"/>
      <c r="X167" s="1838">
        <f t="shared" si="54"/>
        <v>0</v>
      </c>
      <c r="Y167" s="1838">
        <f t="shared" si="55"/>
        <v>0</v>
      </c>
      <c r="Z167" s="1840"/>
    </row>
    <row r="168" spans="1:26">
      <c r="A168" s="1770"/>
      <c r="B168" s="1771"/>
      <c r="C168" s="1762">
        <f t="shared" si="44"/>
        <v>1</v>
      </c>
      <c r="D168" s="1769"/>
      <c r="E168" s="1762">
        <f t="shared" si="45"/>
        <v>1</v>
      </c>
      <c r="F168" s="1769"/>
      <c r="G168" s="1762">
        <f t="shared" si="46"/>
        <v>1</v>
      </c>
      <c r="H168" s="1769"/>
      <c r="I168" s="1762">
        <f t="shared" si="47"/>
        <v>1</v>
      </c>
      <c r="J168" s="1769"/>
      <c r="K168" s="1762">
        <f t="shared" si="48"/>
        <v>1</v>
      </c>
      <c r="L168" s="1769"/>
      <c r="M168" s="1762">
        <f t="shared" si="49"/>
        <v>1</v>
      </c>
      <c r="N168" s="1769"/>
      <c r="O168" s="1762">
        <f t="shared" si="50"/>
        <v>1</v>
      </c>
      <c r="P168" s="1769"/>
      <c r="Q168" s="1762">
        <f t="shared" si="51"/>
        <v>1</v>
      </c>
      <c r="R168" s="1833">
        <f ca="1" t="shared" si="56"/>
        <v>0</v>
      </c>
      <c r="S168" s="1716">
        <f ca="1" t="shared" si="57"/>
        <v>0</v>
      </c>
      <c r="T168" s="1768">
        <f ca="1" t="shared" si="58"/>
        <v>0</v>
      </c>
      <c r="U168" s="1838">
        <f t="shared" si="52"/>
        <v>0</v>
      </c>
      <c r="V168" s="1838">
        <f t="shared" si="53"/>
        <v>0</v>
      </c>
      <c r="W168" s="1840"/>
      <c r="X168" s="1838">
        <f t="shared" si="54"/>
        <v>0</v>
      </c>
      <c r="Y168" s="1838">
        <f t="shared" si="55"/>
        <v>0</v>
      </c>
      <c r="Z168" s="1840"/>
    </row>
    <row r="169" spans="1:26">
      <c r="A169" s="1770"/>
      <c r="B169" s="1771"/>
      <c r="C169" s="1762">
        <f t="shared" si="44"/>
        <v>1</v>
      </c>
      <c r="D169" s="1769"/>
      <c r="E169" s="1762">
        <f t="shared" si="45"/>
        <v>1</v>
      </c>
      <c r="F169" s="1769"/>
      <c r="G169" s="1762">
        <f t="shared" si="46"/>
        <v>1</v>
      </c>
      <c r="H169" s="1769"/>
      <c r="I169" s="1762">
        <f t="shared" si="47"/>
        <v>1</v>
      </c>
      <c r="J169" s="1769"/>
      <c r="K169" s="1762">
        <f t="shared" si="48"/>
        <v>1</v>
      </c>
      <c r="L169" s="1769"/>
      <c r="M169" s="1762">
        <f t="shared" si="49"/>
        <v>1</v>
      </c>
      <c r="N169" s="1769"/>
      <c r="O169" s="1762">
        <f t="shared" si="50"/>
        <v>1</v>
      </c>
      <c r="P169" s="1769"/>
      <c r="Q169" s="1762">
        <f t="shared" si="51"/>
        <v>1</v>
      </c>
      <c r="R169" s="1833">
        <f ca="1" t="shared" si="56"/>
        <v>0</v>
      </c>
      <c r="S169" s="1716">
        <f ca="1" t="shared" si="57"/>
        <v>0</v>
      </c>
      <c r="T169" s="1768">
        <f ca="1" t="shared" si="58"/>
        <v>0</v>
      </c>
      <c r="U169" s="1838">
        <f t="shared" si="52"/>
        <v>0</v>
      </c>
      <c r="V169" s="1838">
        <f t="shared" si="53"/>
        <v>0</v>
      </c>
      <c r="W169" s="1840"/>
      <c r="X169" s="1838">
        <f t="shared" si="54"/>
        <v>0</v>
      </c>
      <c r="Y169" s="1838">
        <f t="shared" si="55"/>
        <v>0</v>
      </c>
      <c r="Z169" s="1840"/>
    </row>
    <row r="170" spans="1:26">
      <c r="A170" s="1770"/>
      <c r="B170" s="1771"/>
      <c r="C170" s="1762">
        <f t="shared" si="44"/>
        <v>1</v>
      </c>
      <c r="D170" s="1769"/>
      <c r="E170" s="1762">
        <f t="shared" si="45"/>
        <v>1</v>
      </c>
      <c r="F170" s="1769"/>
      <c r="G170" s="1762">
        <f t="shared" si="46"/>
        <v>1</v>
      </c>
      <c r="H170" s="1769"/>
      <c r="I170" s="1762">
        <f t="shared" si="47"/>
        <v>1</v>
      </c>
      <c r="J170" s="1769"/>
      <c r="K170" s="1762">
        <f t="shared" si="48"/>
        <v>1</v>
      </c>
      <c r="L170" s="1769"/>
      <c r="M170" s="1762">
        <f t="shared" si="49"/>
        <v>1</v>
      </c>
      <c r="N170" s="1769"/>
      <c r="O170" s="1762">
        <f t="shared" si="50"/>
        <v>1</v>
      </c>
      <c r="P170" s="1769"/>
      <c r="Q170" s="1762">
        <f t="shared" si="51"/>
        <v>1</v>
      </c>
      <c r="R170" s="1833">
        <f ca="1" t="shared" si="56"/>
        <v>0</v>
      </c>
      <c r="S170" s="1716">
        <f ca="1" t="shared" si="57"/>
        <v>0</v>
      </c>
      <c r="T170" s="1768">
        <f ca="1" t="shared" si="58"/>
        <v>0</v>
      </c>
      <c r="U170" s="1838">
        <f t="shared" si="52"/>
        <v>0</v>
      </c>
      <c r="V170" s="1838">
        <f t="shared" si="53"/>
        <v>0</v>
      </c>
      <c r="W170" s="1840"/>
      <c r="X170" s="1838">
        <f t="shared" si="54"/>
        <v>0</v>
      </c>
      <c r="Y170" s="1838">
        <f t="shared" si="55"/>
        <v>0</v>
      </c>
      <c r="Z170" s="1840"/>
    </row>
    <row r="171" spans="1:26">
      <c r="A171" s="1770"/>
      <c r="B171" s="1771"/>
      <c r="C171" s="1762">
        <f t="shared" si="44"/>
        <v>1</v>
      </c>
      <c r="D171" s="1769"/>
      <c r="E171" s="1762">
        <f t="shared" si="45"/>
        <v>1</v>
      </c>
      <c r="F171" s="1769"/>
      <c r="G171" s="1762">
        <f t="shared" si="46"/>
        <v>1</v>
      </c>
      <c r="H171" s="1769"/>
      <c r="I171" s="1762">
        <f t="shared" si="47"/>
        <v>1</v>
      </c>
      <c r="J171" s="1769"/>
      <c r="K171" s="1762">
        <f t="shared" si="48"/>
        <v>1</v>
      </c>
      <c r="L171" s="1769"/>
      <c r="M171" s="1762">
        <f t="shared" si="49"/>
        <v>1</v>
      </c>
      <c r="N171" s="1769"/>
      <c r="O171" s="1762">
        <f t="shared" si="50"/>
        <v>1</v>
      </c>
      <c r="P171" s="1769"/>
      <c r="Q171" s="1762">
        <f t="shared" si="51"/>
        <v>1</v>
      </c>
      <c r="R171" s="1833">
        <f ca="1" t="shared" si="56"/>
        <v>0</v>
      </c>
      <c r="S171" s="1716">
        <f ca="1" t="shared" si="57"/>
        <v>0</v>
      </c>
      <c r="T171" s="1768">
        <f ca="1" t="shared" si="58"/>
        <v>0</v>
      </c>
      <c r="U171" s="1838">
        <f t="shared" si="52"/>
        <v>0</v>
      </c>
      <c r="V171" s="1838">
        <f t="shared" si="53"/>
        <v>0</v>
      </c>
      <c r="W171" s="1840"/>
      <c r="X171" s="1838">
        <f t="shared" si="54"/>
        <v>0</v>
      </c>
      <c r="Y171" s="1838">
        <f t="shared" si="55"/>
        <v>0</v>
      </c>
      <c r="Z171" s="1840"/>
    </row>
    <row r="172" spans="1:26">
      <c r="A172" s="1770"/>
      <c r="B172" s="1771"/>
      <c r="C172" s="1762">
        <f t="shared" si="44"/>
        <v>1</v>
      </c>
      <c r="D172" s="1769"/>
      <c r="E172" s="1762">
        <f t="shared" si="45"/>
        <v>1</v>
      </c>
      <c r="F172" s="1769"/>
      <c r="G172" s="1762">
        <f t="shared" si="46"/>
        <v>1</v>
      </c>
      <c r="H172" s="1769"/>
      <c r="I172" s="1762">
        <f t="shared" si="47"/>
        <v>1</v>
      </c>
      <c r="J172" s="1769"/>
      <c r="K172" s="1762">
        <f t="shared" si="48"/>
        <v>1</v>
      </c>
      <c r="L172" s="1769"/>
      <c r="M172" s="1762">
        <f t="shared" si="49"/>
        <v>1</v>
      </c>
      <c r="N172" s="1769"/>
      <c r="O172" s="1762">
        <f t="shared" si="50"/>
        <v>1</v>
      </c>
      <c r="P172" s="1769"/>
      <c r="Q172" s="1762">
        <f t="shared" si="51"/>
        <v>1</v>
      </c>
      <c r="R172" s="1833">
        <f ca="1" t="shared" si="56"/>
        <v>0</v>
      </c>
      <c r="S172" s="1716">
        <f ca="1" t="shared" si="57"/>
        <v>0</v>
      </c>
      <c r="T172" s="1768">
        <f ca="1" t="shared" si="58"/>
        <v>0</v>
      </c>
      <c r="U172" s="1838">
        <f t="shared" si="52"/>
        <v>0</v>
      </c>
      <c r="V172" s="1838">
        <f t="shared" si="53"/>
        <v>0</v>
      </c>
      <c r="W172" s="1840"/>
      <c r="X172" s="1838">
        <f t="shared" si="54"/>
        <v>0</v>
      </c>
      <c r="Y172" s="1838">
        <f t="shared" si="55"/>
        <v>0</v>
      </c>
      <c r="Z172" s="1840"/>
    </row>
    <row r="173" spans="1:26">
      <c r="A173" s="1770"/>
      <c r="B173" s="1771"/>
      <c r="C173" s="1762">
        <f t="shared" si="44"/>
        <v>1</v>
      </c>
      <c r="D173" s="1769"/>
      <c r="E173" s="1762">
        <f t="shared" si="45"/>
        <v>1</v>
      </c>
      <c r="F173" s="1769"/>
      <c r="G173" s="1762">
        <f t="shared" si="46"/>
        <v>1</v>
      </c>
      <c r="H173" s="1769"/>
      <c r="I173" s="1762">
        <f t="shared" si="47"/>
        <v>1</v>
      </c>
      <c r="J173" s="1769"/>
      <c r="K173" s="1762">
        <f t="shared" si="48"/>
        <v>1</v>
      </c>
      <c r="L173" s="1769"/>
      <c r="M173" s="1762">
        <f t="shared" si="49"/>
        <v>1</v>
      </c>
      <c r="N173" s="1769"/>
      <c r="O173" s="1762">
        <f t="shared" si="50"/>
        <v>1</v>
      </c>
      <c r="P173" s="1769"/>
      <c r="Q173" s="1762">
        <f t="shared" si="51"/>
        <v>1</v>
      </c>
      <c r="R173" s="1833">
        <f ca="1" t="shared" si="56"/>
        <v>0</v>
      </c>
      <c r="S173" s="1716">
        <f ca="1" t="shared" si="57"/>
        <v>0</v>
      </c>
      <c r="T173" s="1768">
        <f ca="1" t="shared" si="58"/>
        <v>0</v>
      </c>
      <c r="U173" s="1838">
        <f t="shared" si="52"/>
        <v>0</v>
      </c>
      <c r="V173" s="1838">
        <f t="shared" si="53"/>
        <v>0</v>
      </c>
      <c r="W173" s="1840"/>
      <c r="X173" s="1838">
        <f t="shared" si="54"/>
        <v>0</v>
      </c>
      <c r="Y173" s="1838">
        <f t="shared" si="55"/>
        <v>0</v>
      </c>
      <c r="Z173" s="1840"/>
    </row>
    <row r="174" spans="1:26">
      <c r="A174" s="1770"/>
      <c r="B174" s="1771"/>
      <c r="C174" s="1762">
        <f t="shared" si="44"/>
        <v>1</v>
      </c>
      <c r="D174" s="1769"/>
      <c r="E174" s="1762">
        <f t="shared" si="45"/>
        <v>1</v>
      </c>
      <c r="F174" s="1769"/>
      <c r="G174" s="1762">
        <f t="shared" si="46"/>
        <v>1</v>
      </c>
      <c r="H174" s="1769"/>
      <c r="I174" s="1762">
        <f t="shared" si="47"/>
        <v>1</v>
      </c>
      <c r="J174" s="1769"/>
      <c r="K174" s="1762">
        <f t="shared" si="48"/>
        <v>1</v>
      </c>
      <c r="L174" s="1769"/>
      <c r="M174" s="1762">
        <f t="shared" si="49"/>
        <v>1</v>
      </c>
      <c r="N174" s="1769"/>
      <c r="O174" s="1762">
        <f t="shared" si="50"/>
        <v>1</v>
      </c>
      <c r="P174" s="1769"/>
      <c r="Q174" s="1762">
        <f t="shared" si="51"/>
        <v>1</v>
      </c>
      <c r="R174" s="1833">
        <f ca="1" t="shared" si="56"/>
        <v>0</v>
      </c>
      <c r="S174" s="1716">
        <f ca="1" t="shared" si="57"/>
        <v>0</v>
      </c>
      <c r="T174" s="1768">
        <f ca="1" t="shared" si="58"/>
        <v>0</v>
      </c>
      <c r="U174" s="1838">
        <f t="shared" si="52"/>
        <v>0</v>
      </c>
      <c r="V174" s="1838">
        <f t="shared" si="53"/>
        <v>0</v>
      </c>
      <c r="W174" s="1840"/>
      <c r="X174" s="1838">
        <f t="shared" si="54"/>
        <v>0</v>
      </c>
      <c r="Y174" s="1838">
        <f t="shared" si="55"/>
        <v>0</v>
      </c>
      <c r="Z174" s="1840"/>
    </row>
    <row r="175" spans="1:26">
      <c r="A175" s="1770"/>
      <c r="B175" s="1771"/>
      <c r="C175" s="1762">
        <f t="shared" si="44"/>
        <v>1</v>
      </c>
      <c r="D175" s="1769"/>
      <c r="E175" s="1762">
        <f t="shared" si="45"/>
        <v>1</v>
      </c>
      <c r="F175" s="1769"/>
      <c r="G175" s="1762">
        <f t="shared" si="46"/>
        <v>1</v>
      </c>
      <c r="H175" s="1769"/>
      <c r="I175" s="1762">
        <f t="shared" si="47"/>
        <v>1</v>
      </c>
      <c r="J175" s="1769"/>
      <c r="K175" s="1762">
        <f t="shared" si="48"/>
        <v>1</v>
      </c>
      <c r="L175" s="1769"/>
      <c r="M175" s="1762">
        <f t="shared" si="49"/>
        <v>1</v>
      </c>
      <c r="N175" s="1769"/>
      <c r="O175" s="1762">
        <f t="shared" si="50"/>
        <v>1</v>
      </c>
      <c r="P175" s="1769"/>
      <c r="Q175" s="1762">
        <f t="shared" si="51"/>
        <v>1</v>
      </c>
      <c r="R175" s="1833">
        <f ca="1" t="shared" si="56"/>
        <v>0</v>
      </c>
      <c r="S175" s="1716">
        <f ca="1" t="shared" si="57"/>
        <v>0</v>
      </c>
      <c r="T175" s="1768">
        <f ca="1" t="shared" si="58"/>
        <v>0</v>
      </c>
      <c r="U175" s="1838">
        <f t="shared" si="52"/>
        <v>0</v>
      </c>
      <c r="V175" s="1838">
        <f t="shared" si="53"/>
        <v>0</v>
      </c>
      <c r="W175" s="1840"/>
      <c r="X175" s="1838">
        <f t="shared" si="54"/>
        <v>0</v>
      </c>
      <c r="Y175" s="1838">
        <f t="shared" si="55"/>
        <v>0</v>
      </c>
      <c r="Z175" s="1840"/>
    </row>
    <row r="176" spans="1:26">
      <c r="A176" s="1770"/>
      <c r="B176" s="1771"/>
      <c r="C176" s="1762">
        <f t="shared" si="44"/>
        <v>1</v>
      </c>
      <c r="D176" s="1769"/>
      <c r="E176" s="1762">
        <f t="shared" si="45"/>
        <v>1</v>
      </c>
      <c r="F176" s="1769"/>
      <c r="G176" s="1762">
        <f t="shared" si="46"/>
        <v>1</v>
      </c>
      <c r="H176" s="1769"/>
      <c r="I176" s="1762">
        <f t="shared" si="47"/>
        <v>1</v>
      </c>
      <c r="J176" s="1769"/>
      <c r="K176" s="1762">
        <f t="shared" si="48"/>
        <v>1</v>
      </c>
      <c r="L176" s="1769"/>
      <c r="M176" s="1762">
        <f t="shared" si="49"/>
        <v>1</v>
      </c>
      <c r="N176" s="1769"/>
      <c r="O176" s="1762">
        <f t="shared" si="50"/>
        <v>1</v>
      </c>
      <c r="P176" s="1769"/>
      <c r="Q176" s="1762">
        <f t="shared" si="51"/>
        <v>1</v>
      </c>
      <c r="R176" s="1833">
        <f ca="1" t="shared" si="56"/>
        <v>0</v>
      </c>
      <c r="S176" s="1716">
        <f ca="1" t="shared" si="57"/>
        <v>0</v>
      </c>
      <c r="T176" s="1768">
        <f ca="1" t="shared" si="58"/>
        <v>0</v>
      </c>
      <c r="U176" s="1838">
        <f t="shared" si="52"/>
        <v>0</v>
      </c>
      <c r="V176" s="1838">
        <f t="shared" si="53"/>
        <v>0</v>
      </c>
      <c r="W176" s="1840"/>
      <c r="X176" s="1838">
        <f t="shared" si="54"/>
        <v>0</v>
      </c>
      <c r="Y176" s="1838">
        <f t="shared" si="55"/>
        <v>0</v>
      </c>
      <c r="Z176" s="1840"/>
    </row>
    <row r="177" spans="1:26">
      <c r="A177" s="1770"/>
      <c r="B177" s="1771"/>
      <c r="C177" s="1762">
        <f t="shared" si="44"/>
        <v>1</v>
      </c>
      <c r="D177" s="1769"/>
      <c r="E177" s="1762">
        <f t="shared" si="45"/>
        <v>1</v>
      </c>
      <c r="F177" s="1769"/>
      <c r="G177" s="1762">
        <f t="shared" si="46"/>
        <v>1</v>
      </c>
      <c r="H177" s="1769"/>
      <c r="I177" s="1762">
        <f t="shared" si="47"/>
        <v>1</v>
      </c>
      <c r="J177" s="1769"/>
      <c r="K177" s="1762">
        <f t="shared" si="48"/>
        <v>1</v>
      </c>
      <c r="L177" s="1769"/>
      <c r="M177" s="1762">
        <f t="shared" si="49"/>
        <v>1</v>
      </c>
      <c r="N177" s="1769"/>
      <c r="O177" s="1762">
        <f t="shared" si="50"/>
        <v>1</v>
      </c>
      <c r="P177" s="1769"/>
      <c r="Q177" s="1762">
        <f t="shared" si="51"/>
        <v>1</v>
      </c>
      <c r="R177" s="1833">
        <f ca="1" t="shared" si="56"/>
        <v>0</v>
      </c>
      <c r="S177" s="1716">
        <f ca="1" t="shared" si="57"/>
        <v>0</v>
      </c>
      <c r="T177" s="1768">
        <f ca="1" t="shared" si="58"/>
        <v>0</v>
      </c>
      <c r="U177" s="1838">
        <f t="shared" si="52"/>
        <v>0</v>
      </c>
      <c r="V177" s="1838">
        <f t="shared" si="53"/>
        <v>0</v>
      </c>
      <c r="W177" s="1840"/>
      <c r="X177" s="1838">
        <f t="shared" si="54"/>
        <v>0</v>
      </c>
      <c r="Y177" s="1838">
        <f t="shared" si="55"/>
        <v>0</v>
      </c>
      <c r="Z177" s="1840"/>
    </row>
    <row r="178" spans="1:26">
      <c r="A178" s="1770"/>
      <c r="B178" s="1771"/>
      <c r="C178" s="1762">
        <f t="shared" si="44"/>
        <v>1</v>
      </c>
      <c r="D178" s="1769"/>
      <c r="E178" s="1762">
        <f t="shared" si="45"/>
        <v>1</v>
      </c>
      <c r="F178" s="1769"/>
      <c r="G178" s="1762">
        <f t="shared" si="46"/>
        <v>1</v>
      </c>
      <c r="H178" s="1769"/>
      <c r="I178" s="1762">
        <f t="shared" si="47"/>
        <v>1</v>
      </c>
      <c r="J178" s="1769"/>
      <c r="K178" s="1762">
        <f t="shared" si="48"/>
        <v>1</v>
      </c>
      <c r="L178" s="1769"/>
      <c r="M178" s="1762">
        <f t="shared" si="49"/>
        <v>1</v>
      </c>
      <c r="N178" s="1769"/>
      <c r="O178" s="1762">
        <f t="shared" si="50"/>
        <v>1</v>
      </c>
      <c r="P178" s="1769"/>
      <c r="Q178" s="1762">
        <f t="shared" si="51"/>
        <v>1</v>
      </c>
      <c r="R178" s="1833">
        <f ca="1" t="shared" si="56"/>
        <v>0</v>
      </c>
      <c r="S178" s="1716">
        <f ca="1" t="shared" si="57"/>
        <v>0</v>
      </c>
      <c r="T178" s="1768">
        <f ca="1" t="shared" si="58"/>
        <v>0</v>
      </c>
      <c r="U178" s="1838">
        <f t="shared" si="52"/>
        <v>0</v>
      </c>
      <c r="V178" s="1838">
        <f t="shared" si="53"/>
        <v>0</v>
      </c>
      <c r="W178" s="1840"/>
      <c r="X178" s="1838">
        <f t="shared" si="54"/>
        <v>0</v>
      </c>
      <c r="Y178" s="1838">
        <f t="shared" si="55"/>
        <v>0</v>
      </c>
      <c r="Z178" s="1840"/>
    </row>
    <row r="179" spans="1:26">
      <c r="A179" s="1770"/>
      <c r="B179" s="1771"/>
      <c r="C179" s="1762">
        <f t="shared" si="44"/>
        <v>1</v>
      </c>
      <c r="D179" s="1769"/>
      <c r="E179" s="1762">
        <f t="shared" si="45"/>
        <v>1</v>
      </c>
      <c r="F179" s="1769"/>
      <c r="G179" s="1762">
        <f t="shared" si="46"/>
        <v>1</v>
      </c>
      <c r="H179" s="1769"/>
      <c r="I179" s="1762">
        <f t="shared" si="47"/>
        <v>1</v>
      </c>
      <c r="J179" s="1769"/>
      <c r="K179" s="1762">
        <f t="shared" si="48"/>
        <v>1</v>
      </c>
      <c r="L179" s="1769"/>
      <c r="M179" s="1762">
        <f t="shared" si="49"/>
        <v>1</v>
      </c>
      <c r="N179" s="1769"/>
      <c r="O179" s="1762">
        <f t="shared" si="50"/>
        <v>1</v>
      </c>
      <c r="P179" s="1769"/>
      <c r="Q179" s="1762">
        <f t="shared" si="51"/>
        <v>1</v>
      </c>
      <c r="R179" s="1833">
        <f ca="1" t="shared" si="56"/>
        <v>0</v>
      </c>
      <c r="S179" s="1716">
        <f ca="1" t="shared" si="57"/>
        <v>0</v>
      </c>
      <c r="T179" s="1768">
        <f ca="1" t="shared" si="58"/>
        <v>0</v>
      </c>
      <c r="U179" s="1838">
        <f t="shared" si="52"/>
        <v>0</v>
      </c>
      <c r="V179" s="1838">
        <f t="shared" si="53"/>
        <v>0</v>
      </c>
      <c r="W179" s="1840"/>
      <c r="X179" s="1838">
        <f t="shared" si="54"/>
        <v>0</v>
      </c>
      <c r="Y179" s="1838">
        <f t="shared" si="55"/>
        <v>0</v>
      </c>
      <c r="Z179" s="1840"/>
    </row>
    <row r="180" spans="1:26">
      <c r="A180" s="1770"/>
      <c r="B180" s="1771"/>
      <c r="C180" s="1762">
        <f t="shared" si="44"/>
        <v>1</v>
      </c>
      <c r="D180" s="1769"/>
      <c r="E180" s="1762">
        <f t="shared" si="45"/>
        <v>1</v>
      </c>
      <c r="F180" s="1769"/>
      <c r="G180" s="1762">
        <f t="shared" si="46"/>
        <v>1</v>
      </c>
      <c r="H180" s="1769"/>
      <c r="I180" s="1762">
        <f t="shared" si="47"/>
        <v>1</v>
      </c>
      <c r="J180" s="1769"/>
      <c r="K180" s="1762">
        <f t="shared" si="48"/>
        <v>1</v>
      </c>
      <c r="L180" s="1769"/>
      <c r="M180" s="1762">
        <f t="shared" si="49"/>
        <v>1</v>
      </c>
      <c r="N180" s="1769"/>
      <c r="O180" s="1762">
        <f t="shared" si="50"/>
        <v>1</v>
      </c>
      <c r="P180" s="1769"/>
      <c r="Q180" s="1762">
        <f t="shared" si="51"/>
        <v>1</v>
      </c>
      <c r="R180" s="1833">
        <f ca="1" t="shared" si="56"/>
        <v>0</v>
      </c>
      <c r="S180" s="1716">
        <f ca="1" t="shared" si="57"/>
        <v>0</v>
      </c>
      <c r="T180" s="1768">
        <f ca="1" t="shared" si="58"/>
        <v>0</v>
      </c>
      <c r="U180" s="1838">
        <f t="shared" si="52"/>
        <v>0</v>
      </c>
      <c r="V180" s="1838">
        <f t="shared" si="53"/>
        <v>0</v>
      </c>
      <c r="W180" s="1840"/>
      <c r="X180" s="1838">
        <f t="shared" si="54"/>
        <v>0</v>
      </c>
      <c r="Y180" s="1838">
        <f t="shared" si="55"/>
        <v>0</v>
      </c>
      <c r="Z180" s="1840"/>
    </row>
    <row r="181" spans="1:26">
      <c r="A181" s="1770"/>
      <c r="B181" s="1771"/>
      <c r="C181" s="1762">
        <f t="shared" si="44"/>
        <v>1</v>
      </c>
      <c r="D181" s="1769"/>
      <c r="E181" s="1762">
        <f t="shared" si="45"/>
        <v>1</v>
      </c>
      <c r="F181" s="1769"/>
      <c r="G181" s="1762">
        <f t="shared" si="46"/>
        <v>1</v>
      </c>
      <c r="H181" s="1769"/>
      <c r="I181" s="1762">
        <f t="shared" si="47"/>
        <v>1</v>
      </c>
      <c r="J181" s="1769"/>
      <c r="K181" s="1762">
        <f t="shared" si="48"/>
        <v>1</v>
      </c>
      <c r="L181" s="1769"/>
      <c r="M181" s="1762">
        <f t="shared" si="49"/>
        <v>1</v>
      </c>
      <c r="N181" s="1769"/>
      <c r="O181" s="1762">
        <f t="shared" si="50"/>
        <v>1</v>
      </c>
      <c r="P181" s="1769"/>
      <c r="Q181" s="1762">
        <f t="shared" si="51"/>
        <v>1</v>
      </c>
      <c r="R181" s="1833">
        <f ca="1" t="shared" si="56"/>
        <v>0</v>
      </c>
      <c r="S181" s="1716">
        <f ca="1" t="shared" si="57"/>
        <v>0</v>
      </c>
      <c r="T181" s="1768">
        <f ca="1" t="shared" si="58"/>
        <v>0</v>
      </c>
      <c r="U181" s="1838">
        <f t="shared" si="52"/>
        <v>0</v>
      </c>
      <c r="V181" s="1838">
        <f t="shared" si="53"/>
        <v>0</v>
      </c>
      <c r="W181" s="1840"/>
      <c r="X181" s="1838">
        <f t="shared" si="54"/>
        <v>0</v>
      </c>
      <c r="Y181" s="1838">
        <f t="shared" si="55"/>
        <v>0</v>
      </c>
      <c r="Z181" s="1840"/>
    </row>
    <row r="182" spans="1:26">
      <c r="A182" s="1770"/>
      <c r="B182" s="1771"/>
      <c r="C182" s="1762">
        <f t="shared" si="44"/>
        <v>1</v>
      </c>
      <c r="D182" s="1769"/>
      <c r="E182" s="1762">
        <f t="shared" si="45"/>
        <v>1</v>
      </c>
      <c r="F182" s="1769"/>
      <c r="G182" s="1762">
        <f t="shared" si="46"/>
        <v>1</v>
      </c>
      <c r="H182" s="1769"/>
      <c r="I182" s="1762">
        <f t="shared" si="47"/>
        <v>1</v>
      </c>
      <c r="J182" s="1769"/>
      <c r="K182" s="1762">
        <f t="shared" si="48"/>
        <v>1</v>
      </c>
      <c r="L182" s="1769"/>
      <c r="M182" s="1762">
        <f t="shared" si="49"/>
        <v>1</v>
      </c>
      <c r="N182" s="1769"/>
      <c r="O182" s="1762">
        <f t="shared" si="50"/>
        <v>1</v>
      </c>
      <c r="P182" s="1769"/>
      <c r="Q182" s="1762">
        <f t="shared" si="51"/>
        <v>1</v>
      </c>
      <c r="R182" s="1833">
        <f ca="1" t="shared" si="56"/>
        <v>0</v>
      </c>
      <c r="S182" s="1716">
        <f ca="1" t="shared" si="57"/>
        <v>0</v>
      </c>
      <c r="T182" s="1768">
        <f ca="1" t="shared" si="58"/>
        <v>0</v>
      </c>
      <c r="U182" s="1838">
        <f t="shared" si="52"/>
        <v>0</v>
      </c>
      <c r="V182" s="1838">
        <f t="shared" si="53"/>
        <v>0</v>
      </c>
      <c r="W182" s="1840"/>
      <c r="X182" s="1838">
        <f t="shared" si="54"/>
        <v>0</v>
      </c>
      <c r="Y182" s="1838">
        <f t="shared" si="55"/>
        <v>0</v>
      </c>
      <c r="Z182" s="1840"/>
    </row>
    <row r="183" spans="1:26">
      <c r="A183" s="1770"/>
      <c r="B183" s="1771"/>
      <c r="C183" s="1762">
        <f t="shared" si="44"/>
        <v>1</v>
      </c>
      <c r="D183" s="1769"/>
      <c r="E183" s="1762">
        <f t="shared" si="45"/>
        <v>1</v>
      </c>
      <c r="F183" s="1769"/>
      <c r="G183" s="1762">
        <f t="shared" si="46"/>
        <v>1</v>
      </c>
      <c r="H183" s="1769"/>
      <c r="I183" s="1762">
        <f t="shared" si="47"/>
        <v>1</v>
      </c>
      <c r="J183" s="1769"/>
      <c r="K183" s="1762">
        <f t="shared" si="48"/>
        <v>1</v>
      </c>
      <c r="L183" s="1769"/>
      <c r="M183" s="1762">
        <f t="shared" si="49"/>
        <v>1</v>
      </c>
      <c r="N183" s="1769"/>
      <c r="O183" s="1762">
        <f t="shared" si="50"/>
        <v>1</v>
      </c>
      <c r="P183" s="1769"/>
      <c r="Q183" s="1762">
        <f t="shared" si="51"/>
        <v>1</v>
      </c>
      <c r="R183" s="1833">
        <f ca="1" t="shared" si="56"/>
        <v>0</v>
      </c>
      <c r="S183" s="1716">
        <f ca="1" t="shared" si="57"/>
        <v>0</v>
      </c>
      <c r="T183" s="1768">
        <f ca="1" t="shared" si="58"/>
        <v>0</v>
      </c>
      <c r="U183" s="1838">
        <f t="shared" si="52"/>
        <v>0</v>
      </c>
      <c r="V183" s="1838">
        <f t="shared" si="53"/>
        <v>0</v>
      </c>
      <c r="W183" s="1840"/>
      <c r="X183" s="1838">
        <f t="shared" si="54"/>
        <v>0</v>
      </c>
      <c r="Y183" s="1838">
        <f t="shared" si="55"/>
        <v>0</v>
      </c>
      <c r="Z183" s="1840"/>
    </row>
    <row r="184" spans="1:26">
      <c r="A184" s="1770"/>
      <c r="B184" s="1771"/>
      <c r="C184" s="1762">
        <f t="shared" si="44"/>
        <v>1</v>
      </c>
      <c r="D184" s="1769"/>
      <c r="E184" s="1762">
        <f t="shared" si="45"/>
        <v>1</v>
      </c>
      <c r="F184" s="1769"/>
      <c r="G184" s="1762">
        <f t="shared" si="46"/>
        <v>1</v>
      </c>
      <c r="H184" s="1769"/>
      <c r="I184" s="1762">
        <f t="shared" si="47"/>
        <v>1</v>
      </c>
      <c r="J184" s="1769"/>
      <c r="K184" s="1762">
        <f t="shared" si="48"/>
        <v>1</v>
      </c>
      <c r="L184" s="1769"/>
      <c r="M184" s="1762">
        <f t="shared" si="49"/>
        <v>1</v>
      </c>
      <c r="N184" s="1769"/>
      <c r="O184" s="1762">
        <f t="shared" si="50"/>
        <v>1</v>
      </c>
      <c r="P184" s="1769"/>
      <c r="Q184" s="1762">
        <f t="shared" si="51"/>
        <v>1</v>
      </c>
      <c r="R184" s="1833">
        <f ca="1" t="shared" si="56"/>
        <v>0</v>
      </c>
      <c r="S184" s="1716">
        <f ca="1" t="shared" si="57"/>
        <v>0</v>
      </c>
      <c r="T184" s="1768">
        <f ca="1" t="shared" si="58"/>
        <v>0</v>
      </c>
      <c r="U184" s="1838">
        <f t="shared" si="52"/>
        <v>0</v>
      </c>
      <c r="V184" s="1838">
        <f t="shared" si="53"/>
        <v>0</v>
      </c>
      <c r="W184" s="1840"/>
      <c r="X184" s="1838">
        <f t="shared" si="54"/>
        <v>0</v>
      </c>
      <c r="Y184" s="1838">
        <f t="shared" si="55"/>
        <v>0</v>
      </c>
      <c r="Z184" s="1840"/>
    </row>
    <row r="185" spans="1:26">
      <c r="A185" s="1770"/>
      <c r="B185" s="1771"/>
      <c r="C185" s="1762">
        <f t="shared" si="44"/>
        <v>1</v>
      </c>
      <c r="D185" s="1769"/>
      <c r="E185" s="1762">
        <f t="shared" si="45"/>
        <v>1</v>
      </c>
      <c r="F185" s="1769"/>
      <c r="G185" s="1762">
        <f t="shared" si="46"/>
        <v>1</v>
      </c>
      <c r="H185" s="1769"/>
      <c r="I185" s="1762">
        <f t="shared" si="47"/>
        <v>1</v>
      </c>
      <c r="J185" s="1769"/>
      <c r="K185" s="1762">
        <f t="shared" si="48"/>
        <v>1</v>
      </c>
      <c r="L185" s="1769"/>
      <c r="M185" s="1762">
        <f t="shared" si="49"/>
        <v>1</v>
      </c>
      <c r="N185" s="1769"/>
      <c r="O185" s="1762">
        <f t="shared" si="50"/>
        <v>1</v>
      </c>
      <c r="P185" s="1769"/>
      <c r="Q185" s="1762">
        <f t="shared" si="51"/>
        <v>1</v>
      </c>
      <c r="R185" s="1833">
        <f ca="1" t="shared" si="56"/>
        <v>0</v>
      </c>
      <c r="S185" s="1716">
        <f ca="1" t="shared" si="57"/>
        <v>0</v>
      </c>
      <c r="T185" s="1768">
        <f ca="1" t="shared" si="58"/>
        <v>0</v>
      </c>
      <c r="U185" s="1838">
        <f t="shared" si="52"/>
        <v>0</v>
      </c>
      <c r="V185" s="1838">
        <f t="shared" si="53"/>
        <v>0</v>
      </c>
      <c r="W185" s="1840"/>
      <c r="X185" s="1838">
        <f t="shared" si="54"/>
        <v>0</v>
      </c>
      <c r="Y185" s="1838">
        <f t="shared" si="55"/>
        <v>0</v>
      </c>
      <c r="Z185" s="1840"/>
    </row>
    <row r="186" spans="1:26">
      <c r="A186" s="1770"/>
      <c r="B186" s="1771"/>
      <c r="C186" s="1762">
        <f t="shared" si="44"/>
        <v>1</v>
      </c>
      <c r="D186" s="1769"/>
      <c r="E186" s="1762">
        <f t="shared" si="45"/>
        <v>1</v>
      </c>
      <c r="F186" s="1769"/>
      <c r="G186" s="1762">
        <f t="shared" si="46"/>
        <v>1</v>
      </c>
      <c r="H186" s="1769"/>
      <c r="I186" s="1762">
        <f t="shared" si="47"/>
        <v>1</v>
      </c>
      <c r="J186" s="1769"/>
      <c r="K186" s="1762">
        <f t="shared" si="48"/>
        <v>1</v>
      </c>
      <c r="L186" s="1769"/>
      <c r="M186" s="1762">
        <f t="shared" si="49"/>
        <v>1</v>
      </c>
      <c r="N186" s="1769"/>
      <c r="O186" s="1762">
        <f t="shared" si="50"/>
        <v>1</v>
      </c>
      <c r="P186" s="1769"/>
      <c r="Q186" s="1762">
        <f t="shared" si="51"/>
        <v>1</v>
      </c>
      <c r="R186" s="1833">
        <f ca="1" t="shared" si="56"/>
        <v>0</v>
      </c>
      <c r="S186" s="1716">
        <f ca="1" t="shared" si="57"/>
        <v>0</v>
      </c>
      <c r="T186" s="1768">
        <f ca="1" t="shared" si="58"/>
        <v>0</v>
      </c>
      <c r="U186" s="1838">
        <f t="shared" si="52"/>
        <v>0</v>
      </c>
      <c r="V186" s="1838">
        <f t="shared" si="53"/>
        <v>0</v>
      </c>
      <c r="W186" s="1840"/>
      <c r="X186" s="1838">
        <f t="shared" si="54"/>
        <v>0</v>
      </c>
      <c r="Y186" s="1838">
        <f t="shared" si="55"/>
        <v>0</v>
      </c>
      <c r="Z186" s="1840"/>
    </row>
    <row r="187" spans="1:26">
      <c r="A187" s="1770"/>
      <c r="B187" s="1771"/>
      <c r="C187" s="1762">
        <f t="shared" si="44"/>
        <v>1</v>
      </c>
      <c r="D187" s="1769"/>
      <c r="E187" s="1762">
        <f t="shared" si="45"/>
        <v>1</v>
      </c>
      <c r="F187" s="1769"/>
      <c r="G187" s="1762">
        <f t="shared" si="46"/>
        <v>1</v>
      </c>
      <c r="H187" s="1769"/>
      <c r="I187" s="1762">
        <f t="shared" si="47"/>
        <v>1</v>
      </c>
      <c r="J187" s="1769"/>
      <c r="K187" s="1762">
        <f t="shared" si="48"/>
        <v>1</v>
      </c>
      <c r="L187" s="1769"/>
      <c r="M187" s="1762">
        <f t="shared" si="49"/>
        <v>1</v>
      </c>
      <c r="N187" s="1769"/>
      <c r="O187" s="1762">
        <f t="shared" si="50"/>
        <v>1</v>
      </c>
      <c r="P187" s="1769"/>
      <c r="Q187" s="1762">
        <f t="shared" si="51"/>
        <v>1</v>
      </c>
      <c r="R187" s="1833">
        <f ca="1" t="shared" si="56"/>
        <v>0</v>
      </c>
      <c r="S187" s="1716">
        <f ca="1" t="shared" si="57"/>
        <v>0</v>
      </c>
      <c r="T187" s="1768">
        <f ca="1" t="shared" si="58"/>
        <v>0</v>
      </c>
      <c r="U187" s="1838">
        <f t="shared" si="52"/>
        <v>0</v>
      </c>
      <c r="V187" s="1838">
        <f t="shared" si="53"/>
        <v>0</v>
      </c>
      <c r="W187" s="1840"/>
      <c r="X187" s="1838">
        <f t="shared" si="54"/>
        <v>0</v>
      </c>
      <c r="Y187" s="1838">
        <f t="shared" si="55"/>
        <v>0</v>
      </c>
      <c r="Z187" s="1840"/>
    </row>
    <row r="188" spans="1:26">
      <c r="A188" s="1770"/>
      <c r="B188" s="1771"/>
      <c r="C188" s="1762">
        <f t="shared" si="44"/>
        <v>1</v>
      </c>
      <c r="D188" s="1769"/>
      <c r="E188" s="1762">
        <f t="shared" si="45"/>
        <v>1</v>
      </c>
      <c r="F188" s="1769"/>
      <c r="G188" s="1762">
        <f t="shared" si="46"/>
        <v>1</v>
      </c>
      <c r="H188" s="1769"/>
      <c r="I188" s="1762">
        <f t="shared" si="47"/>
        <v>1</v>
      </c>
      <c r="J188" s="1769"/>
      <c r="K188" s="1762">
        <f t="shared" si="48"/>
        <v>1</v>
      </c>
      <c r="L188" s="1769"/>
      <c r="M188" s="1762">
        <f t="shared" si="49"/>
        <v>1</v>
      </c>
      <c r="N188" s="1769"/>
      <c r="O188" s="1762">
        <f t="shared" si="50"/>
        <v>1</v>
      </c>
      <c r="P188" s="1769"/>
      <c r="Q188" s="1762">
        <f t="shared" si="51"/>
        <v>1</v>
      </c>
      <c r="R188" s="1833">
        <f ca="1" t="shared" si="56"/>
        <v>0</v>
      </c>
      <c r="S188" s="1716">
        <f ca="1" t="shared" si="57"/>
        <v>0</v>
      </c>
      <c r="T188" s="1768">
        <f ca="1" t="shared" si="58"/>
        <v>0</v>
      </c>
      <c r="U188" s="1838">
        <f t="shared" si="52"/>
        <v>0</v>
      </c>
      <c r="V188" s="1838">
        <f t="shared" si="53"/>
        <v>0</v>
      </c>
      <c r="W188" s="1840"/>
      <c r="X188" s="1838">
        <f t="shared" si="54"/>
        <v>0</v>
      </c>
      <c r="Y188" s="1838">
        <f t="shared" si="55"/>
        <v>0</v>
      </c>
      <c r="Z188" s="1840"/>
    </row>
    <row r="189" spans="1:26">
      <c r="A189" s="1770"/>
      <c r="B189" s="1771"/>
      <c r="C189" s="1762">
        <f t="shared" si="44"/>
        <v>1</v>
      </c>
      <c r="D189" s="1769"/>
      <c r="E189" s="1762">
        <f t="shared" si="45"/>
        <v>1</v>
      </c>
      <c r="F189" s="1769"/>
      <c r="G189" s="1762">
        <f t="shared" si="46"/>
        <v>1</v>
      </c>
      <c r="H189" s="1769"/>
      <c r="I189" s="1762">
        <f t="shared" si="47"/>
        <v>1</v>
      </c>
      <c r="J189" s="1769"/>
      <c r="K189" s="1762">
        <f t="shared" si="48"/>
        <v>1</v>
      </c>
      <c r="L189" s="1769"/>
      <c r="M189" s="1762">
        <f t="shared" si="49"/>
        <v>1</v>
      </c>
      <c r="N189" s="1769"/>
      <c r="O189" s="1762">
        <f t="shared" si="50"/>
        <v>1</v>
      </c>
      <c r="P189" s="1769"/>
      <c r="Q189" s="1762">
        <f t="shared" si="51"/>
        <v>1</v>
      </c>
      <c r="R189" s="1833">
        <f ca="1" t="shared" si="56"/>
        <v>0</v>
      </c>
      <c r="S189" s="1716">
        <f ca="1" t="shared" si="57"/>
        <v>0</v>
      </c>
      <c r="T189" s="1768">
        <f ca="1" t="shared" si="58"/>
        <v>0</v>
      </c>
      <c r="U189" s="1838">
        <f t="shared" si="52"/>
        <v>0</v>
      </c>
      <c r="V189" s="1838">
        <f t="shared" si="53"/>
        <v>0</v>
      </c>
      <c r="W189" s="1840"/>
      <c r="X189" s="1838">
        <f t="shared" si="54"/>
        <v>0</v>
      </c>
      <c r="Y189" s="1838">
        <f t="shared" si="55"/>
        <v>0</v>
      </c>
      <c r="Z189" s="1840"/>
    </row>
    <row r="190" spans="1:26">
      <c r="A190" s="1770"/>
      <c r="B190" s="1771"/>
      <c r="C190" s="1762">
        <f t="shared" si="44"/>
        <v>1</v>
      </c>
      <c r="D190" s="1769"/>
      <c r="E190" s="1762">
        <f t="shared" si="45"/>
        <v>1</v>
      </c>
      <c r="F190" s="1769"/>
      <c r="G190" s="1762">
        <f t="shared" si="46"/>
        <v>1</v>
      </c>
      <c r="H190" s="1769"/>
      <c r="I190" s="1762">
        <f t="shared" si="47"/>
        <v>1</v>
      </c>
      <c r="J190" s="1769"/>
      <c r="K190" s="1762">
        <f t="shared" si="48"/>
        <v>1</v>
      </c>
      <c r="L190" s="1769"/>
      <c r="M190" s="1762">
        <f t="shared" si="49"/>
        <v>1</v>
      </c>
      <c r="N190" s="1769"/>
      <c r="O190" s="1762">
        <f t="shared" si="50"/>
        <v>1</v>
      </c>
      <c r="P190" s="1769"/>
      <c r="Q190" s="1762">
        <f t="shared" si="51"/>
        <v>1</v>
      </c>
      <c r="R190" s="1833">
        <f ca="1" t="shared" si="56"/>
        <v>0</v>
      </c>
      <c r="S190" s="1716">
        <f ca="1" t="shared" si="57"/>
        <v>0</v>
      </c>
      <c r="T190" s="1768">
        <f ca="1" t="shared" si="58"/>
        <v>0</v>
      </c>
      <c r="U190" s="1838">
        <f t="shared" si="52"/>
        <v>0</v>
      </c>
      <c r="V190" s="1838">
        <f t="shared" si="53"/>
        <v>0</v>
      </c>
      <c r="W190" s="1840"/>
      <c r="X190" s="1838">
        <f t="shared" si="54"/>
        <v>0</v>
      </c>
      <c r="Y190" s="1838">
        <f t="shared" si="55"/>
        <v>0</v>
      </c>
      <c r="Z190" s="1840"/>
    </row>
    <row r="191" spans="1:26">
      <c r="A191" s="1770"/>
      <c r="B191" s="1771"/>
      <c r="C191" s="1762">
        <f t="shared" si="44"/>
        <v>1</v>
      </c>
      <c r="D191" s="1769"/>
      <c r="E191" s="1762">
        <f t="shared" si="45"/>
        <v>1</v>
      </c>
      <c r="F191" s="1769"/>
      <c r="G191" s="1762">
        <f t="shared" si="46"/>
        <v>1</v>
      </c>
      <c r="H191" s="1769"/>
      <c r="I191" s="1762">
        <f t="shared" si="47"/>
        <v>1</v>
      </c>
      <c r="J191" s="1769"/>
      <c r="K191" s="1762">
        <f t="shared" si="48"/>
        <v>1</v>
      </c>
      <c r="L191" s="1769"/>
      <c r="M191" s="1762">
        <f t="shared" si="49"/>
        <v>1</v>
      </c>
      <c r="N191" s="1769"/>
      <c r="O191" s="1762">
        <f t="shared" si="50"/>
        <v>1</v>
      </c>
      <c r="P191" s="1769"/>
      <c r="Q191" s="1762">
        <f t="shared" si="51"/>
        <v>1</v>
      </c>
      <c r="R191" s="1833">
        <f ca="1" t="shared" si="56"/>
        <v>0</v>
      </c>
      <c r="S191" s="1716">
        <f ca="1" t="shared" si="57"/>
        <v>0</v>
      </c>
      <c r="T191" s="1768">
        <f ca="1" t="shared" si="58"/>
        <v>0</v>
      </c>
      <c r="U191" s="1838">
        <f t="shared" si="52"/>
        <v>0</v>
      </c>
      <c r="V191" s="1838">
        <f t="shared" si="53"/>
        <v>0</v>
      </c>
      <c r="W191" s="1840"/>
      <c r="X191" s="1838">
        <f t="shared" si="54"/>
        <v>0</v>
      </c>
      <c r="Y191" s="1838">
        <f t="shared" si="55"/>
        <v>0</v>
      </c>
      <c r="Z191" s="1840"/>
    </row>
    <row r="192" spans="1:26">
      <c r="A192" s="1770"/>
      <c r="B192" s="1771"/>
      <c r="C192" s="1762">
        <f t="shared" si="44"/>
        <v>1</v>
      </c>
      <c r="D192" s="1769"/>
      <c r="E192" s="1762">
        <f t="shared" si="45"/>
        <v>1</v>
      </c>
      <c r="F192" s="1769"/>
      <c r="G192" s="1762">
        <f t="shared" si="46"/>
        <v>1</v>
      </c>
      <c r="H192" s="1769"/>
      <c r="I192" s="1762">
        <f t="shared" si="47"/>
        <v>1</v>
      </c>
      <c r="J192" s="1769"/>
      <c r="K192" s="1762">
        <f t="shared" si="48"/>
        <v>1</v>
      </c>
      <c r="L192" s="1769"/>
      <c r="M192" s="1762">
        <f t="shared" si="49"/>
        <v>1</v>
      </c>
      <c r="N192" s="1769"/>
      <c r="O192" s="1762">
        <f t="shared" si="50"/>
        <v>1</v>
      </c>
      <c r="P192" s="1769"/>
      <c r="Q192" s="1762">
        <f t="shared" si="51"/>
        <v>1</v>
      </c>
      <c r="R192" s="1833">
        <f ca="1" t="shared" si="56"/>
        <v>0</v>
      </c>
      <c r="S192" s="1716">
        <f ca="1" t="shared" si="57"/>
        <v>0</v>
      </c>
      <c r="T192" s="1768">
        <f ca="1" t="shared" si="58"/>
        <v>0</v>
      </c>
      <c r="U192" s="1838">
        <f t="shared" si="52"/>
        <v>0</v>
      </c>
      <c r="V192" s="1838">
        <f t="shared" si="53"/>
        <v>0</v>
      </c>
      <c r="W192" s="1840"/>
      <c r="X192" s="1838">
        <f t="shared" si="54"/>
        <v>0</v>
      </c>
      <c r="Y192" s="1838">
        <f t="shared" si="55"/>
        <v>0</v>
      </c>
      <c r="Z192" s="1840"/>
    </row>
    <row r="193" spans="1:26">
      <c r="A193" s="1770"/>
      <c r="B193" s="1771"/>
      <c r="C193" s="1762">
        <f t="shared" si="44"/>
        <v>1</v>
      </c>
      <c r="D193" s="1769"/>
      <c r="E193" s="1762">
        <f t="shared" si="45"/>
        <v>1</v>
      </c>
      <c r="F193" s="1769"/>
      <c r="G193" s="1762">
        <f t="shared" si="46"/>
        <v>1</v>
      </c>
      <c r="H193" s="1769"/>
      <c r="I193" s="1762">
        <f t="shared" si="47"/>
        <v>1</v>
      </c>
      <c r="J193" s="1769"/>
      <c r="K193" s="1762">
        <f t="shared" si="48"/>
        <v>1</v>
      </c>
      <c r="L193" s="1769"/>
      <c r="M193" s="1762">
        <f t="shared" si="49"/>
        <v>1</v>
      </c>
      <c r="N193" s="1769"/>
      <c r="O193" s="1762">
        <f t="shared" si="50"/>
        <v>1</v>
      </c>
      <c r="P193" s="1769"/>
      <c r="Q193" s="1762">
        <f t="shared" si="51"/>
        <v>1</v>
      </c>
      <c r="R193" s="1833">
        <f ca="1" t="shared" si="56"/>
        <v>0</v>
      </c>
      <c r="S193" s="1716">
        <f ca="1" t="shared" si="57"/>
        <v>0</v>
      </c>
      <c r="T193" s="1768">
        <f ca="1" t="shared" si="58"/>
        <v>0</v>
      </c>
      <c r="U193" s="1838">
        <f t="shared" si="52"/>
        <v>0</v>
      </c>
      <c r="V193" s="1838">
        <f t="shared" si="53"/>
        <v>0</v>
      </c>
      <c r="W193" s="1840"/>
      <c r="X193" s="1838">
        <f t="shared" si="54"/>
        <v>0</v>
      </c>
      <c r="Y193" s="1838">
        <f t="shared" si="55"/>
        <v>0</v>
      </c>
      <c r="Z193" s="1840"/>
    </row>
    <row r="194" spans="1:26">
      <c r="A194" s="1770"/>
      <c r="B194" s="1771"/>
      <c r="C194" s="1762">
        <f t="shared" si="44"/>
        <v>1</v>
      </c>
      <c r="D194" s="1769"/>
      <c r="E194" s="1762">
        <f t="shared" si="45"/>
        <v>1</v>
      </c>
      <c r="F194" s="1769"/>
      <c r="G194" s="1762">
        <f t="shared" si="46"/>
        <v>1</v>
      </c>
      <c r="H194" s="1769"/>
      <c r="I194" s="1762">
        <f t="shared" si="47"/>
        <v>1</v>
      </c>
      <c r="J194" s="1769"/>
      <c r="K194" s="1762">
        <f t="shared" si="48"/>
        <v>1</v>
      </c>
      <c r="L194" s="1769"/>
      <c r="M194" s="1762">
        <f t="shared" si="49"/>
        <v>1</v>
      </c>
      <c r="N194" s="1769"/>
      <c r="O194" s="1762">
        <f t="shared" si="50"/>
        <v>1</v>
      </c>
      <c r="P194" s="1769"/>
      <c r="Q194" s="1762">
        <f t="shared" si="51"/>
        <v>1</v>
      </c>
      <c r="R194" s="1833">
        <f ca="1" t="shared" si="56"/>
        <v>0</v>
      </c>
      <c r="S194" s="1716">
        <f ca="1" t="shared" si="57"/>
        <v>0</v>
      </c>
      <c r="T194" s="1768">
        <f ca="1" t="shared" si="58"/>
        <v>0</v>
      </c>
      <c r="U194" s="1838">
        <f t="shared" si="52"/>
        <v>0</v>
      </c>
      <c r="V194" s="1838">
        <f t="shared" si="53"/>
        <v>0</v>
      </c>
      <c r="W194" s="1840"/>
      <c r="X194" s="1838">
        <f t="shared" si="54"/>
        <v>0</v>
      </c>
      <c r="Y194" s="1838">
        <f t="shared" si="55"/>
        <v>0</v>
      </c>
      <c r="Z194" s="1840"/>
    </row>
    <row r="195" spans="1:26">
      <c r="A195" s="1770"/>
      <c r="B195" s="1771"/>
      <c r="C195" s="1762">
        <f t="shared" si="44"/>
        <v>1</v>
      </c>
      <c r="D195" s="1769"/>
      <c r="E195" s="1762">
        <f t="shared" si="45"/>
        <v>1</v>
      </c>
      <c r="F195" s="1769"/>
      <c r="G195" s="1762">
        <f t="shared" si="46"/>
        <v>1</v>
      </c>
      <c r="H195" s="1769"/>
      <c r="I195" s="1762">
        <f t="shared" si="47"/>
        <v>1</v>
      </c>
      <c r="J195" s="1769"/>
      <c r="K195" s="1762">
        <f t="shared" si="48"/>
        <v>1</v>
      </c>
      <c r="L195" s="1769"/>
      <c r="M195" s="1762">
        <f t="shared" si="49"/>
        <v>1</v>
      </c>
      <c r="N195" s="1769"/>
      <c r="O195" s="1762">
        <f t="shared" si="50"/>
        <v>1</v>
      </c>
      <c r="P195" s="1769"/>
      <c r="Q195" s="1762">
        <f t="shared" si="51"/>
        <v>1</v>
      </c>
      <c r="R195" s="1833">
        <f ca="1" t="shared" si="56"/>
        <v>0</v>
      </c>
      <c r="S195" s="1716">
        <f ca="1" t="shared" si="57"/>
        <v>0</v>
      </c>
      <c r="T195" s="1768">
        <f ca="1" t="shared" si="58"/>
        <v>0</v>
      </c>
      <c r="U195" s="1838">
        <f t="shared" si="52"/>
        <v>0</v>
      </c>
      <c r="V195" s="1838">
        <f t="shared" si="53"/>
        <v>0</v>
      </c>
      <c r="W195" s="1840"/>
      <c r="X195" s="1838">
        <f t="shared" si="54"/>
        <v>0</v>
      </c>
      <c r="Y195" s="1838">
        <f t="shared" si="55"/>
        <v>0</v>
      </c>
      <c r="Z195" s="1840"/>
    </row>
    <row r="196" spans="1:26">
      <c r="A196" s="1770"/>
      <c r="B196" s="1771"/>
      <c r="C196" s="1762">
        <f t="shared" si="44"/>
        <v>1</v>
      </c>
      <c r="D196" s="1769"/>
      <c r="E196" s="1762">
        <f t="shared" si="45"/>
        <v>1</v>
      </c>
      <c r="F196" s="1769"/>
      <c r="G196" s="1762">
        <f t="shared" si="46"/>
        <v>1</v>
      </c>
      <c r="H196" s="1769"/>
      <c r="I196" s="1762">
        <f t="shared" si="47"/>
        <v>1</v>
      </c>
      <c r="J196" s="1769"/>
      <c r="K196" s="1762">
        <f t="shared" si="48"/>
        <v>1</v>
      </c>
      <c r="L196" s="1769"/>
      <c r="M196" s="1762">
        <f t="shared" si="49"/>
        <v>1</v>
      </c>
      <c r="N196" s="1769"/>
      <c r="O196" s="1762">
        <f t="shared" si="50"/>
        <v>1</v>
      </c>
      <c r="P196" s="1769"/>
      <c r="Q196" s="1762">
        <f t="shared" si="51"/>
        <v>1</v>
      </c>
      <c r="R196" s="1833">
        <f ca="1" t="shared" si="56"/>
        <v>0</v>
      </c>
      <c r="S196" s="1716">
        <f ca="1" t="shared" si="57"/>
        <v>0</v>
      </c>
      <c r="T196" s="1768">
        <f ca="1" t="shared" si="58"/>
        <v>0</v>
      </c>
      <c r="U196" s="1838">
        <f t="shared" si="52"/>
        <v>0</v>
      </c>
      <c r="V196" s="1838">
        <f t="shared" si="53"/>
        <v>0</v>
      </c>
      <c r="W196" s="1840"/>
      <c r="X196" s="1838">
        <f t="shared" si="54"/>
        <v>0</v>
      </c>
      <c r="Y196" s="1838">
        <f t="shared" si="55"/>
        <v>0</v>
      </c>
      <c r="Z196" s="1840"/>
    </row>
    <row r="197" spans="1:26">
      <c r="A197" s="1770"/>
      <c r="B197" s="1771"/>
      <c r="C197" s="1762">
        <f t="shared" si="44"/>
        <v>1</v>
      </c>
      <c r="D197" s="1769"/>
      <c r="E197" s="1762">
        <f t="shared" si="45"/>
        <v>1</v>
      </c>
      <c r="F197" s="1769"/>
      <c r="G197" s="1762">
        <f t="shared" si="46"/>
        <v>1</v>
      </c>
      <c r="H197" s="1769"/>
      <c r="I197" s="1762">
        <f t="shared" si="47"/>
        <v>1</v>
      </c>
      <c r="J197" s="1769"/>
      <c r="K197" s="1762">
        <f t="shared" si="48"/>
        <v>1</v>
      </c>
      <c r="L197" s="1769"/>
      <c r="M197" s="1762">
        <f t="shared" si="49"/>
        <v>1</v>
      </c>
      <c r="N197" s="1769"/>
      <c r="O197" s="1762">
        <f t="shared" si="50"/>
        <v>1</v>
      </c>
      <c r="P197" s="1769"/>
      <c r="Q197" s="1762">
        <f t="shared" si="51"/>
        <v>1</v>
      </c>
      <c r="R197" s="1833">
        <f ca="1" t="shared" si="56"/>
        <v>0</v>
      </c>
      <c r="S197" s="1716">
        <f ca="1" t="shared" si="57"/>
        <v>0</v>
      </c>
      <c r="T197" s="1768">
        <f ca="1" t="shared" si="58"/>
        <v>0</v>
      </c>
      <c r="U197" s="1838">
        <f t="shared" si="52"/>
        <v>0</v>
      </c>
      <c r="V197" s="1838">
        <f t="shared" si="53"/>
        <v>0</v>
      </c>
      <c r="W197" s="1840"/>
      <c r="X197" s="1838">
        <f t="shared" si="54"/>
        <v>0</v>
      </c>
      <c r="Y197" s="1838">
        <f t="shared" si="55"/>
        <v>0</v>
      </c>
      <c r="Z197" s="1840"/>
    </row>
    <row r="198" spans="1:26">
      <c r="A198" s="1770"/>
      <c r="B198" s="1771"/>
      <c r="C198" s="1762">
        <f t="shared" si="44"/>
        <v>1</v>
      </c>
      <c r="D198" s="1769"/>
      <c r="E198" s="1762">
        <f t="shared" si="45"/>
        <v>1</v>
      </c>
      <c r="F198" s="1769"/>
      <c r="G198" s="1762">
        <f t="shared" si="46"/>
        <v>1</v>
      </c>
      <c r="H198" s="1769"/>
      <c r="I198" s="1762">
        <f t="shared" si="47"/>
        <v>1</v>
      </c>
      <c r="J198" s="1769"/>
      <c r="K198" s="1762">
        <f t="shared" si="48"/>
        <v>1</v>
      </c>
      <c r="L198" s="1769"/>
      <c r="M198" s="1762">
        <f t="shared" si="49"/>
        <v>1</v>
      </c>
      <c r="N198" s="1769"/>
      <c r="O198" s="1762">
        <f t="shared" si="50"/>
        <v>1</v>
      </c>
      <c r="P198" s="1769"/>
      <c r="Q198" s="1762">
        <f t="shared" si="51"/>
        <v>1</v>
      </c>
      <c r="R198" s="1833">
        <f ca="1" t="shared" si="56"/>
        <v>0</v>
      </c>
      <c r="S198" s="1716">
        <f ca="1" t="shared" si="57"/>
        <v>0</v>
      </c>
      <c r="T198" s="1768">
        <f ca="1" t="shared" si="58"/>
        <v>0</v>
      </c>
      <c r="U198" s="1838">
        <f t="shared" si="52"/>
        <v>0</v>
      </c>
      <c r="V198" s="1838">
        <f t="shared" si="53"/>
        <v>0</v>
      </c>
      <c r="W198" s="1840"/>
      <c r="X198" s="1838">
        <f t="shared" si="54"/>
        <v>0</v>
      </c>
      <c r="Y198" s="1838">
        <f t="shared" si="55"/>
        <v>0</v>
      </c>
      <c r="Z198" s="1840"/>
    </row>
    <row r="199" spans="1:26">
      <c r="A199" s="1770"/>
      <c r="B199" s="1771"/>
      <c r="C199" s="1762">
        <f t="shared" si="44"/>
        <v>1</v>
      </c>
      <c r="D199" s="1769"/>
      <c r="E199" s="1762">
        <f t="shared" si="45"/>
        <v>1</v>
      </c>
      <c r="F199" s="1769"/>
      <c r="G199" s="1762">
        <f t="shared" si="46"/>
        <v>1</v>
      </c>
      <c r="H199" s="1769"/>
      <c r="I199" s="1762">
        <f t="shared" si="47"/>
        <v>1</v>
      </c>
      <c r="J199" s="1769"/>
      <c r="K199" s="1762">
        <f t="shared" si="48"/>
        <v>1</v>
      </c>
      <c r="L199" s="1769"/>
      <c r="M199" s="1762">
        <f t="shared" si="49"/>
        <v>1</v>
      </c>
      <c r="N199" s="1769"/>
      <c r="O199" s="1762">
        <f t="shared" si="50"/>
        <v>1</v>
      </c>
      <c r="P199" s="1769"/>
      <c r="Q199" s="1762">
        <f t="shared" si="51"/>
        <v>1</v>
      </c>
      <c r="R199" s="1833">
        <f ca="1" t="shared" si="56"/>
        <v>0</v>
      </c>
      <c r="S199" s="1716">
        <f ca="1" t="shared" si="57"/>
        <v>0</v>
      </c>
      <c r="T199" s="1768">
        <f ca="1" t="shared" si="58"/>
        <v>0</v>
      </c>
      <c r="U199" s="1838">
        <f t="shared" si="52"/>
        <v>0</v>
      </c>
      <c r="V199" s="1838">
        <f t="shared" si="53"/>
        <v>0</v>
      </c>
      <c r="W199" s="1840"/>
      <c r="X199" s="1838">
        <f t="shared" si="54"/>
        <v>0</v>
      </c>
      <c r="Y199" s="1838">
        <f t="shared" si="55"/>
        <v>0</v>
      </c>
      <c r="Z199" s="1840"/>
    </row>
    <row r="200" spans="1:26">
      <c r="A200" s="1770"/>
      <c r="B200" s="1771"/>
      <c r="C200" s="1762">
        <f t="shared" si="44"/>
        <v>1</v>
      </c>
      <c r="D200" s="1769"/>
      <c r="E200" s="1762">
        <f t="shared" si="45"/>
        <v>1</v>
      </c>
      <c r="F200" s="1769"/>
      <c r="G200" s="1762">
        <f t="shared" si="46"/>
        <v>1</v>
      </c>
      <c r="H200" s="1769"/>
      <c r="I200" s="1762">
        <f t="shared" si="47"/>
        <v>1</v>
      </c>
      <c r="J200" s="1769"/>
      <c r="K200" s="1762">
        <f t="shared" si="48"/>
        <v>1</v>
      </c>
      <c r="L200" s="1769"/>
      <c r="M200" s="1762">
        <f t="shared" si="49"/>
        <v>1</v>
      </c>
      <c r="N200" s="1769"/>
      <c r="O200" s="1762">
        <f t="shared" si="50"/>
        <v>1</v>
      </c>
      <c r="P200" s="1769"/>
      <c r="Q200" s="1762">
        <f t="shared" si="51"/>
        <v>1</v>
      </c>
      <c r="R200" s="1833">
        <f ca="1" t="shared" si="56"/>
        <v>0</v>
      </c>
      <c r="S200" s="1716">
        <f ca="1" t="shared" si="57"/>
        <v>0</v>
      </c>
      <c r="T200" s="1768">
        <f ca="1" t="shared" si="58"/>
        <v>0</v>
      </c>
      <c r="U200" s="1838">
        <f t="shared" si="52"/>
        <v>0</v>
      </c>
      <c r="V200" s="1838">
        <f t="shared" si="53"/>
        <v>0</v>
      </c>
      <c r="W200" s="1840"/>
      <c r="X200" s="1838">
        <f t="shared" si="54"/>
        <v>0</v>
      </c>
      <c r="Y200" s="1838">
        <f t="shared" si="55"/>
        <v>0</v>
      </c>
      <c r="Z200" s="1840"/>
    </row>
    <row r="201" spans="1:26">
      <c r="A201" s="1770"/>
      <c r="B201" s="1771"/>
      <c r="C201" s="1762">
        <f t="shared" si="44"/>
        <v>1</v>
      </c>
      <c r="D201" s="1769"/>
      <c r="E201" s="1762">
        <f t="shared" si="45"/>
        <v>1</v>
      </c>
      <c r="F201" s="1769"/>
      <c r="G201" s="1762">
        <f t="shared" si="46"/>
        <v>1</v>
      </c>
      <c r="H201" s="1769"/>
      <c r="I201" s="1762">
        <f t="shared" si="47"/>
        <v>1</v>
      </c>
      <c r="J201" s="1769"/>
      <c r="K201" s="1762">
        <f t="shared" si="48"/>
        <v>1</v>
      </c>
      <c r="L201" s="1769"/>
      <c r="M201" s="1762">
        <f t="shared" si="49"/>
        <v>1</v>
      </c>
      <c r="N201" s="1769"/>
      <c r="O201" s="1762">
        <f t="shared" si="50"/>
        <v>1</v>
      </c>
      <c r="P201" s="1769"/>
      <c r="Q201" s="1762">
        <f t="shared" si="51"/>
        <v>1</v>
      </c>
      <c r="R201" s="1833">
        <f ca="1" t="shared" si="56"/>
        <v>0</v>
      </c>
      <c r="S201" s="1716">
        <f ca="1" t="shared" si="57"/>
        <v>0</v>
      </c>
      <c r="T201" s="1768">
        <f ca="1" t="shared" si="58"/>
        <v>0</v>
      </c>
      <c r="U201" s="1838">
        <f t="shared" si="52"/>
        <v>0</v>
      </c>
      <c r="V201" s="1838">
        <f t="shared" si="53"/>
        <v>0</v>
      </c>
      <c r="W201" s="1840"/>
      <c r="X201" s="1838">
        <f t="shared" si="54"/>
        <v>0</v>
      </c>
      <c r="Y201" s="1838">
        <f t="shared" si="55"/>
        <v>0</v>
      </c>
      <c r="Z201" s="1840"/>
    </row>
    <row r="202" spans="1:26">
      <c r="A202" s="1770"/>
      <c r="B202" s="1771"/>
      <c r="C202" s="1762">
        <f t="shared" si="44"/>
        <v>1</v>
      </c>
      <c r="D202" s="1769"/>
      <c r="E202" s="1762">
        <f t="shared" si="45"/>
        <v>1</v>
      </c>
      <c r="F202" s="1769"/>
      <c r="G202" s="1762">
        <f t="shared" si="46"/>
        <v>1</v>
      </c>
      <c r="H202" s="1769"/>
      <c r="I202" s="1762">
        <f t="shared" si="47"/>
        <v>1</v>
      </c>
      <c r="J202" s="1769"/>
      <c r="K202" s="1762">
        <f t="shared" si="48"/>
        <v>1</v>
      </c>
      <c r="L202" s="1769"/>
      <c r="M202" s="1762">
        <f t="shared" si="49"/>
        <v>1</v>
      </c>
      <c r="N202" s="1769"/>
      <c r="O202" s="1762">
        <f t="shared" si="50"/>
        <v>1</v>
      </c>
      <c r="P202" s="1769"/>
      <c r="Q202" s="1762">
        <f t="shared" si="51"/>
        <v>1</v>
      </c>
      <c r="R202" s="1833">
        <f ca="1" t="shared" si="56"/>
        <v>0</v>
      </c>
      <c r="S202" s="1716">
        <f ca="1" t="shared" si="57"/>
        <v>0</v>
      </c>
      <c r="T202" s="1768">
        <f ca="1" t="shared" si="58"/>
        <v>0</v>
      </c>
      <c r="U202" s="1838">
        <f t="shared" si="52"/>
        <v>0</v>
      </c>
      <c r="V202" s="1838">
        <f t="shared" si="53"/>
        <v>0</v>
      </c>
      <c r="W202" s="1840"/>
      <c r="X202" s="1838">
        <f t="shared" si="54"/>
        <v>0</v>
      </c>
      <c r="Y202" s="1838">
        <f t="shared" si="55"/>
        <v>0</v>
      </c>
      <c r="Z202" s="1840"/>
    </row>
    <row r="203" spans="1:26">
      <c r="A203" s="1770"/>
      <c r="B203" s="1771"/>
      <c r="C203" s="1762">
        <f t="shared" si="44"/>
        <v>1</v>
      </c>
      <c r="D203" s="1769"/>
      <c r="E203" s="1762">
        <f t="shared" si="45"/>
        <v>1</v>
      </c>
      <c r="F203" s="1769"/>
      <c r="G203" s="1762">
        <f t="shared" si="46"/>
        <v>1</v>
      </c>
      <c r="H203" s="1769"/>
      <c r="I203" s="1762">
        <f t="shared" si="47"/>
        <v>1</v>
      </c>
      <c r="J203" s="1769"/>
      <c r="K203" s="1762">
        <f t="shared" si="48"/>
        <v>1</v>
      </c>
      <c r="L203" s="1769"/>
      <c r="M203" s="1762">
        <f t="shared" si="49"/>
        <v>1</v>
      </c>
      <c r="N203" s="1769"/>
      <c r="O203" s="1762">
        <f t="shared" si="50"/>
        <v>1</v>
      </c>
      <c r="P203" s="1769"/>
      <c r="Q203" s="1762">
        <f t="shared" si="51"/>
        <v>1</v>
      </c>
      <c r="R203" s="1833">
        <f ca="1" t="shared" si="56"/>
        <v>0</v>
      </c>
      <c r="S203" s="1716">
        <f ca="1" t="shared" si="57"/>
        <v>0</v>
      </c>
      <c r="T203" s="1768">
        <f ca="1" t="shared" si="58"/>
        <v>0</v>
      </c>
      <c r="U203" s="1838">
        <f t="shared" si="52"/>
        <v>0</v>
      </c>
      <c r="V203" s="1838">
        <f t="shared" si="53"/>
        <v>0</v>
      </c>
      <c r="W203" s="1840"/>
      <c r="X203" s="1838">
        <f t="shared" si="54"/>
        <v>0</v>
      </c>
      <c r="Y203" s="1838">
        <f t="shared" si="55"/>
        <v>0</v>
      </c>
      <c r="Z203" s="1840"/>
    </row>
    <row r="204" spans="1:26">
      <c r="A204" s="1770"/>
      <c r="B204" s="1771"/>
      <c r="C204" s="1762">
        <f t="shared" si="44"/>
        <v>1</v>
      </c>
      <c r="D204" s="1769"/>
      <c r="E204" s="1762">
        <f t="shared" si="45"/>
        <v>1</v>
      </c>
      <c r="F204" s="1769"/>
      <c r="G204" s="1762">
        <f t="shared" si="46"/>
        <v>1</v>
      </c>
      <c r="H204" s="1769"/>
      <c r="I204" s="1762">
        <f t="shared" si="47"/>
        <v>1</v>
      </c>
      <c r="J204" s="1769"/>
      <c r="K204" s="1762">
        <f t="shared" si="48"/>
        <v>1</v>
      </c>
      <c r="L204" s="1769"/>
      <c r="M204" s="1762">
        <f t="shared" si="49"/>
        <v>1</v>
      </c>
      <c r="N204" s="1769"/>
      <c r="O204" s="1762">
        <f t="shared" si="50"/>
        <v>1</v>
      </c>
      <c r="P204" s="1769"/>
      <c r="Q204" s="1762">
        <f t="shared" si="51"/>
        <v>1</v>
      </c>
      <c r="R204" s="1833">
        <f ca="1" t="shared" si="56"/>
        <v>0</v>
      </c>
      <c r="S204" s="1716">
        <f ca="1" t="shared" si="57"/>
        <v>0</v>
      </c>
      <c r="T204" s="1768">
        <f ca="1" t="shared" si="58"/>
        <v>0</v>
      </c>
      <c r="U204" s="1838">
        <f t="shared" si="52"/>
        <v>0</v>
      </c>
      <c r="V204" s="1838">
        <f t="shared" si="53"/>
        <v>0</v>
      </c>
      <c r="W204" s="1840"/>
      <c r="X204" s="1838">
        <f t="shared" si="54"/>
        <v>0</v>
      </c>
      <c r="Y204" s="1838">
        <f t="shared" si="55"/>
        <v>0</v>
      </c>
      <c r="Z204" s="1840"/>
    </row>
    <row r="205" spans="1:26">
      <c r="A205" s="1770"/>
      <c r="B205" s="1771"/>
      <c r="C205" s="1762">
        <f t="shared" si="44"/>
        <v>1</v>
      </c>
      <c r="D205" s="1769"/>
      <c r="E205" s="1762">
        <f t="shared" si="45"/>
        <v>1</v>
      </c>
      <c r="F205" s="1769"/>
      <c r="G205" s="1762">
        <f t="shared" si="46"/>
        <v>1</v>
      </c>
      <c r="H205" s="1769"/>
      <c r="I205" s="1762">
        <f t="shared" si="47"/>
        <v>1</v>
      </c>
      <c r="J205" s="1769"/>
      <c r="K205" s="1762">
        <f t="shared" si="48"/>
        <v>1</v>
      </c>
      <c r="L205" s="1769"/>
      <c r="M205" s="1762">
        <f t="shared" si="49"/>
        <v>1</v>
      </c>
      <c r="N205" s="1769"/>
      <c r="O205" s="1762">
        <f t="shared" si="50"/>
        <v>1</v>
      </c>
      <c r="P205" s="1769"/>
      <c r="Q205" s="1762">
        <f t="shared" si="51"/>
        <v>1</v>
      </c>
      <c r="R205" s="1833">
        <f ca="1" t="shared" si="56"/>
        <v>0</v>
      </c>
      <c r="S205" s="1716">
        <f ca="1" t="shared" si="57"/>
        <v>0</v>
      </c>
      <c r="T205" s="1768">
        <f ca="1" t="shared" si="58"/>
        <v>0</v>
      </c>
      <c r="U205" s="1838">
        <f t="shared" si="52"/>
        <v>0</v>
      </c>
      <c r="V205" s="1838">
        <f t="shared" si="53"/>
        <v>0</v>
      </c>
      <c r="W205" s="1840"/>
      <c r="X205" s="1838">
        <f t="shared" si="54"/>
        <v>0</v>
      </c>
      <c r="Y205" s="1838">
        <f t="shared" si="55"/>
        <v>0</v>
      </c>
      <c r="Z205" s="1840"/>
    </row>
    <row r="206" spans="1:26">
      <c r="A206" s="1770"/>
      <c r="B206" s="1771"/>
      <c r="C206" s="1762">
        <f t="shared" si="44"/>
        <v>1</v>
      </c>
      <c r="D206" s="1769"/>
      <c r="E206" s="1762">
        <f t="shared" si="45"/>
        <v>1</v>
      </c>
      <c r="F206" s="1769"/>
      <c r="G206" s="1762">
        <f t="shared" si="46"/>
        <v>1</v>
      </c>
      <c r="H206" s="1769"/>
      <c r="I206" s="1762">
        <f t="shared" si="47"/>
        <v>1</v>
      </c>
      <c r="J206" s="1769"/>
      <c r="K206" s="1762">
        <f t="shared" si="48"/>
        <v>1</v>
      </c>
      <c r="L206" s="1769"/>
      <c r="M206" s="1762">
        <f t="shared" si="49"/>
        <v>1</v>
      </c>
      <c r="N206" s="1769"/>
      <c r="O206" s="1762">
        <f t="shared" si="50"/>
        <v>1</v>
      </c>
      <c r="P206" s="1769"/>
      <c r="Q206" s="1762">
        <f t="shared" si="51"/>
        <v>1</v>
      </c>
      <c r="R206" s="1833">
        <f ca="1" t="shared" si="56"/>
        <v>0</v>
      </c>
      <c r="S206" s="1716">
        <f ca="1" t="shared" si="57"/>
        <v>0</v>
      </c>
      <c r="T206" s="1768">
        <f ca="1" t="shared" si="58"/>
        <v>0</v>
      </c>
      <c r="U206" s="1838">
        <f t="shared" si="52"/>
        <v>0</v>
      </c>
      <c r="V206" s="1838">
        <f t="shared" si="53"/>
        <v>0</v>
      </c>
      <c r="W206" s="1840"/>
      <c r="X206" s="1838">
        <f t="shared" si="54"/>
        <v>0</v>
      </c>
      <c r="Y206" s="1838">
        <f t="shared" si="55"/>
        <v>0</v>
      </c>
      <c r="Z206" s="1840"/>
    </row>
    <row r="207" spans="1:26">
      <c r="A207" s="1770"/>
      <c r="B207" s="1771"/>
      <c r="C207" s="1762">
        <f t="shared" si="44"/>
        <v>1</v>
      </c>
      <c r="D207" s="1769"/>
      <c r="E207" s="1762">
        <f t="shared" si="45"/>
        <v>1</v>
      </c>
      <c r="F207" s="1769"/>
      <c r="G207" s="1762">
        <f t="shared" si="46"/>
        <v>1</v>
      </c>
      <c r="H207" s="1769"/>
      <c r="I207" s="1762">
        <f t="shared" si="47"/>
        <v>1</v>
      </c>
      <c r="J207" s="1769"/>
      <c r="K207" s="1762">
        <f t="shared" si="48"/>
        <v>1</v>
      </c>
      <c r="L207" s="1769"/>
      <c r="M207" s="1762">
        <f t="shared" si="49"/>
        <v>1</v>
      </c>
      <c r="N207" s="1769"/>
      <c r="O207" s="1762">
        <f t="shared" si="50"/>
        <v>1</v>
      </c>
      <c r="P207" s="1769"/>
      <c r="Q207" s="1762">
        <f t="shared" si="51"/>
        <v>1</v>
      </c>
      <c r="R207" s="1833">
        <f ca="1" t="shared" si="56"/>
        <v>0</v>
      </c>
      <c r="S207" s="1716">
        <f ca="1" t="shared" si="57"/>
        <v>0</v>
      </c>
      <c r="T207" s="1768">
        <f ca="1" t="shared" si="58"/>
        <v>0</v>
      </c>
      <c r="U207" s="1838">
        <f t="shared" si="52"/>
        <v>0</v>
      </c>
      <c r="V207" s="1838">
        <f t="shared" si="53"/>
        <v>0</v>
      </c>
      <c r="W207" s="1840"/>
      <c r="X207" s="1838">
        <f t="shared" si="54"/>
        <v>0</v>
      </c>
      <c r="Y207" s="1838">
        <f t="shared" si="55"/>
        <v>0</v>
      </c>
      <c r="Z207" s="1840"/>
    </row>
    <row r="208" spans="1:26">
      <c r="A208" s="1770"/>
      <c r="B208" s="1771"/>
      <c r="C208" s="1762">
        <f t="shared" si="44"/>
        <v>1</v>
      </c>
      <c r="D208" s="1769"/>
      <c r="E208" s="1762">
        <f t="shared" si="45"/>
        <v>1</v>
      </c>
      <c r="F208" s="1769"/>
      <c r="G208" s="1762">
        <f t="shared" si="46"/>
        <v>1</v>
      </c>
      <c r="H208" s="1769"/>
      <c r="I208" s="1762">
        <f t="shared" si="47"/>
        <v>1</v>
      </c>
      <c r="J208" s="1769"/>
      <c r="K208" s="1762">
        <f t="shared" si="48"/>
        <v>1</v>
      </c>
      <c r="L208" s="1769"/>
      <c r="M208" s="1762">
        <f t="shared" si="49"/>
        <v>1</v>
      </c>
      <c r="N208" s="1769"/>
      <c r="O208" s="1762">
        <f t="shared" si="50"/>
        <v>1</v>
      </c>
      <c r="P208" s="1769"/>
      <c r="Q208" s="1762">
        <f t="shared" si="51"/>
        <v>1</v>
      </c>
      <c r="R208" s="1833">
        <f ca="1" t="shared" si="56"/>
        <v>0</v>
      </c>
      <c r="S208" s="1716">
        <f ca="1" t="shared" si="57"/>
        <v>0</v>
      </c>
      <c r="T208" s="1768">
        <f ca="1" t="shared" si="58"/>
        <v>0</v>
      </c>
      <c r="U208" s="1838">
        <f t="shared" si="52"/>
        <v>0</v>
      </c>
      <c r="V208" s="1838">
        <f t="shared" si="53"/>
        <v>0</v>
      </c>
      <c r="W208" s="1840"/>
      <c r="X208" s="1838">
        <f t="shared" si="54"/>
        <v>0</v>
      </c>
      <c r="Y208" s="1838">
        <f t="shared" si="55"/>
        <v>0</v>
      </c>
      <c r="Z208" s="1840"/>
    </row>
    <row r="209" spans="1:26">
      <c r="A209" s="1770"/>
      <c r="B209" s="1771"/>
      <c r="C209" s="1762">
        <f t="shared" si="44"/>
        <v>1</v>
      </c>
      <c r="D209" s="1769"/>
      <c r="E209" s="1762">
        <f t="shared" si="45"/>
        <v>1</v>
      </c>
      <c r="F209" s="1769"/>
      <c r="G209" s="1762">
        <f t="shared" si="46"/>
        <v>1</v>
      </c>
      <c r="H209" s="1769"/>
      <c r="I209" s="1762">
        <f t="shared" si="47"/>
        <v>1</v>
      </c>
      <c r="J209" s="1769"/>
      <c r="K209" s="1762">
        <f t="shared" si="48"/>
        <v>1</v>
      </c>
      <c r="L209" s="1769"/>
      <c r="M209" s="1762">
        <f t="shared" si="49"/>
        <v>1</v>
      </c>
      <c r="N209" s="1769"/>
      <c r="O209" s="1762">
        <f t="shared" si="50"/>
        <v>1</v>
      </c>
      <c r="P209" s="1769"/>
      <c r="Q209" s="1762">
        <f t="shared" si="51"/>
        <v>1</v>
      </c>
      <c r="R209" s="1833">
        <f ca="1" t="shared" si="56"/>
        <v>0</v>
      </c>
      <c r="S209" s="1716">
        <f ca="1" t="shared" si="57"/>
        <v>0</v>
      </c>
      <c r="T209" s="1768">
        <f ca="1" t="shared" si="58"/>
        <v>0</v>
      </c>
      <c r="U209" s="1838">
        <f t="shared" si="52"/>
        <v>0</v>
      </c>
      <c r="V209" s="1838">
        <f t="shared" si="53"/>
        <v>0</v>
      </c>
      <c r="W209" s="1840"/>
      <c r="X209" s="1838">
        <f t="shared" si="54"/>
        <v>0</v>
      </c>
      <c r="Y209" s="1838">
        <f t="shared" si="55"/>
        <v>0</v>
      </c>
      <c r="Z209" s="1840"/>
    </row>
    <row r="210" spans="1:26">
      <c r="A210" s="1770"/>
      <c r="B210" s="1771"/>
      <c r="C210" s="1762">
        <f t="shared" si="44"/>
        <v>1</v>
      </c>
      <c r="D210" s="1769"/>
      <c r="E210" s="1762">
        <f t="shared" si="45"/>
        <v>1</v>
      </c>
      <c r="F210" s="1769"/>
      <c r="G210" s="1762">
        <f t="shared" si="46"/>
        <v>1</v>
      </c>
      <c r="H210" s="1769"/>
      <c r="I210" s="1762">
        <f t="shared" si="47"/>
        <v>1</v>
      </c>
      <c r="J210" s="1769"/>
      <c r="K210" s="1762">
        <f t="shared" si="48"/>
        <v>1</v>
      </c>
      <c r="L210" s="1769"/>
      <c r="M210" s="1762">
        <f t="shared" si="49"/>
        <v>1</v>
      </c>
      <c r="N210" s="1769"/>
      <c r="O210" s="1762">
        <f t="shared" si="50"/>
        <v>1</v>
      </c>
      <c r="P210" s="1769"/>
      <c r="Q210" s="1762">
        <f t="shared" si="51"/>
        <v>1</v>
      </c>
      <c r="R210" s="1833">
        <f ca="1" t="shared" si="56"/>
        <v>0</v>
      </c>
      <c r="S210" s="1716">
        <f ca="1" t="shared" si="57"/>
        <v>0</v>
      </c>
      <c r="T210" s="1768">
        <f ca="1" t="shared" si="58"/>
        <v>0</v>
      </c>
      <c r="U210" s="1838">
        <f t="shared" si="52"/>
        <v>0</v>
      </c>
      <c r="V210" s="1838">
        <f t="shared" si="53"/>
        <v>0</v>
      </c>
      <c r="W210" s="1840"/>
      <c r="X210" s="1838">
        <f t="shared" si="54"/>
        <v>0</v>
      </c>
      <c r="Y210" s="1838">
        <f t="shared" si="55"/>
        <v>0</v>
      </c>
      <c r="Z210" s="1840"/>
    </row>
    <row r="211" spans="1:26">
      <c r="A211" s="1770"/>
      <c r="B211" s="1771"/>
      <c r="C211" s="1762">
        <f t="shared" si="44"/>
        <v>1</v>
      </c>
      <c r="D211" s="1769"/>
      <c r="E211" s="1762">
        <f t="shared" si="45"/>
        <v>1</v>
      </c>
      <c r="F211" s="1769"/>
      <c r="G211" s="1762">
        <f t="shared" si="46"/>
        <v>1</v>
      </c>
      <c r="H211" s="1769"/>
      <c r="I211" s="1762">
        <f t="shared" si="47"/>
        <v>1</v>
      </c>
      <c r="J211" s="1769"/>
      <c r="K211" s="1762">
        <f t="shared" si="48"/>
        <v>1</v>
      </c>
      <c r="L211" s="1769"/>
      <c r="M211" s="1762">
        <f t="shared" si="49"/>
        <v>1</v>
      </c>
      <c r="N211" s="1769"/>
      <c r="O211" s="1762">
        <f t="shared" si="50"/>
        <v>1</v>
      </c>
      <c r="P211" s="1769"/>
      <c r="Q211" s="1762">
        <f t="shared" si="51"/>
        <v>1</v>
      </c>
      <c r="R211" s="1833">
        <f ca="1" t="shared" si="56"/>
        <v>0</v>
      </c>
      <c r="S211" s="1716">
        <f ca="1" t="shared" si="57"/>
        <v>0</v>
      </c>
      <c r="T211" s="1768">
        <f ca="1" t="shared" si="58"/>
        <v>0</v>
      </c>
      <c r="U211" s="1838">
        <f t="shared" si="52"/>
        <v>0</v>
      </c>
      <c r="V211" s="1838">
        <f t="shared" si="53"/>
        <v>0</v>
      </c>
      <c r="W211" s="1840"/>
      <c r="X211" s="1838">
        <f t="shared" si="54"/>
        <v>0</v>
      </c>
      <c r="Y211" s="1838">
        <f t="shared" si="55"/>
        <v>0</v>
      </c>
      <c r="Z211" s="1840"/>
    </row>
    <row r="212" spans="1:26">
      <c r="A212" s="1770"/>
      <c r="B212" s="1771"/>
      <c r="C212" s="1762">
        <f t="shared" si="44"/>
        <v>1</v>
      </c>
      <c r="D212" s="1769"/>
      <c r="E212" s="1762">
        <f t="shared" si="45"/>
        <v>1</v>
      </c>
      <c r="F212" s="1769"/>
      <c r="G212" s="1762">
        <f t="shared" si="46"/>
        <v>1</v>
      </c>
      <c r="H212" s="1769"/>
      <c r="I212" s="1762">
        <f t="shared" si="47"/>
        <v>1</v>
      </c>
      <c r="J212" s="1769"/>
      <c r="K212" s="1762">
        <f t="shared" si="48"/>
        <v>1</v>
      </c>
      <c r="L212" s="1769"/>
      <c r="M212" s="1762">
        <f t="shared" si="49"/>
        <v>1</v>
      </c>
      <c r="N212" s="1769"/>
      <c r="O212" s="1762">
        <f t="shared" si="50"/>
        <v>1</v>
      </c>
      <c r="P212" s="1769"/>
      <c r="Q212" s="1762">
        <f t="shared" si="51"/>
        <v>1</v>
      </c>
      <c r="R212" s="1833">
        <f ca="1" t="shared" si="56"/>
        <v>0</v>
      </c>
      <c r="S212" s="1716">
        <f ca="1" t="shared" si="57"/>
        <v>0</v>
      </c>
      <c r="T212" s="1768">
        <f ca="1" t="shared" si="58"/>
        <v>0</v>
      </c>
      <c r="U212" s="1838">
        <f t="shared" si="52"/>
        <v>0</v>
      </c>
      <c r="V212" s="1838">
        <f t="shared" si="53"/>
        <v>0</v>
      </c>
      <c r="W212" s="1840"/>
      <c r="X212" s="1838">
        <f t="shared" si="54"/>
        <v>0</v>
      </c>
      <c r="Y212" s="1838">
        <f t="shared" si="55"/>
        <v>0</v>
      </c>
      <c r="Z212" s="1840"/>
    </row>
    <row r="213" spans="1:26">
      <c r="A213" s="1770"/>
      <c r="B213" s="1771"/>
      <c r="C213" s="1762">
        <f t="shared" si="44"/>
        <v>1</v>
      </c>
      <c r="D213" s="1769"/>
      <c r="E213" s="1762">
        <f t="shared" si="45"/>
        <v>1</v>
      </c>
      <c r="F213" s="1769"/>
      <c r="G213" s="1762">
        <f t="shared" si="46"/>
        <v>1</v>
      </c>
      <c r="H213" s="1769"/>
      <c r="I213" s="1762">
        <f t="shared" si="47"/>
        <v>1</v>
      </c>
      <c r="J213" s="1769"/>
      <c r="K213" s="1762">
        <f t="shared" si="48"/>
        <v>1</v>
      </c>
      <c r="L213" s="1769"/>
      <c r="M213" s="1762">
        <f t="shared" si="49"/>
        <v>1</v>
      </c>
      <c r="N213" s="1769"/>
      <c r="O213" s="1762">
        <f t="shared" si="50"/>
        <v>1</v>
      </c>
      <c r="P213" s="1769"/>
      <c r="Q213" s="1762">
        <f t="shared" si="51"/>
        <v>1</v>
      </c>
      <c r="R213" s="1833">
        <f ca="1" t="shared" si="56"/>
        <v>0</v>
      </c>
      <c r="S213" s="1716">
        <f ca="1" t="shared" si="57"/>
        <v>0</v>
      </c>
      <c r="T213" s="1768">
        <f ca="1" t="shared" si="58"/>
        <v>0</v>
      </c>
      <c r="U213" s="1838">
        <f t="shared" si="52"/>
        <v>0</v>
      </c>
      <c r="V213" s="1838">
        <f t="shared" si="53"/>
        <v>0</v>
      </c>
      <c r="W213" s="1840"/>
      <c r="X213" s="1838">
        <f t="shared" si="54"/>
        <v>0</v>
      </c>
      <c r="Y213" s="1838">
        <f t="shared" si="55"/>
        <v>0</v>
      </c>
      <c r="Z213" s="1840"/>
    </row>
    <row r="214" spans="1:26">
      <c r="A214" s="1770"/>
      <c r="B214" s="1771"/>
      <c r="C214" s="1762">
        <f t="shared" si="44"/>
        <v>1</v>
      </c>
      <c r="D214" s="1769"/>
      <c r="E214" s="1762">
        <f t="shared" si="45"/>
        <v>1</v>
      </c>
      <c r="F214" s="1769"/>
      <c r="G214" s="1762">
        <f t="shared" si="46"/>
        <v>1</v>
      </c>
      <c r="H214" s="1769"/>
      <c r="I214" s="1762">
        <f t="shared" si="47"/>
        <v>1</v>
      </c>
      <c r="J214" s="1769"/>
      <c r="K214" s="1762">
        <f t="shared" si="48"/>
        <v>1</v>
      </c>
      <c r="L214" s="1769"/>
      <c r="M214" s="1762">
        <f t="shared" si="49"/>
        <v>1</v>
      </c>
      <c r="N214" s="1769"/>
      <c r="O214" s="1762">
        <f t="shared" si="50"/>
        <v>1</v>
      </c>
      <c r="P214" s="1769"/>
      <c r="Q214" s="1762">
        <f t="shared" si="51"/>
        <v>1</v>
      </c>
      <c r="R214" s="1833">
        <f ca="1" t="shared" si="56"/>
        <v>0</v>
      </c>
      <c r="S214" s="1716">
        <f ca="1" t="shared" si="57"/>
        <v>0</v>
      </c>
      <c r="T214" s="1768">
        <f ca="1" t="shared" si="58"/>
        <v>0</v>
      </c>
      <c r="U214" s="1838">
        <f t="shared" si="52"/>
        <v>0</v>
      </c>
      <c r="V214" s="1838">
        <f t="shared" si="53"/>
        <v>0</v>
      </c>
      <c r="W214" s="1840"/>
      <c r="X214" s="1838">
        <f t="shared" si="54"/>
        <v>0</v>
      </c>
      <c r="Y214" s="1838">
        <f t="shared" si="55"/>
        <v>0</v>
      </c>
      <c r="Z214" s="1840"/>
    </row>
    <row r="215" spans="1:26">
      <c r="A215" s="1770"/>
      <c r="B215" s="1771"/>
      <c r="C215" s="1762">
        <f t="shared" si="44"/>
        <v>1</v>
      </c>
      <c r="D215" s="1769"/>
      <c r="E215" s="1762">
        <f t="shared" si="45"/>
        <v>1</v>
      </c>
      <c r="F215" s="1769"/>
      <c r="G215" s="1762">
        <f t="shared" si="46"/>
        <v>1</v>
      </c>
      <c r="H215" s="1769"/>
      <c r="I215" s="1762">
        <f t="shared" si="47"/>
        <v>1</v>
      </c>
      <c r="J215" s="1769"/>
      <c r="K215" s="1762">
        <f t="shared" si="48"/>
        <v>1</v>
      </c>
      <c r="L215" s="1769"/>
      <c r="M215" s="1762">
        <f t="shared" si="49"/>
        <v>1</v>
      </c>
      <c r="N215" s="1769"/>
      <c r="O215" s="1762">
        <f t="shared" si="50"/>
        <v>1</v>
      </c>
      <c r="P215" s="1769"/>
      <c r="Q215" s="1762">
        <f t="shared" si="51"/>
        <v>1</v>
      </c>
      <c r="R215" s="1833">
        <f ca="1" t="shared" si="56"/>
        <v>0</v>
      </c>
      <c r="S215" s="1716">
        <f ca="1" t="shared" si="57"/>
        <v>0</v>
      </c>
      <c r="T215" s="1768">
        <f ca="1" t="shared" si="58"/>
        <v>0</v>
      </c>
      <c r="U215" s="1838">
        <f t="shared" si="52"/>
        <v>0</v>
      </c>
      <c r="V215" s="1838">
        <f t="shared" si="53"/>
        <v>0</v>
      </c>
      <c r="W215" s="1840"/>
      <c r="X215" s="1838">
        <f t="shared" si="54"/>
        <v>0</v>
      </c>
      <c r="Y215" s="1838">
        <f t="shared" si="55"/>
        <v>0</v>
      </c>
      <c r="Z215" s="1840"/>
    </row>
    <row r="216" spans="1:26">
      <c r="A216" s="1770"/>
      <c r="B216" s="1771"/>
      <c r="C216" s="1762">
        <f t="shared" si="44"/>
        <v>1</v>
      </c>
      <c r="D216" s="1769"/>
      <c r="E216" s="1762">
        <f t="shared" si="45"/>
        <v>1</v>
      </c>
      <c r="F216" s="1769"/>
      <c r="G216" s="1762">
        <f t="shared" si="46"/>
        <v>1</v>
      </c>
      <c r="H216" s="1769"/>
      <c r="I216" s="1762">
        <f t="shared" si="47"/>
        <v>1</v>
      </c>
      <c r="J216" s="1769"/>
      <c r="K216" s="1762">
        <f t="shared" si="48"/>
        <v>1</v>
      </c>
      <c r="L216" s="1769"/>
      <c r="M216" s="1762">
        <f t="shared" si="49"/>
        <v>1</v>
      </c>
      <c r="N216" s="1769"/>
      <c r="O216" s="1762">
        <f t="shared" si="50"/>
        <v>1</v>
      </c>
      <c r="P216" s="1769"/>
      <c r="Q216" s="1762">
        <f t="shared" si="51"/>
        <v>1</v>
      </c>
      <c r="R216" s="1833">
        <f ca="1" t="shared" si="56"/>
        <v>0</v>
      </c>
      <c r="S216" s="1716">
        <f ca="1" t="shared" si="57"/>
        <v>0</v>
      </c>
      <c r="T216" s="1768">
        <f ca="1" t="shared" si="58"/>
        <v>0</v>
      </c>
      <c r="U216" s="1838">
        <f t="shared" si="52"/>
        <v>0</v>
      </c>
      <c r="V216" s="1838">
        <f t="shared" si="53"/>
        <v>0</v>
      </c>
      <c r="W216" s="1840"/>
      <c r="X216" s="1838">
        <f t="shared" si="54"/>
        <v>0</v>
      </c>
      <c r="Y216" s="1838">
        <f t="shared" si="55"/>
        <v>0</v>
      </c>
      <c r="Z216" s="1840"/>
    </row>
    <row r="217" spans="1:26">
      <c r="A217" s="1770"/>
      <c r="B217" s="1771"/>
      <c r="C217" s="1762">
        <f t="shared" si="44"/>
        <v>1</v>
      </c>
      <c r="D217" s="1769"/>
      <c r="E217" s="1762">
        <f t="shared" si="45"/>
        <v>1</v>
      </c>
      <c r="F217" s="1769"/>
      <c r="G217" s="1762">
        <f t="shared" si="46"/>
        <v>1</v>
      </c>
      <c r="H217" s="1769"/>
      <c r="I217" s="1762">
        <f t="shared" si="47"/>
        <v>1</v>
      </c>
      <c r="J217" s="1769"/>
      <c r="K217" s="1762">
        <f t="shared" si="48"/>
        <v>1</v>
      </c>
      <c r="L217" s="1769"/>
      <c r="M217" s="1762">
        <f t="shared" si="49"/>
        <v>1</v>
      </c>
      <c r="N217" s="1769"/>
      <c r="O217" s="1762">
        <f t="shared" si="50"/>
        <v>1</v>
      </c>
      <c r="P217" s="1769"/>
      <c r="Q217" s="1762">
        <f t="shared" si="51"/>
        <v>1</v>
      </c>
      <c r="R217" s="1833">
        <f ca="1" t="shared" si="56"/>
        <v>0</v>
      </c>
      <c r="S217" s="1716">
        <f ca="1" t="shared" si="57"/>
        <v>0</v>
      </c>
      <c r="T217" s="1768">
        <f ca="1" t="shared" si="58"/>
        <v>0</v>
      </c>
      <c r="U217" s="1838">
        <f t="shared" si="52"/>
        <v>0</v>
      </c>
      <c r="V217" s="1838">
        <f t="shared" si="53"/>
        <v>0</v>
      </c>
      <c r="W217" s="1840"/>
      <c r="X217" s="1838">
        <f t="shared" si="54"/>
        <v>0</v>
      </c>
      <c r="Y217" s="1838">
        <f t="shared" si="55"/>
        <v>0</v>
      </c>
      <c r="Z217" s="1840"/>
    </row>
    <row r="218" spans="1:26">
      <c r="A218" s="1770"/>
      <c r="B218" s="1771"/>
      <c r="C218" s="1762">
        <f t="shared" si="44"/>
        <v>1</v>
      </c>
      <c r="D218" s="1769"/>
      <c r="E218" s="1762">
        <f t="shared" si="45"/>
        <v>1</v>
      </c>
      <c r="F218" s="1769"/>
      <c r="G218" s="1762">
        <f t="shared" si="46"/>
        <v>1</v>
      </c>
      <c r="H218" s="1769"/>
      <c r="I218" s="1762">
        <f t="shared" si="47"/>
        <v>1</v>
      </c>
      <c r="J218" s="1769"/>
      <c r="K218" s="1762">
        <f t="shared" si="48"/>
        <v>1</v>
      </c>
      <c r="L218" s="1769"/>
      <c r="M218" s="1762">
        <f t="shared" si="49"/>
        <v>1</v>
      </c>
      <c r="N218" s="1769"/>
      <c r="O218" s="1762">
        <f t="shared" si="50"/>
        <v>1</v>
      </c>
      <c r="P218" s="1769"/>
      <c r="Q218" s="1762">
        <f t="shared" si="51"/>
        <v>1</v>
      </c>
      <c r="R218" s="1833">
        <f ca="1" t="shared" si="56"/>
        <v>0</v>
      </c>
      <c r="S218" s="1716">
        <f ca="1" t="shared" si="57"/>
        <v>0</v>
      </c>
      <c r="T218" s="1768">
        <f ca="1" t="shared" si="58"/>
        <v>0</v>
      </c>
      <c r="U218" s="1838">
        <f t="shared" si="52"/>
        <v>0</v>
      </c>
      <c r="V218" s="1838">
        <f t="shared" si="53"/>
        <v>0</v>
      </c>
      <c r="W218" s="1840"/>
      <c r="X218" s="1838">
        <f t="shared" si="54"/>
        <v>0</v>
      </c>
      <c r="Y218" s="1838">
        <f t="shared" si="55"/>
        <v>0</v>
      </c>
      <c r="Z218" s="1840"/>
    </row>
    <row r="219" spans="1:26">
      <c r="A219" s="1770"/>
      <c r="B219" s="1771"/>
      <c r="C219" s="1762">
        <f t="shared" si="44"/>
        <v>1</v>
      </c>
      <c r="D219" s="1769"/>
      <c r="E219" s="1762">
        <f t="shared" si="45"/>
        <v>1</v>
      </c>
      <c r="F219" s="1769"/>
      <c r="G219" s="1762">
        <f t="shared" si="46"/>
        <v>1</v>
      </c>
      <c r="H219" s="1769"/>
      <c r="I219" s="1762">
        <f t="shared" si="47"/>
        <v>1</v>
      </c>
      <c r="J219" s="1769"/>
      <c r="K219" s="1762">
        <f t="shared" si="48"/>
        <v>1</v>
      </c>
      <c r="L219" s="1769"/>
      <c r="M219" s="1762">
        <f t="shared" si="49"/>
        <v>1</v>
      </c>
      <c r="N219" s="1769"/>
      <c r="O219" s="1762">
        <f t="shared" si="50"/>
        <v>1</v>
      </c>
      <c r="P219" s="1769"/>
      <c r="Q219" s="1762">
        <f t="shared" si="51"/>
        <v>1</v>
      </c>
      <c r="R219" s="1833">
        <f ca="1" t="shared" si="56"/>
        <v>0</v>
      </c>
      <c r="S219" s="1716">
        <f ca="1" t="shared" si="57"/>
        <v>0</v>
      </c>
      <c r="T219" s="1768">
        <f ca="1" t="shared" si="58"/>
        <v>0</v>
      </c>
      <c r="U219" s="1838">
        <f t="shared" si="52"/>
        <v>0</v>
      </c>
      <c r="V219" s="1838">
        <f t="shared" si="53"/>
        <v>0</v>
      </c>
      <c r="W219" s="1840"/>
      <c r="X219" s="1838">
        <f t="shared" si="54"/>
        <v>0</v>
      </c>
      <c r="Y219" s="1838">
        <f t="shared" si="55"/>
        <v>0</v>
      </c>
      <c r="Z219" s="1840"/>
    </row>
    <row r="220" spans="1:26">
      <c r="A220" s="1770"/>
      <c r="B220" s="1771"/>
      <c r="C220" s="1762">
        <f t="shared" ref="C220:C283" si="59">IF(B220="",1,(LOOKUP(B220,$6:$6,$7:$7)-LOOKUP($B$27,$6:$6,$7:$7)+100)/100)</f>
        <v>1</v>
      </c>
      <c r="D220" s="1769"/>
      <c r="E220" s="1762">
        <f t="shared" ref="E220:E283" si="60">(SUMIF($8:$8,D220,$9:$9)-SUMIF($8:$8,$D$27,$9:$9)+100)/100</f>
        <v>1</v>
      </c>
      <c r="F220" s="1769"/>
      <c r="G220" s="1762">
        <f t="shared" ref="G220:G283" si="61">(SUMIF($10:$10,F220,$11:$11)-SUMIF($10:$10,$F$27,$11:$11)+100)/100</f>
        <v>1</v>
      </c>
      <c r="H220" s="1769"/>
      <c r="I220" s="1762">
        <f t="shared" ref="I220:I283" si="62">(SUMIF($12:$12,H220,$13:$13)-SUMIF($12:$12,$H$27,$13:$13)+100)/100</f>
        <v>1</v>
      </c>
      <c r="J220" s="1769"/>
      <c r="K220" s="1762">
        <f t="shared" ref="K220:K283" si="63">(SUMIF($14:$14,J220,$15:$15)-SUMIF($14:$14,$J$27,$15:$15)+100)/100</f>
        <v>1</v>
      </c>
      <c r="L220" s="1769"/>
      <c r="M220" s="1762">
        <f t="shared" ref="M220:M283" si="64">(SUMIF($16:$16,L220,$17:$17)-SUMIF($16:$16,$L$27,$17:$17)+100)/100</f>
        <v>1</v>
      </c>
      <c r="N220" s="1769"/>
      <c r="O220" s="1762">
        <f t="shared" ref="O220:O283" si="65">(SUMIF($18:$18,N220,$19:$19)-SUMIF($18:$18,$N$27,$19:$19)+100)/100</f>
        <v>1</v>
      </c>
      <c r="P220" s="1769"/>
      <c r="Q220" s="1762">
        <f t="shared" ref="Q220:Q283" si="66">(SUMIF($20:$20,P220,$21:$21)-SUMIF($20:$20,$P$27,$21:$21)+100)/100</f>
        <v>1</v>
      </c>
      <c r="R220" s="1833">
        <f ca="1" t="shared" si="56"/>
        <v>0</v>
      </c>
      <c r="S220" s="1716">
        <f ca="1" t="shared" si="57"/>
        <v>0</v>
      </c>
      <c r="T220" s="1768">
        <f ca="1" t="shared" si="58"/>
        <v>0</v>
      </c>
      <c r="U220" s="1838">
        <f t="shared" ref="U220:U283" si="67">ROUND(W220*B220,0)</f>
        <v>0</v>
      </c>
      <c r="V220" s="1838">
        <f t="shared" ref="V220:V283" si="68">ROUND(W220*B220/10000,0)</f>
        <v>0</v>
      </c>
      <c r="W220" s="1840"/>
      <c r="X220" s="1838">
        <f t="shared" ref="X220:X283" si="69">ROUND(Z220*B220,0)</f>
        <v>0</v>
      </c>
      <c r="Y220" s="1838">
        <f t="shared" ref="Y220:Y283" si="70">ROUND(Z220*B220/10000,0)</f>
        <v>0</v>
      </c>
      <c r="Z220" s="1840"/>
    </row>
    <row r="221" spans="1:26">
      <c r="A221" s="1770"/>
      <c r="B221" s="1771"/>
      <c r="C221" s="1762">
        <f t="shared" si="59"/>
        <v>1</v>
      </c>
      <c r="D221" s="1769"/>
      <c r="E221" s="1762">
        <f t="shared" si="60"/>
        <v>1</v>
      </c>
      <c r="F221" s="1769"/>
      <c r="G221" s="1762">
        <f t="shared" si="61"/>
        <v>1</v>
      </c>
      <c r="H221" s="1769"/>
      <c r="I221" s="1762">
        <f t="shared" si="62"/>
        <v>1</v>
      </c>
      <c r="J221" s="1769"/>
      <c r="K221" s="1762">
        <f t="shared" si="63"/>
        <v>1</v>
      </c>
      <c r="L221" s="1769"/>
      <c r="M221" s="1762">
        <f t="shared" si="64"/>
        <v>1</v>
      </c>
      <c r="N221" s="1769"/>
      <c r="O221" s="1762">
        <f t="shared" si="65"/>
        <v>1</v>
      </c>
      <c r="P221" s="1769"/>
      <c r="Q221" s="1762">
        <f t="shared" si="66"/>
        <v>1</v>
      </c>
      <c r="R221" s="1833">
        <f ca="1" t="shared" ref="R221:R284" si="71">IF(B221="",0,ROUND($R$27*C221*E221*G221*I221*K221*M221*O221*Q221,0))</f>
        <v>0</v>
      </c>
      <c r="S221" s="1716">
        <f ca="1" t="shared" ref="S221:S284" si="72">ROUND(R221*B221,0)</f>
        <v>0</v>
      </c>
      <c r="T221" s="1768">
        <f ca="1" t="shared" ref="T221:T284" si="73">ROUND(R221*B221/10000,0)</f>
        <v>0</v>
      </c>
      <c r="U221" s="1838">
        <f t="shared" si="67"/>
        <v>0</v>
      </c>
      <c r="V221" s="1838">
        <f t="shared" si="68"/>
        <v>0</v>
      </c>
      <c r="W221" s="1840"/>
      <c r="X221" s="1838">
        <f t="shared" si="69"/>
        <v>0</v>
      </c>
      <c r="Y221" s="1838">
        <f t="shared" si="70"/>
        <v>0</v>
      </c>
      <c r="Z221" s="1840"/>
    </row>
    <row r="222" spans="1:26">
      <c r="A222" s="1770"/>
      <c r="B222" s="1771"/>
      <c r="C222" s="1762">
        <f t="shared" si="59"/>
        <v>1</v>
      </c>
      <c r="D222" s="1769"/>
      <c r="E222" s="1762">
        <f t="shared" si="60"/>
        <v>1</v>
      </c>
      <c r="F222" s="1769"/>
      <c r="G222" s="1762">
        <f t="shared" si="61"/>
        <v>1</v>
      </c>
      <c r="H222" s="1769"/>
      <c r="I222" s="1762">
        <f t="shared" si="62"/>
        <v>1</v>
      </c>
      <c r="J222" s="1769"/>
      <c r="K222" s="1762">
        <f t="shared" si="63"/>
        <v>1</v>
      </c>
      <c r="L222" s="1769"/>
      <c r="M222" s="1762">
        <f t="shared" si="64"/>
        <v>1</v>
      </c>
      <c r="N222" s="1769"/>
      <c r="O222" s="1762">
        <f t="shared" si="65"/>
        <v>1</v>
      </c>
      <c r="P222" s="1769"/>
      <c r="Q222" s="1762">
        <f t="shared" si="66"/>
        <v>1</v>
      </c>
      <c r="R222" s="1833">
        <f ca="1" t="shared" si="71"/>
        <v>0</v>
      </c>
      <c r="S222" s="1716">
        <f ca="1" t="shared" si="72"/>
        <v>0</v>
      </c>
      <c r="T222" s="1768">
        <f ca="1" t="shared" si="73"/>
        <v>0</v>
      </c>
      <c r="U222" s="1838">
        <f t="shared" si="67"/>
        <v>0</v>
      </c>
      <c r="V222" s="1838">
        <f t="shared" si="68"/>
        <v>0</v>
      </c>
      <c r="W222" s="1840"/>
      <c r="X222" s="1838">
        <f t="shared" si="69"/>
        <v>0</v>
      </c>
      <c r="Y222" s="1838">
        <f t="shared" si="70"/>
        <v>0</v>
      </c>
      <c r="Z222" s="1840"/>
    </row>
    <row r="223" spans="1:26">
      <c r="A223" s="1770"/>
      <c r="B223" s="1771"/>
      <c r="C223" s="1762">
        <f t="shared" si="59"/>
        <v>1</v>
      </c>
      <c r="D223" s="1769"/>
      <c r="E223" s="1762">
        <f t="shared" si="60"/>
        <v>1</v>
      </c>
      <c r="F223" s="1769"/>
      <c r="G223" s="1762">
        <f t="shared" si="61"/>
        <v>1</v>
      </c>
      <c r="H223" s="1769"/>
      <c r="I223" s="1762">
        <f t="shared" si="62"/>
        <v>1</v>
      </c>
      <c r="J223" s="1769"/>
      <c r="K223" s="1762">
        <f t="shared" si="63"/>
        <v>1</v>
      </c>
      <c r="L223" s="1769"/>
      <c r="M223" s="1762">
        <f t="shared" si="64"/>
        <v>1</v>
      </c>
      <c r="N223" s="1769"/>
      <c r="O223" s="1762">
        <f t="shared" si="65"/>
        <v>1</v>
      </c>
      <c r="P223" s="1769"/>
      <c r="Q223" s="1762">
        <f t="shared" si="66"/>
        <v>1</v>
      </c>
      <c r="R223" s="1833">
        <f ca="1" t="shared" si="71"/>
        <v>0</v>
      </c>
      <c r="S223" s="1716">
        <f ca="1" t="shared" si="72"/>
        <v>0</v>
      </c>
      <c r="T223" s="1768">
        <f ca="1" t="shared" si="73"/>
        <v>0</v>
      </c>
      <c r="U223" s="1838">
        <f t="shared" si="67"/>
        <v>0</v>
      </c>
      <c r="V223" s="1838">
        <f t="shared" si="68"/>
        <v>0</v>
      </c>
      <c r="W223" s="1840"/>
      <c r="X223" s="1838">
        <f t="shared" si="69"/>
        <v>0</v>
      </c>
      <c r="Y223" s="1838">
        <f t="shared" si="70"/>
        <v>0</v>
      </c>
      <c r="Z223" s="1840"/>
    </row>
    <row r="224" spans="1:26">
      <c r="A224" s="1770"/>
      <c r="B224" s="1771"/>
      <c r="C224" s="1762">
        <f t="shared" si="59"/>
        <v>1</v>
      </c>
      <c r="D224" s="1769"/>
      <c r="E224" s="1762">
        <f t="shared" si="60"/>
        <v>1</v>
      </c>
      <c r="F224" s="1769"/>
      <c r="G224" s="1762">
        <f t="shared" si="61"/>
        <v>1</v>
      </c>
      <c r="H224" s="1769"/>
      <c r="I224" s="1762">
        <f t="shared" si="62"/>
        <v>1</v>
      </c>
      <c r="J224" s="1769"/>
      <c r="K224" s="1762">
        <f t="shared" si="63"/>
        <v>1</v>
      </c>
      <c r="L224" s="1769"/>
      <c r="M224" s="1762">
        <f t="shared" si="64"/>
        <v>1</v>
      </c>
      <c r="N224" s="1769"/>
      <c r="O224" s="1762">
        <f t="shared" si="65"/>
        <v>1</v>
      </c>
      <c r="P224" s="1769"/>
      <c r="Q224" s="1762">
        <f t="shared" si="66"/>
        <v>1</v>
      </c>
      <c r="R224" s="1833">
        <f ca="1" t="shared" si="71"/>
        <v>0</v>
      </c>
      <c r="S224" s="1716">
        <f ca="1" t="shared" si="72"/>
        <v>0</v>
      </c>
      <c r="T224" s="1768">
        <f ca="1" t="shared" si="73"/>
        <v>0</v>
      </c>
      <c r="U224" s="1838">
        <f t="shared" si="67"/>
        <v>0</v>
      </c>
      <c r="V224" s="1838">
        <f t="shared" si="68"/>
        <v>0</v>
      </c>
      <c r="W224" s="1840"/>
      <c r="X224" s="1838">
        <f t="shared" si="69"/>
        <v>0</v>
      </c>
      <c r="Y224" s="1838">
        <f t="shared" si="70"/>
        <v>0</v>
      </c>
      <c r="Z224" s="1840"/>
    </row>
    <row r="225" spans="1:26">
      <c r="A225" s="1770"/>
      <c r="B225" s="1771"/>
      <c r="C225" s="1762">
        <f t="shared" si="59"/>
        <v>1</v>
      </c>
      <c r="D225" s="1769"/>
      <c r="E225" s="1762">
        <f t="shared" si="60"/>
        <v>1</v>
      </c>
      <c r="F225" s="1769"/>
      <c r="G225" s="1762">
        <f t="shared" si="61"/>
        <v>1</v>
      </c>
      <c r="H225" s="1769"/>
      <c r="I225" s="1762">
        <f t="shared" si="62"/>
        <v>1</v>
      </c>
      <c r="J225" s="1769"/>
      <c r="K225" s="1762">
        <f t="shared" si="63"/>
        <v>1</v>
      </c>
      <c r="L225" s="1769"/>
      <c r="M225" s="1762">
        <f t="shared" si="64"/>
        <v>1</v>
      </c>
      <c r="N225" s="1769"/>
      <c r="O225" s="1762">
        <f t="shared" si="65"/>
        <v>1</v>
      </c>
      <c r="P225" s="1769"/>
      <c r="Q225" s="1762">
        <f t="shared" si="66"/>
        <v>1</v>
      </c>
      <c r="R225" s="1833">
        <f ca="1" t="shared" si="71"/>
        <v>0</v>
      </c>
      <c r="S225" s="1716">
        <f ca="1" t="shared" si="72"/>
        <v>0</v>
      </c>
      <c r="T225" s="1768">
        <f ca="1" t="shared" si="73"/>
        <v>0</v>
      </c>
      <c r="U225" s="1838">
        <f t="shared" si="67"/>
        <v>0</v>
      </c>
      <c r="V225" s="1838">
        <f t="shared" si="68"/>
        <v>0</v>
      </c>
      <c r="W225" s="1840"/>
      <c r="X225" s="1838">
        <f t="shared" si="69"/>
        <v>0</v>
      </c>
      <c r="Y225" s="1838">
        <f t="shared" si="70"/>
        <v>0</v>
      </c>
      <c r="Z225" s="1840"/>
    </row>
    <row r="226" spans="1:26">
      <c r="A226" s="1770"/>
      <c r="B226" s="1771"/>
      <c r="C226" s="1762">
        <f t="shared" si="59"/>
        <v>1</v>
      </c>
      <c r="D226" s="1769"/>
      <c r="E226" s="1762">
        <f t="shared" si="60"/>
        <v>1</v>
      </c>
      <c r="F226" s="1769"/>
      <c r="G226" s="1762">
        <f t="shared" si="61"/>
        <v>1</v>
      </c>
      <c r="H226" s="1769"/>
      <c r="I226" s="1762">
        <f t="shared" si="62"/>
        <v>1</v>
      </c>
      <c r="J226" s="1769"/>
      <c r="K226" s="1762">
        <f t="shared" si="63"/>
        <v>1</v>
      </c>
      <c r="L226" s="1769"/>
      <c r="M226" s="1762">
        <f t="shared" si="64"/>
        <v>1</v>
      </c>
      <c r="N226" s="1769"/>
      <c r="O226" s="1762">
        <f t="shared" si="65"/>
        <v>1</v>
      </c>
      <c r="P226" s="1769"/>
      <c r="Q226" s="1762">
        <f t="shared" si="66"/>
        <v>1</v>
      </c>
      <c r="R226" s="1833">
        <f ca="1" t="shared" si="71"/>
        <v>0</v>
      </c>
      <c r="S226" s="1716">
        <f ca="1" t="shared" si="72"/>
        <v>0</v>
      </c>
      <c r="T226" s="1768">
        <f ca="1" t="shared" si="73"/>
        <v>0</v>
      </c>
      <c r="U226" s="1838">
        <f t="shared" si="67"/>
        <v>0</v>
      </c>
      <c r="V226" s="1838">
        <f t="shared" si="68"/>
        <v>0</v>
      </c>
      <c r="W226" s="1840"/>
      <c r="X226" s="1838">
        <f t="shared" si="69"/>
        <v>0</v>
      </c>
      <c r="Y226" s="1838">
        <f t="shared" si="70"/>
        <v>0</v>
      </c>
      <c r="Z226" s="1840"/>
    </row>
    <row r="227" spans="1:26">
      <c r="A227" s="1770"/>
      <c r="B227" s="1771"/>
      <c r="C227" s="1762">
        <f t="shared" si="59"/>
        <v>1</v>
      </c>
      <c r="D227" s="1769"/>
      <c r="E227" s="1762">
        <f t="shared" si="60"/>
        <v>1</v>
      </c>
      <c r="F227" s="1769"/>
      <c r="G227" s="1762">
        <f t="shared" si="61"/>
        <v>1</v>
      </c>
      <c r="H227" s="1769"/>
      <c r="I227" s="1762">
        <f t="shared" si="62"/>
        <v>1</v>
      </c>
      <c r="J227" s="1769"/>
      <c r="K227" s="1762">
        <f t="shared" si="63"/>
        <v>1</v>
      </c>
      <c r="L227" s="1769"/>
      <c r="M227" s="1762">
        <f t="shared" si="64"/>
        <v>1</v>
      </c>
      <c r="N227" s="1769"/>
      <c r="O227" s="1762">
        <f t="shared" si="65"/>
        <v>1</v>
      </c>
      <c r="P227" s="1769"/>
      <c r="Q227" s="1762">
        <f t="shared" si="66"/>
        <v>1</v>
      </c>
      <c r="R227" s="1833">
        <f ca="1" t="shared" si="71"/>
        <v>0</v>
      </c>
      <c r="S227" s="1716">
        <f ca="1" t="shared" si="72"/>
        <v>0</v>
      </c>
      <c r="T227" s="1768">
        <f ca="1" t="shared" si="73"/>
        <v>0</v>
      </c>
      <c r="U227" s="1838">
        <f t="shared" si="67"/>
        <v>0</v>
      </c>
      <c r="V227" s="1838">
        <f t="shared" si="68"/>
        <v>0</v>
      </c>
      <c r="W227" s="1840"/>
      <c r="X227" s="1838">
        <f t="shared" si="69"/>
        <v>0</v>
      </c>
      <c r="Y227" s="1838">
        <f t="shared" si="70"/>
        <v>0</v>
      </c>
      <c r="Z227" s="1840"/>
    </row>
    <row r="228" spans="1:26">
      <c r="A228" s="1770"/>
      <c r="B228" s="1771"/>
      <c r="C228" s="1762">
        <f t="shared" si="59"/>
        <v>1</v>
      </c>
      <c r="D228" s="1769"/>
      <c r="E228" s="1762">
        <f t="shared" si="60"/>
        <v>1</v>
      </c>
      <c r="F228" s="1769"/>
      <c r="G228" s="1762">
        <f t="shared" si="61"/>
        <v>1</v>
      </c>
      <c r="H228" s="1769"/>
      <c r="I228" s="1762">
        <f t="shared" si="62"/>
        <v>1</v>
      </c>
      <c r="J228" s="1769"/>
      <c r="K228" s="1762">
        <f t="shared" si="63"/>
        <v>1</v>
      </c>
      <c r="L228" s="1769"/>
      <c r="M228" s="1762">
        <f t="shared" si="64"/>
        <v>1</v>
      </c>
      <c r="N228" s="1769"/>
      <c r="O228" s="1762">
        <f t="shared" si="65"/>
        <v>1</v>
      </c>
      <c r="P228" s="1769"/>
      <c r="Q228" s="1762">
        <f t="shared" si="66"/>
        <v>1</v>
      </c>
      <c r="R228" s="1833">
        <f ca="1" t="shared" si="71"/>
        <v>0</v>
      </c>
      <c r="S228" s="1716">
        <f ca="1" t="shared" si="72"/>
        <v>0</v>
      </c>
      <c r="T228" s="1768">
        <f ca="1" t="shared" si="73"/>
        <v>0</v>
      </c>
      <c r="U228" s="1838">
        <f t="shared" si="67"/>
        <v>0</v>
      </c>
      <c r="V228" s="1838">
        <f t="shared" si="68"/>
        <v>0</v>
      </c>
      <c r="W228" s="1840"/>
      <c r="X228" s="1838">
        <f t="shared" si="69"/>
        <v>0</v>
      </c>
      <c r="Y228" s="1838">
        <f t="shared" si="70"/>
        <v>0</v>
      </c>
      <c r="Z228" s="1840"/>
    </row>
    <row r="229" spans="1:26">
      <c r="A229" s="1770"/>
      <c r="B229" s="1771"/>
      <c r="C229" s="1762">
        <f t="shared" si="59"/>
        <v>1</v>
      </c>
      <c r="D229" s="1769"/>
      <c r="E229" s="1762">
        <f t="shared" si="60"/>
        <v>1</v>
      </c>
      <c r="F229" s="1769"/>
      <c r="G229" s="1762">
        <f t="shared" si="61"/>
        <v>1</v>
      </c>
      <c r="H229" s="1769"/>
      <c r="I229" s="1762">
        <f t="shared" si="62"/>
        <v>1</v>
      </c>
      <c r="J229" s="1769"/>
      <c r="K229" s="1762">
        <f t="shared" si="63"/>
        <v>1</v>
      </c>
      <c r="L229" s="1769"/>
      <c r="M229" s="1762">
        <f t="shared" si="64"/>
        <v>1</v>
      </c>
      <c r="N229" s="1769"/>
      <c r="O229" s="1762">
        <f t="shared" si="65"/>
        <v>1</v>
      </c>
      <c r="P229" s="1769"/>
      <c r="Q229" s="1762">
        <f t="shared" si="66"/>
        <v>1</v>
      </c>
      <c r="R229" s="1833">
        <f ca="1" t="shared" si="71"/>
        <v>0</v>
      </c>
      <c r="S229" s="1716">
        <f ca="1" t="shared" si="72"/>
        <v>0</v>
      </c>
      <c r="T229" s="1768">
        <f ca="1" t="shared" si="73"/>
        <v>0</v>
      </c>
      <c r="U229" s="1838">
        <f t="shared" si="67"/>
        <v>0</v>
      </c>
      <c r="V229" s="1838">
        <f t="shared" si="68"/>
        <v>0</v>
      </c>
      <c r="W229" s="1840"/>
      <c r="X229" s="1838">
        <f t="shared" si="69"/>
        <v>0</v>
      </c>
      <c r="Y229" s="1838">
        <f t="shared" si="70"/>
        <v>0</v>
      </c>
      <c r="Z229" s="1840"/>
    </row>
    <row r="230" spans="1:26">
      <c r="A230" s="1770"/>
      <c r="B230" s="1771"/>
      <c r="C230" s="1762">
        <f t="shared" si="59"/>
        <v>1</v>
      </c>
      <c r="D230" s="1769"/>
      <c r="E230" s="1762">
        <f t="shared" si="60"/>
        <v>1</v>
      </c>
      <c r="F230" s="1769"/>
      <c r="G230" s="1762">
        <f t="shared" si="61"/>
        <v>1</v>
      </c>
      <c r="H230" s="1769"/>
      <c r="I230" s="1762">
        <f t="shared" si="62"/>
        <v>1</v>
      </c>
      <c r="J230" s="1769"/>
      <c r="K230" s="1762">
        <f t="shared" si="63"/>
        <v>1</v>
      </c>
      <c r="L230" s="1769"/>
      <c r="M230" s="1762">
        <f t="shared" si="64"/>
        <v>1</v>
      </c>
      <c r="N230" s="1769"/>
      <c r="O230" s="1762">
        <f t="shared" si="65"/>
        <v>1</v>
      </c>
      <c r="P230" s="1769"/>
      <c r="Q230" s="1762">
        <f t="shared" si="66"/>
        <v>1</v>
      </c>
      <c r="R230" s="1833">
        <f ca="1" t="shared" si="71"/>
        <v>0</v>
      </c>
      <c r="S230" s="1716">
        <f ca="1" t="shared" si="72"/>
        <v>0</v>
      </c>
      <c r="T230" s="1768">
        <f ca="1" t="shared" si="73"/>
        <v>0</v>
      </c>
      <c r="U230" s="1838">
        <f t="shared" si="67"/>
        <v>0</v>
      </c>
      <c r="V230" s="1838">
        <f t="shared" si="68"/>
        <v>0</v>
      </c>
      <c r="W230" s="1840"/>
      <c r="X230" s="1838">
        <f t="shared" si="69"/>
        <v>0</v>
      </c>
      <c r="Y230" s="1838">
        <f t="shared" si="70"/>
        <v>0</v>
      </c>
      <c r="Z230" s="1840"/>
    </row>
    <row r="231" spans="1:26">
      <c r="A231" s="1770"/>
      <c r="B231" s="1771"/>
      <c r="C231" s="1762">
        <f t="shared" si="59"/>
        <v>1</v>
      </c>
      <c r="D231" s="1769"/>
      <c r="E231" s="1762">
        <f t="shared" si="60"/>
        <v>1</v>
      </c>
      <c r="F231" s="1769"/>
      <c r="G231" s="1762">
        <f t="shared" si="61"/>
        <v>1</v>
      </c>
      <c r="H231" s="1769"/>
      <c r="I231" s="1762">
        <f t="shared" si="62"/>
        <v>1</v>
      </c>
      <c r="J231" s="1769"/>
      <c r="K231" s="1762">
        <f t="shared" si="63"/>
        <v>1</v>
      </c>
      <c r="L231" s="1769"/>
      <c r="M231" s="1762">
        <f t="shared" si="64"/>
        <v>1</v>
      </c>
      <c r="N231" s="1769"/>
      <c r="O231" s="1762">
        <f t="shared" si="65"/>
        <v>1</v>
      </c>
      <c r="P231" s="1769"/>
      <c r="Q231" s="1762">
        <f t="shared" si="66"/>
        <v>1</v>
      </c>
      <c r="R231" s="1833">
        <f ca="1" t="shared" si="71"/>
        <v>0</v>
      </c>
      <c r="S231" s="1716">
        <f ca="1" t="shared" si="72"/>
        <v>0</v>
      </c>
      <c r="T231" s="1768">
        <f ca="1" t="shared" si="73"/>
        <v>0</v>
      </c>
      <c r="U231" s="1838">
        <f t="shared" si="67"/>
        <v>0</v>
      </c>
      <c r="V231" s="1838">
        <f t="shared" si="68"/>
        <v>0</v>
      </c>
      <c r="W231" s="1840"/>
      <c r="X231" s="1838">
        <f t="shared" si="69"/>
        <v>0</v>
      </c>
      <c r="Y231" s="1838">
        <f t="shared" si="70"/>
        <v>0</v>
      </c>
      <c r="Z231" s="1840"/>
    </row>
    <row r="232" spans="1:26">
      <c r="A232" s="1770"/>
      <c r="B232" s="1771"/>
      <c r="C232" s="1762">
        <f t="shared" si="59"/>
        <v>1</v>
      </c>
      <c r="D232" s="1769"/>
      <c r="E232" s="1762">
        <f t="shared" si="60"/>
        <v>1</v>
      </c>
      <c r="F232" s="1769"/>
      <c r="G232" s="1762">
        <f t="shared" si="61"/>
        <v>1</v>
      </c>
      <c r="H232" s="1769"/>
      <c r="I232" s="1762">
        <f t="shared" si="62"/>
        <v>1</v>
      </c>
      <c r="J232" s="1769"/>
      <c r="K232" s="1762">
        <f t="shared" si="63"/>
        <v>1</v>
      </c>
      <c r="L232" s="1769"/>
      <c r="M232" s="1762">
        <f t="shared" si="64"/>
        <v>1</v>
      </c>
      <c r="N232" s="1769"/>
      <c r="O232" s="1762">
        <f t="shared" si="65"/>
        <v>1</v>
      </c>
      <c r="P232" s="1769"/>
      <c r="Q232" s="1762">
        <f t="shared" si="66"/>
        <v>1</v>
      </c>
      <c r="R232" s="1833">
        <f ca="1" t="shared" si="71"/>
        <v>0</v>
      </c>
      <c r="S232" s="1716">
        <f ca="1" t="shared" si="72"/>
        <v>0</v>
      </c>
      <c r="T232" s="1768">
        <f ca="1" t="shared" si="73"/>
        <v>0</v>
      </c>
      <c r="U232" s="1838">
        <f t="shared" si="67"/>
        <v>0</v>
      </c>
      <c r="V232" s="1838">
        <f t="shared" si="68"/>
        <v>0</v>
      </c>
      <c r="W232" s="1840"/>
      <c r="X232" s="1838">
        <f t="shared" si="69"/>
        <v>0</v>
      </c>
      <c r="Y232" s="1838">
        <f t="shared" si="70"/>
        <v>0</v>
      </c>
      <c r="Z232" s="1840"/>
    </row>
    <row r="233" spans="1:26">
      <c r="A233" s="1770"/>
      <c r="B233" s="1771"/>
      <c r="C233" s="1762">
        <f t="shared" si="59"/>
        <v>1</v>
      </c>
      <c r="D233" s="1769"/>
      <c r="E233" s="1762">
        <f t="shared" si="60"/>
        <v>1</v>
      </c>
      <c r="F233" s="1769"/>
      <c r="G233" s="1762">
        <f t="shared" si="61"/>
        <v>1</v>
      </c>
      <c r="H233" s="1769"/>
      <c r="I233" s="1762">
        <f t="shared" si="62"/>
        <v>1</v>
      </c>
      <c r="J233" s="1769"/>
      <c r="K233" s="1762">
        <f t="shared" si="63"/>
        <v>1</v>
      </c>
      <c r="L233" s="1769"/>
      <c r="M233" s="1762">
        <f t="shared" si="64"/>
        <v>1</v>
      </c>
      <c r="N233" s="1769"/>
      <c r="O233" s="1762">
        <f t="shared" si="65"/>
        <v>1</v>
      </c>
      <c r="P233" s="1769"/>
      <c r="Q233" s="1762">
        <f t="shared" si="66"/>
        <v>1</v>
      </c>
      <c r="R233" s="1833">
        <f ca="1" t="shared" si="71"/>
        <v>0</v>
      </c>
      <c r="S233" s="1716">
        <f ca="1" t="shared" si="72"/>
        <v>0</v>
      </c>
      <c r="T233" s="1768">
        <f ca="1" t="shared" si="73"/>
        <v>0</v>
      </c>
      <c r="U233" s="1838">
        <f t="shared" si="67"/>
        <v>0</v>
      </c>
      <c r="V233" s="1838">
        <f t="shared" si="68"/>
        <v>0</v>
      </c>
      <c r="W233" s="1840"/>
      <c r="X233" s="1838">
        <f t="shared" si="69"/>
        <v>0</v>
      </c>
      <c r="Y233" s="1838">
        <f t="shared" si="70"/>
        <v>0</v>
      </c>
      <c r="Z233" s="1840"/>
    </row>
    <row r="234" spans="1:26">
      <c r="A234" s="1770"/>
      <c r="B234" s="1771"/>
      <c r="C234" s="1762">
        <f t="shared" si="59"/>
        <v>1</v>
      </c>
      <c r="D234" s="1769"/>
      <c r="E234" s="1762">
        <f t="shared" si="60"/>
        <v>1</v>
      </c>
      <c r="F234" s="1769"/>
      <c r="G234" s="1762">
        <f t="shared" si="61"/>
        <v>1</v>
      </c>
      <c r="H234" s="1769"/>
      <c r="I234" s="1762">
        <f t="shared" si="62"/>
        <v>1</v>
      </c>
      <c r="J234" s="1769"/>
      <c r="K234" s="1762">
        <f t="shared" si="63"/>
        <v>1</v>
      </c>
      <c r="L234" s="1769"/>
      <c r="M234" s="1762">
        <f t="shared" si="64"/>
        <v>1</v>
      </c>
      <c r="N234" s="1769"/>
      <c r="O234" s="1762">
        <f t="shared" si="65"/>
        <v>1</v>
      </c>
      <c r="P234" s="1769"/>
      <c r="Q234" s="1762">
        <f t="shared" si="66"/>
        <v>1</v>
      </c>
      <c r="R234" s="1833">
        <f ca="1" t="shared" si="71"/>
        <v>0</v>
      </c>
      <c r="S234" s="1716">
        <f ca="1" t="shared" si="72"/>
        <v>0</v>
      </c>
      <c r="T234" s="1768">
        <f ca="1" t="shared" si="73"/>
        <v>0</v>
      </c>
      <c r="U234" s="1838">
        <f t="shared" si="67"/>
        <v>0</v>
      </c>
      <c r="V234" s="1838">
        <f t="shared" si="68"/>
        <v>0</v>
      </c>
      <c r="W234" s="1840"/>
      <c r="X234" s="1838">
        <f t="shared" si="69"/>
        <v>0</v>
      </c>
      <c r="Y234" s="1838">
        <f t="shared" si="70"/>
        <v>0</v>
      </c>
      <c r="Z234" s="1840"/>
    </row>
    <row r="235" spans="1:26">
      <c r="A235" s="1770"/>
      <c r="B235" s="1771"/>
      <c r="C235" s="1762">
        <f t="shared" si="59"/>
        <v>1</v>
      </c>
      <c r="D235" s="1769"/>
      <c r="E235" s="1762">
        <f t="shared" si="60"/>
        <v>1</v>
      </c>
      <c r="F235" s="1769"/>
      <c r="G235" s="1762">
        <f t="shared" si="61"/>
        <v>1</v>
      </c>
      <c r="H235" s="1769"/>
      <c r="I235" s="1762">
        <f t="shared" si="62"/>
        <v>1</v>
      </c>
      <c r="J235" s="1769"/>
      <c r="K235" s="1762">
        <f t="shared" si="63"/>
        <v>1</v>
      </c>
      <c r="L235" s="1769"/>
      <c r="M235" s="1762">
        <f t="shared" si="64"/>
        <v>1</v>
      </c>
      <c r="N235" s="1769"/>
      <c r="O235" s="1762">
        <f t="shared" si="65"/>
        <v>1</v>
      </c>
      <c r="P235" s="1769"/>
      <c r="Q235" s="1762">
        <f t="shared" si="66"/>
        <v>1</v>
      </c>
      <c r="R235" s="1833">
        <f ca="1" t="shared" si="71"/>
        <v>0</v>
      </c>
      <c r="S235" s="1716">
        <f ca="1" t="shared" si="72"/>
        <v>0</v>
      </c>
      <c r="T235" s="1768">
        <f ca="1" t="shared" si="73"/>
        <v>0</v>
      </c>
      <c r="U235" s="1838">
        <f t="shared" si="67"/>
        <v>0</v>
      </c>
      <c r="V235" s="1838">
        <f t="shared" si="68"/>
        <v>0</v>
      </c>
      <c r="W235" s="1840"/>
      <c r="X235" s="1838">
        <f t="shared" si="69"/>
        <v>0</v>
      </c>
      <c r="Y235" s="1838">
        <f t="shared" si="70"/>
        <v>0</v>
      </c>
      <c r="Z235" s="1840"/>
    </row>
    <row r="236" spans="1:26">
      <c r="A236" s="1770"/>
      <c r="B236" s="1771"/>
      <c r="C236" s="1762">
        <f t="shared" si="59"/>
        <v>1</v>
      </c>
      <c r="D236" s="1769"/>
      <c r="E236" s="1762">
        <f t="shared" si="60"/>
        <v>1</v>
      </c>
      <c r="F236" s="1769"/>
      <c r="G236" s="1762">
        <f t="shared" si="61"/>
        <v>1</v>
      </c>
      <c r="H236" s="1769"/>
      <c r="I236" s="1762">
        <f t="shared" si="62"/>
        <v>1</v>
      </c>
      <c r="J236" s="1769"/>
      <c r="K236" s="1762">
        <f t="shared" si="63"/>
        <v>1</v>
      </c>
      <c r="L236" s="1769"/>
      <c r="M236" s="1762">
        <f t="shared" si="64"/>
        <v>1</v>
      </c>
      <c r="N236" s="1769"/>
      <c r="O236" s="1762">
        <f t="shared" si="65"/>
        <v>1</v>
      </c>
      <c r="P236" s="1769"/>
      <c r="Q236" s="1762">
        <f t="shared" si="66"/>
        <v>1</v>
      </c>
      <c r="R236" s="1833">
        <f ca="1" t="shared" si="71"/>
        <v>0</v>
      </c>
      <c r="S236" s="1716">
        <f ca="1" t="shared" si="72"/>
        <v>0</v>
      </c>
      <c r="T236" s="1768">
        <f ca="1" t="shared" si="73"/>
        <v>0</v>
      </c>
      <c r="U236" s="1838">
        <f t="shared" si="67"/>
        <v>0</v>
      </c>
      <c r="V236" s="1838">
        <f t="shared" si="68"/>
        <v>0</v>
      </c>
      <c r="W236" s="1840"/>
      <c r="X236" s="1838">
        <f t="shared" si="69"/>
        <v>0</v>
      </c>
      <c r="Y236" s="1838">
        <f t="shared" si="70"/>
        <v>0</v>
      </c>
      <c r="Z236" s="1840"/>
    </row>
    <row r="237" spans="1:26">
      <c r="A237" s="1770"/>
      <c r="B237" s="1771"/>
      <c r="C237" s="1762">
        <f t="shared" si="59"/>
        <v>1</v>
      </c>
      <c r="D237" s="1769"/>
      <c r="E237" s="1762">
        <f t="shared" si="60"/>
        <v>1</v>
      </c>
      <c r="F237" s="1769"/>
      <c r="G237" s="1762">
        <f t="shared" si="61"/>
        <v>1</v>
      </c>
      <c r="H237" s="1769"/>
      <c r="I237" s="1762">
        <f t="shared" si="62"/>
        <v>1</v>
      </c>
      <c r="J237" s="1769"/>
      <c r="K237" s="1762">
        <f t="shared" si="63"/>
        <v>1</v>
      </c>
      <c r="L237" s="1769"/>
      <c r="M237" s="1762">
        <f t="shared" si="64"/>
        <v>1</v>
      </c>
      <c r="N237" s="1769"/>
      <c r="O237" s="1762">
        <f t="shared" si="65"/>
        <v>1</v>
      </c>
      <c r="P237" s="1769"/>
      <c r="Q237" s="1762">
        <f t="shared" si="66"/>
        <v>1</v>
      </c>
      <c r="R237" s="1833">
        <f ca="1" t="shared" si="71"/>
        <v>0</v>
      </c>
      <c r="S237" s="1716">
        <f ca="1" t="shared" si="72"/>
        <v>0</v>
      </c>
      <c r="T237" s="1768">
        <f ca="1" t="shared" si="73"/>
        <v>0</v>
      </c>
      <c r="U237" s="1838">
        <f t="shared" si="67"/>
        <v>0</v>
      </c>
      <c r="V237" s="1838">
        <f t="shared" si="68"/>
        <v>0</v>
      </c>
      <c r="W237" s="1840"/>
      <c r="X237" s="1838">
        <f t="shared" si="69"/>
        <v>0</v>
      </c>
      <c r="Y237" s="1838">
        <f t="shared" si="70"/>
        <v>0</v>
      </c>
      <c r="Z237" s="1840"/>
    </row>
    <row r="238" spans="1:26">
      <c r="A238" s="1770"/>
      <c r="B238" s="1771"/>
      <c r="C238" s="1762">
        <f t="shared" si="59"/>
        <v>1</v>
      </c>
      <c r="D238" s="1769"/>
      <c r="E238" s="1762">
        <f t="shared" si="60"/>
        <v>1</v>
      </c>
      <c r="F238" s="1769"/>
      <c r="G238" s="1762">
        <f t="shared" si="61"/>
        <v>1</v>
      </c>
      <c r="H238" s="1769"/>
      <c r="I238" s="1762">
        <f t="shared" si="62"/>
        <v>1</v>
      </c>
      <c r="J238" s="1769"/>
      <c r="K238" s="1762">
        <f t="shared" si="63"/>
        <v>1</v>
      </c>
      <c r="L238" s="1769"/>
      <c r="M238" s="1762">
        <f t="shared" si="64"/>
        <v>1</v>
      </c>
      <c r="N238" s="1769"/>
      <c r="O238" s="1762">
        <f t="shared" si="65"/>
        <v>1</v>
      </c>
      <c r="P238" s="1769"/>
      <c r="Q238" s="1762">
        <f t="shared" si="66"/>
        <v>1</v>
      </c>
      <c r="R238" s="1833">
        <f ca="1" t="shared" si="71"/>
        <v>0</v>
      </c>
      <c r="S238" s="1716">
        <f ca="1" t="shared" si="72"/>
        <v>0</v>
      </c>
      <c r="T238" s="1768">
        <f ca="1" t="shared" si="73"/>
        <v>0</v>
      </c>
      <c r="U238" s="1838">
        <f t="shared" si="67"/>
        <v>0</v>
      </c>
      <c r="V238" s="1838">
        <f t="shared" si="68"/>
        <v>0</v>
      </c>
      <c r="W238" s="1840"/>
      <c r="X238" s="1838">
        <f t="shared" si="69"/>
        <v>0</v>
      </c>
      <c r="Y238" s="1838">
        <f t="shared" si="70"/>
        <v>0</v>
      </c>
      <c r="Z238" s="1840"/>
    </row>
    <row r="239" spans="1:26">
      <c r="A239" s="1770"/>
      <c r="B239" s="1771"/>
      <c r="C239" s="1762">
        <f t="shared" si="59"/>
        <v>1</v>
      </c>
      <c r="D239" s="1769"/>
      <c r="E239" s="1762">
        <f t="shared" si="60"/>
        <v>1</v>
      </c>
      <c r="F239" s="1769"/>
      <c r="G239" s="1762">
        <f t="shared" si="61"/>
        <v>1</v>
      </c>
      <c r="H239" s="1769"/>
      <c r="I239" s="1762">
        <f t="shared" si="62"/>
        <v>1</v>
      </c>
      <c r="J239" s="1769"/>
      <c r="K239" s="1762">
        <f t="shared" si="63"/>
        <v>1</v>
      </c>
      <c r="L239" s="1769"/>
      <c r="M239" s="1762">
        <f t="shared" si="64"/>
        <v>1</v>
      </c>
      <c r="N239" s="1769"/>
      <c r="O239" s="1762">
        <f t="shared" si="65"/>
        <v>1</v>
      </c>
      <c r="P239" s="1769"/>
      <c r="Q239" s="1762">
        <f t="shared" si="66"/>
        <v>1</v>
      </c>
      <c r="R239" s="1833">
        <f ca="1" t="shared" si="71"/>
        <v>0</v>
      </c>
      <c r="S239" s="1716">
        <f ca="1" t="shared" si="72"/>
        <v>0</v>
      </c>
      <c r="T239" s="1768">
        <f ca="1" t="shared" si="73"/>
        <v>0</v>
      </c>
      <c r="U239" s="1838">
        <f t="shared" si="67"/>
        <v>0</v>
      </c>
      <c r="V239" s="1838">
        <f t="shared" si="68"/>
        <v>0</v>
      </c>
      <c r="W239" s="1840"/>
      <c r="X239" s="1838">
        <f t="shared" si="69"/>
        <v>0</v>
      </c>
      <c r="Y239" s="1838">
        <f t="shared" si="70"/>
        <v>0</v>
      </c>
      <c r="Z239" s="1840"/>
    </row>
    <row r="240" spans="1:26">
      <c r="A240" s="1770"/>
      <c r="B240" s="1771"/>
      <c r="C240" s="1762">
        <f t="shared" si="59"/>
        <v>1</v>
      </c>
      <c r="D240" s="1769"/>
      <c r="E240" s="1762">
        <f t="shared" si="60"/>
        <v>1</v>
      </c>
      <c r="F240" s="1769"/>
      <c r="G240" s="1762">
        <f t="shared" si="61"/>
        <v>1</v>
      </c>
      <c r="H240" s="1769"/>
      <c r="I240" s="1762">
        <f t="shared" si="62"/>
        <v>1</v>
      </c>
      <c r="J240" s="1769"/>
      <c r="K240" s="1762">
        <f t="shared" si="63"/>
        <v>1</v>
      </c>
      <c r="L240" s="1769"/>
      <c r="M240" s="1762">
        <f t="shared" si="64"/>
        <v>1</v>
      </c>
      <c r="N240" s="1769"/>
      <c r="O240" s="1762">
        <f t="shared" si="65"/>
        <v>1</v>
      </c>
      <c r="P240" s="1769"/>
      <c r="Q240" s="1762">
        <f t="shared" si="66"/>
        <v>1</v>
      </c>
      <c r="R240" s="1833">
        <f ca="1" t="shared" si="71"/>
        <v>0</v>
      </c>
      <c r="S240" s="1716">
        <f ca="1" t="shared" si="72"/>
        <v>0</v>
      </c>
      <c r="T240" s="1768">
        <f ca="1" t="shared" si="73"/>
        <v>0</v>
      </c>
      <c r="U240" s="1838">
        <f t="shared" si="67"/>
        <v>0</v>
      </c>
      <c r="V240" s="1838">
        <f t="shared" si="68"/>
        <v>0</v>
      </c>
      <c r="W240" s="1840"/>
      <c r="X240" s="1838">
        <f t="shared" si="69"/>
        <v>0</v>
      </c>
      <c r="Y240" s="1838">
        <f t="shared" si="70"/>
        <v>0</v>
      </c>
      <c r="Z240" s="1840"/>
    </row>
    <row r="241" spans="1:26">
      <c r="A241" s="1770"/>
      <c r="B241" s="1771"/>
      <c r="C241" s="1762">
        <f t="shared" si="59"/>
        <v>1</v>
      </c>
      <c r="D241" s="1769"/>
      <c r="E241" s="1762">
        <f t="shared" si="60"/>
        <v>1</v>
      </c>
      <c r="F241" s="1769"/>
      <c r="G241" s="1762">
        <f t="shared" si="61"/>
        <v>1</v>
      </c>
      <c r="H241" s="1769"/>
      <c r="I241" s="1762">
        <f t="shared" si="62"/>
        <v>1</v>
      </c>
      <c r="J241" s="1769"/>
      <c r="K241" s="1762">
        <f t="shared" si="63"/>
        <v>1</v>
      </c>
      <c r="L241" s="1769"/>
      <c r="M241" s="1762">
        <f t="shared" si="64"/>
        <v>1</v>
      </c>
      <c r="N241" s="1769"/>
      <c r="O241" s="1762">
        <f t="shared" si="65"/>
        <v>1</v>
      </c>
      <c r="P241" s="1769"/>
      <c r="Q241" s="1762">
        <f t="shared" si="66"/>
        <v>1</v>
      </c>
      <c r="R241" s="1833">
        <f ca="1" t="shared" si="71"/>
        <v>0</v>
      </c>
      <c r="S241" s="1716">
        <f ca="1" t="shared" si="72"/>
        <v>0</v>
      </c>
      <c r="T241" s="1768">
        <f ca="1" t="shared" si="73"/>
        <v>0</v>
      </c>
      <c r="U241" s="1838">
        <f t="shared" si="67"/>
        <v>0</v>
      </c>
      <c r="V241" s="1838">
        <f t="shared" si="68"/>
        <v>0</v>
      </c>
      <c r="W241" s="1840"/>
      <c r="X241" s="1838">
        <f t="shared" si="69"/>
        <v>0</v>
      </c>
      <c r="Y241" s="1838">
        <f t="shared" si="70"/>
        <v>0</v>
      </c>
      <c r="Z241" s="1840"/>
    </row>
    <row r="242" spans="1:26">
      <c r="A242" s="1770"/>
      <c r="B242" s="1771"/>
      <c r="C242" s="1762">
        <f t="shared" si="59"/>
        <v>1</v>
      </c>
      <c r="D242" s="1769"/>
      <c r="E242" s="1762">
        <f t="shared" si="60"/>
        <v>1</v>
      </c>
      <c r="F242" s="1769"/>
      <c r="G242" s="1762">
        <f t="shared" si="61"/>
        <v>1</v>
      </c>
      <c r="H242" s="1769"/>
      <c r="I242" s="1762">
        <f t="shared" si="62"/>
        <v>1</v>
      </c>
      <c r="J242" s="1769"/>
      <c r="K242" s="1762">
        <f t="shared" si="63"/>
        <v>1</v>
      </c>
      <c r="L242" s="1769"/>
      <c r="M242" s="1762">
        <f t="shared" si="64"/>
        <v>1</v>
      </c>
      <c r="N242" s="1769"/>
      <c r="O242" s="1762">
        <f t="shared" si="65"/>
        <v>1</v>
      </c>
      <c r="P242" s="1769"/>
      <c r="Q242" s="1762">
        <f t="shared" si="66"/>
        <v>1</v>
      </c>
      <c r="R242" s="1833">
        <f ca="1" t="shared" si="71"/>
        <v>0</v>
      </c>
      <c r="S242" s="1716">
        <f ca="1" t="shared" si="72"/>
        <v>0</v>
      </c>
      <c r="T242" s="1768">
        <f ca="1" t="shared" si="73"/>
        <v>0</v>
      </c>
      <c r="U242" s="1838">
        <f t="shared" si="67"/>
        <v>0</v>
      </c>
      <c r="V242" s="1838">
        <f t="shared" si="68"/>
        <v>0</v>
      </c>
      <c r="W242" s="1840"/>
      <c r="X242" s="1838">
        <f t="shared" si="69"/>
        <v>0</v>
      </c>
      <c r="Y242" s="1838">
        <f t="shared" si="70"/>
        <v>0</v>
      </c>
      <c r="Z242" s="1840"/>
    </row>
    <row r="243" spans="1:26">
      <c r="A243" s="1770"/>
      <c r="B243" s="1771"/>
      <c r="C243" s="1762">
        <f t="shared" si="59"/>
        <v>1</v>
      </c>
      <c r="D243" s="1769"/>
      <c r="E243" s="1762">
        <f t="shared" si="60"/>
        <v>1</v>
      </c>
      <c r="F243" s="1769"/>
      <c r="G243" s="1762">
        <f t="shared" si="61"/>
        <v>1</v>
      </c>
      <c r="H243" s="1769"/>
      <c r="I243" s="1762">
        <f t="shared" si="62"/>
        <v>1</v>
      </c>
      <c r="J243" s="1769"/>
      <c r="K243" s="1762">
        <f t="shared" si="63"/>
        <v>1</v>
      </c>
      <c r="L243" s="1769"/>
      <c r="M243" s="1762">
        <f t="shared" si="64"/>
        <v>1</v>
      </c>
      <c r="N243" s="1769"/>
      <c r="O243" s="1762">
        <f t="shared" si="65"/>
        <v>1</v>
      </c>
      <c r="P243" s="1769"/>
      <c r="Q243" s="1762">
        <f t="shared" si="66"/>
        <v>1</v>
      </c>
      <c r="R243" s="1833">
        <f ca="1" t="shared" si="71"/>
        <v>0</v>
      </c>
      <c r="S243" s="1716">
        <f ca="1" t="shared" si="72"/>
        <v>0</v>
      </c>
      <c r="T243" s="1768">
        <f ca="1" t="shared" si="73"/>
        <v>0</v>
      </c>
      <c r="U243" s="1838">
        <f t="shared" si="67"/>
        <v>0</v>
      </c>
      <c r="V243" s="1838">
        <f t="shared" si="68"/>
        <v>0</v>
      </c>
      <c r="W243" s="1840"/>
      <c r="X243" s="1838">
        <f t="shared" si="69"/>
        <v>0</v>
      </c>
      <c r="Y243" s="1838">
        <f t="shared" si="70"/>
        <v>0</v>
      </c>
      <c r="Z243" s="1840"/>
    </row>
    <row r="244" spans="1:26">
      <c r="A244" s="1770"/>
      <c r="B244" s="1771"/>
      <c r="C244" s="1762">
        <f t="shared" si="59"/>
        <v>1</v>
      </c>
      <c r="D244" s="1769"/>
      <c r="E244" s="1762">
        <f t="shared" si="60"/>
        <v>1</v>
      </c>
      <c r="F244" s="1769"/>
      <c r="G244" s="1762">
        <f t="shared" si="61"/>
        <v>1</v>
      </c>
      <c r="H244" s="1769"/>
      <c r="I244" s="1762">
        <f t="shared" si="62"/>
        <v>1</v>
      </c>
      <c r="J244" s="1769"/>
      <c r="K244" s="1762">
        <f t="shared" si="63"/>
        <v>1</v>
      </c>
      <c r="L244" s="1769"/>
      <c r="M244" s="1762">
        <f t="shared" si="64"/>
        <v>1</v>
      </c>
      <c r="N244" s="1769"/>
      <c r="O244" s="1762">
        <f t="shared" si="65"/>
        <v>1</v>
      </c>
      <c r="P244" s="1769"/>
      <c r="Q244" s="1762">
        <f t="shared" si="66"/>
        <v>1</v>
      </c>
      <c r="R244" s="1833">
        <f ca="1" t="shared" si="71"/>
        <v>0</v>
      </c>
      <c r="S244" s="1716">
        <f ca="1" t="shared" si="72"/>
        <v>0</v>
      </c>
      <c r="T244" s="1768">
        <f ca="1" t="shared" si="73"/>
        <v>0</v>
      </c>
      <c r="U244" s="1838">
        <f t="shared" si="67"/>
        <v>0</v>
      </c>
      <c r="V244" s="1838">
        <f t="shared" si="68"/>
        <v>0</v>
      </c>
      <c r="W244" s="1840"/>
      <c r="X244" s="1838">
        <f t="shared" si="69"/>
        <v>0</v>
      </c>
      <c r="Y244" s="1838">
        <f t="shared" si="70"/>
        <v>0</v>
      </c>
      <c r="Z244" s="1840"/>
    </row>
    <row r="245" spans="1:26">
      <c r="A245" s="1770"/>
      <c r="B245" s="1771"/>
      <c r="C245" s="1762">
        <f t="shared" si="59"/>
        <v>1</v>
      </c>
      <c r="D245" s="1769"/>
      <c r="E245" s="1762">
        <f t="shared" si="60"/>
        <v>1</v>
      </c>
      <c r="F245" s="1769"/>
      <c r="G245" s="1762">
        <f t="shared" si="61"/>
        <v>1</v>
      </c>
      <c r="H245" s="1769"/>
      <c r="I245" s="1762">
        <f t="shared" si="62"/>
        <v>1</v>
      </c>
      <c r="J245" s="1769"/>
      <c r="K245" s="1762">
        <f t="shared" si="63"/>
        <v>1</v>
      </c>
      <c r="L245" s="1769"/>
      <c r="M245" s="1762">
        <f t="shared" si="64"/>
        <v>1</v>
      </c>
      <c r="N245" s="1769"/>
      <c r="O245" s="1762">
        <f t="shared" si="65"/>
        <v>1</v>
      </c>
      <c r="P245" s="1769"/>
      <c r="Q245" s="1762">
        <f t="shared" si="66"/>
        <v>1</v>
      </c>
      <c r="R245" s="1833">
        <f ca="1" t="shared" si="71"/>
        <v>0</v>
      </c>
      <c r="S245" s="1716">
        <f ca="1" t="shared" si="72"/>
        <v>0</v>
      </c>
      <c r="T245" s="1768">
        <f ca="1" t="shared" si="73"/>
        <v>0</v>
      </c>
      <c r="U245" s="1838">
        <f t="shared" si="67"/>
        <v>0</v>
      </c>
      <c r="V245" s="1838">
        <f t="shared" si="68"/>
        <v>0</v>
      </c>
      <c r="W245" s="1840"/>
      <c r="X245" s="1838">
        <f t="shared" si="69"/>
        <v>0</v>
      </c>
      <c r="Y245" s="1838">
        <f t="shared" si="70"/>
        <v>0</v>
      </c>
      <c r="Z245" s="1840"/>
    </row>
    <row r="246" spans="1:26">
      <c r="A246" s="1770"/>
      <c r="B246" s="1771"/>
      <c r="C246" s="1762">
        <f t="shared" si="59"/>
        <v>1</v>
      </c>
      <c r="D246" s="1769"/>
      <c r="E246" s="1762">
        <f t="shared" si="60"/>
        <v>1</v>
      </c>
      <c r="F246" s="1769"/>
      <c r="G246" s="1762">
        <f t="shared" si="61"/>
        <v>1</v>
      </c>
      <c r="H246" s="1769"/>
      <c r="I246" s="1762">
        <f t="shared" si="62"/>
        <v>1</v>
      </c>
      <c r="J246" s="1769"/>
      <c r="K246" s="1762">
        <f t="shared" si="63"/>
        <v>1</v>
      </c>
      <c r="L246" s="1769"/>
      <c r="M246" s="1762">
        <f t="shared" si="64"/>
        <v>1</v>
      </c>
      <c r="N246" s="1769"/>
      <c r="O246" s="1762">
        <f t="shared" si="65"/>
        <v>1</v>
      </c>
      <c r="P246" s="1769"/>
      <c r="Q246" s="1762">
        <f t="shared" si="66"/>
        <v>1</v>
      </c>
      <c r="R246" s="1833">
        <f ca="1" t="shared" si="71"/>
        <v>0</v>
      </c>
      <c r="S246" s="1716">
        <f ca="1" t="shared" si="72"/>
        <v>0</v>
      </c>
      <c r="T246" s="1768">
        <f ca="1" t="shared" si="73"/>
        <v>0</v>
      </c>
      <c r="U246" s="1838">
        <f t="shared" si="67"/>
        <v>0</v>
      </c>
      <c r="V246" s="1838">
        <f t="shared" si="68"/>
        <v>0</v>
      </c>
      <c r="W246" s="1840"/>
      <c r="X246" s="1838">
        <f t="shared" si="69"/>
        <v>0</v>
      </c>
      <c r="Y246" s="1838">
        <f t="shared" si="70"/>
        <v>0</v>
      </c>
      <c r="Z246" s="1840"/>
    </row>
    <row r="247" spans="1:26">
      <c r="A247" s="1770"/>
      <c r="B247" s="1771"/>
      <c r="C247" s="1762">
        <f t="shared" si="59"/>
        <v>1</v>
      </c>
      <c r="D247" s="1769"/>
      <c r="E247" s="1762">
        <f t="shared" si="60"/>
        <v>1</v>
      </c>
      <c r="F247" s="1769"/>
      <c r="G247" s="1762">
        <f t="shared" si="61"/>
        <v>1</v>
      </c>
      <c r="H247" s="1769"/>
      <c r="I247" s="1762">
        <f t="shared" si="62"/>
        <v>1</v>
      </c>
      <c r="J247" s="1769"/>
      <c r="K247" s="1762">
        <f t="shared" si="63"/>
        <v>1</v>
      </c>
      <c r="L247" s="1769"/>
      <c r="M247" s="1762">
        <f t="shared" si="64"/>
        <v>1</v>
      </c>
      <c r="N247" s="1769"/>
      <c r="O247" s="1762">
        <f t="shared" si="65"/>
        <v>1</v>
      </c>
      <c r="P247" s="1769"/>
      <c r="Q247" s="1762">
        <f t="shared" si="66"/>
        <v>1</v>
      </c>
      <c r="R247" s="1833">
        <f ca="1" t="shared" si="71"/>
        <v>0</v>
      </c>
      <c r="S247" s="1716">
        <f ca="1" t="shared" si="72"/>
        <v>0</v>
      </c>
      <c r="T247" s="1768">
        <f ca="1" t="shared" si="73"/>
        <v>0</v>
      </c>
      <c r="U247" s="1838">
        <f t="shared" si="67"/>
        <v>0</v>
      </c>
      <c r="V247" s="1838">
        <f t="shared" si="68"/>
        <v>0</v>
      </c>
      <c r="W247" s="1840"/>
      <c r="X247" s="1838">
        <f t="shared" si="69"/>
        <v>0</v>
      </c>
      <c r="Y247" s="1838">
        <f t="shared" si="70"/>
        <v>0</v>
      </c>
      <c r="Z247" s="1840"/>
    </row>
    <row r="248" spans="1:26">
      <c r="A248" s="1770"/>
      <c r="B248" s="1771"/>
      <c r="C248" s="1762">
        <f t="shared" si="59"/>
        <v>1</v>
      </c>
      <c r="D248" s="1769"/>
      <c r="E248" s="1762">
        <f t="shared" si="60"/>
        <v>1</v>
      </c>
      <c r="F248" s="1769"/>
      <c r="G248" s="1762">
        <f t="shared" si="61"/>
        <v>1</v>
      </c>
      <c r="H248" s="1769"/>
      <c r="I248" s="1762">
        <f t="shared" si="62"/>
        <v>1</v>
      </c>
      <c r="J248" s="1769"/>
      <c r="K248" s="1762">
        <f t="shared" si="63"/>
        <v>1</v>
      </c>
      <c r="L248" s="1769"/>
      <c r="M248" s="1762">
        <f t="shared" si="64"/>
        <v>1</v>
      </c>
      <c r="N248" s="1769"/>
      <c r="O248" s="1762">
        <f t="shared" si="65"/>
        <v>1</v>
      </c>
      <c r="P248" s="1769"/>
      <c r="Q248" s="1762">
        <f t="shared" si="66"/>
        <v>1</v>
      </c>
      <c r="R248" s="1833">
        <f ca="1" t="shared" si="71"/>
        <v>0</v>
      </c>
      <c r="S248" s="1716">
        <f ca="1" t="shared" si="72"/>
        <v>0</v>
      </c>
      <c r="T248" s="1768">
        <f ca="1" t="shared" si="73"/>
        <v>0</v>
      </c>
      <c r="U248" s="1838">
        <f t="shared" si="67"/>
        <v>0</v>
      </c>
      <c r="V248" s="1838">
        <f t="shared" si="68"/>
        <v>0</v>
      </c>
      <c r="W248" s="1840"/>
      <c r="X248" s="1838">
        <f t="shared" si="69"/>
        <v>0</v>
      </c>
      <c r="Y248" s="1838">
        <f t="shared" si="70"/>
        <v>0</v>
      </c>
      <c r="Z248" s="1840"/>
    </row>
    <row r="249" spans="1:26">
      <c r="A249" s="1770"/>
      <c r="B249" s="1771"/>
      <c r="C249" s="1762">
        <f t="shared" si="59"/>
        <v>1</v>
      </c>
      <c r="D249" s="1769"/>
      <c r="E249" s="1762">
        <f t="shared" si="60"/>
        <v>1</v>
      </c>
      <c r="F249" s="1769"/>
      <c r="G249" s="1762">
        <f t="shared" si="61"/>
        <v>1</v>
      </c>
      <c r="H249" s="1769"/>
      <c r="I249" s="1762">
        <f t="shared" si="62"/>
        <v>1</v>
      </c>
      <c r="J249" s="1769"/>
      <c r="K249" s="1762">
        <f t="shared" si="63"/>
        <v>1</v>
      </c>
      <c r="L249" s="1769"/>
      <c r="M249" s="1762">
        <f t="shared" si="64"/>
        <v>1</v>
      </c>
      <c r="N249" s="1769"/>
      <c r="O249" s="1762">
        <f t="shared" si="65"/>
        <v>1</v>
      </c>
      <c r="P249" s="1769"/>
      <c r="Q249" s="1762">
        <f t="shared" si="66"/>
        <v>1</v>
      </c>
      <c r="R249" s="1833">
        <f ca="1" t="shared" si="71"/>
        <v>0</v>
      </c>
      <c r="S249" s="1716">
        <f ca="1" t="shared" si="72"/>
        <v>0</v>
      </c>
      <c r="T249" s="1768">
        <f ca="1" t="shared" si="73"/>
        <v>0</v>
      </c>
      <c r="U249" s="1838">
        <f t="shared" si="67"/>
        <v>0</v>
      </c>
      <c r="V249" s="1838">
        <f t="shared" si="68"/>
        <v>0</v>
      </c>
      <c r="W249" s="1840"/>
      <c r="X249" s="1838">
        <f t="shared" si="69"/>
        <v>0</v>
      </c>
      <c r="Y249" s="1838">
        <f t="shared" si="70"/>
        <v>0</v>
      </c>
      <c r="Z249" s="1840"/>
    </row>
    <row r="250" spans="1:26">
      <c r="A250" s="1770"/>
      <c r="B250" s="1771"/>
      <c r="C250" s="1762">
        <f t="shared" si="59"/>
        <v>1</v>
      </c>
      <c r="D250" s="1769"/>
      <c r="E250" s="1762">
        <f t="shared" si="60"/>
        <v>1</v>
      </c>
      <c r="F250" s="1769"/>
      <c r="G250" s="1762">
        <f t="shared" si="61"/>
        <v>1</v>
      </c>
      <c r="H250" s="1769"/>
      <c r="I250" s="1762">
        <f t="shared" si="62"/>
        <v>1</v>
      </c>
      <c r="J250" s="1769"/>
      <c r="K250" s="1762">
        <f t="shared" si="63"/>
        <v>1</v>
      </c>
      <c r="L250" s="1769"/>
      <c r="M250" s="1762">
        <f t="shared" si="64"/>
        <v>1</v>
      </c>
      <c r="N250" s="1769"/>
      <c r="O250" s="1762">
        <f t="shared" si="65"/>
        <v>1</v>
      </c>
      <c r="P250" s="1769"/>
      <c r="Q250" s="1762">
        <f t="shared" si="66"/>
        <v>1</v>
      </c>
      <c r="R250" s="1833">
        <f ca="1" t="shared" si="71"/>
        <v>0</v>
      </c>
      <c r="S250" s="1716">
        <f ca="1" t="shared" si="72"/>
        <v>0</v>
      </c>
      <c r="T250" s="1768">
        <f ca="1" t="shared" si="73"/>
        <v>0</v>
      </c>
      <c r="U250" s="1838">
        <f t="shared" si="67"/>
        <v>0</v>
      </c>
      <c r="V250" s="1838">
        <f t="shared" si="68"/>
        <v>0</v>
      </c>
      <c r="W250" s="1840"/>
      <c r="X250" s="1838">
        <f t="shared" si="69"/>
        <v>0</v>
      </c>
      <c r="Y250" s="1838">
        <f t="shared" si="70"/>
        <v>0</v>
      </c>
      <c r="Z250" s="1840"/>
    </row>
    <row r="251" spans="1:26">
      <c r="A251" s="1770"/>
      <c r="B251" s="1771"/>
      <c r="C251" s="1762">
        <f t="shared" si="59"/>
        <v>1</v>
      </c>
      <c r="D251" s="1769"/>
      <c r="E251" s="1762">
        <f t="shared" si="60"/>
        <v>1</v>
      </c>
      <c r="F251" s="1769"/>
      <c r="G251" s="1762">
        <f t="shared" si="61"/>
        <v>1</v>
      </c>
      <c r="H251" s="1769"/>
      <c r="I251" s="1762">
        <f t="shared" si="62"/>
        <v>1</v>
      </c>
      <c r="J251" s="1769"/>
      <c r="K251" s="1762">
        <f t="shared" si="63"/>
        <v>1</v>
      </c>
      <c r="L251" s="1769"/>
      <c r="M251" s="1762">
        <f t="shared" si="64"/>
        <v>1</v>
      </c>
      <c r="N251" s="1769"/>
      <c r="O251" s="1762">
        <f t="shared" si="65"/>
        <v>1</v>
      </c>
      <c r="P251" s="1769"/>
      <c r="Q251" s="1762">
        <f t="shared" si="66"/>
        <v>1</v>
      </c>
      <c r="R251" s="1833">
        <f ca="1" t="shared" si="71"/>
        <v>0</v>
      </c>
      <c r="S251" s="1716">
        <f ca="1" t="shared" si="72"/>
        <v>0</v>
      </c>
      <c r="T251" s="1768">
        <f ca="1" t="shared" si="73"/>
        <v>0</v>
      </c>
      <c r="U251" s="1838">
        <f t="shared" si="67"/>
        <v>0</v>
      </c>
      <c r="V251" s="1838">
        <f t="shared" si="68"/>
        <v>0</v>
      </c>
      <c r="W251" s="1840"/>
      <c r="X251" s="1838">
        <f t="shared" si="69"/>
        <v>0</v>
      </c>
      <c r="Y251" s="1838">
        <f t="shared" si="70"/>
        <v>0</v>
      </c>
      <c r="Z251" s="1840"/>
    </row>
    <row r="252" spans="1:26">
      <c r="A252" s="1770"/>
      <c r="B252" s="1771"/>
      <c r="C252" s="1762">
        <f t="shared" si="59"/>
        <v>1</v>
      </c>
      <c r="D252" s="1769"/>
      <c r="E252" s="1762">
        <f t="shared" si="60"/>
        <v>1</v>
      </c>
      <c r="F252" s="1769"/>
      <c r="G252" s="1762">
        <f t="shared" si="61"/>
        <v>1</v>
      </c>
      <c r="H252" s="1769"/>
      <c r="I252" s="1762">
        <f t="shared" si="62"/>
        <v>1</v>
      </c>
      <c r="J252" s="1769"/>
      <c r="K252" s="1762">
        <f t="shared" si="63"/>
        <v>1</v>
      </c>
      <c r="L252" s="1769"/>
      <c r="M252" s="1762">
        <f t="shared" si="64"/>
        <v>1</v>
      </c>
      <c r="N252" s="1769"/>
      <c r="O252" s="1762">
        <f t="shared" si="65"/>
        <v>1</v>
      </c>
      <c r="P252" s="1769"/>
      <c r="Q252" s="1762">
        <f t="shared" si="66"/>
        <v>1</v>
      </c>
      <c r="R252" s="1833">
        <f ca="1" t="shared" si="71"/>
        <v>0</v>
      </c>
      <c r="S252" s="1716">
        <f ca="1" t="shared" si="72"/>
        <v>0</v>
      </c>
      <c r="T252" s="1768">
        <f ca="1" t="shared" si="73"/>
        <v>0</v>
      </c>
      <c r="U252" s="1838">
        <f t="shared" si="67"/>
        <v>0</v>
      </c>
      <c r="V252" s="1838">
        <f t="shared" si="68"/>
        <v>0</v>
      </c>
      <c r="W252" s="1840"/>
      <c r="X252" s="1838">
        <f t="shared" si="69"/>
        <v>0</v>
      </c>
      <c r="Y252" s="1838">
        <f t="shared" si="70"/>
        <v>0</v>
      </c>
      <c r="Z252" s="1840"/>
    </row>
    <row r="253" spans="1:26">
      <c r="A253" s="1770"/>
      <c r="B253" s="1771"/>
      <c r="C253" s="1762">
        <f t="shared" si="59"/>
        <v>1</v>
      </c>
      <c r="D253" s="1769"/>
      <c r="E253" s="1762">
        <f t="shared" si="60"/>
        <v>1</v>
      </c>
      <c r="F253" s="1769"/>
      <c r="G253" s="1762">
        <f t="shared" si="61"/>
        <v>1</v>
      </c>
      <c r="H253" s="1769"/>
      <c r="I253" s="1762">
        <f t="shared" si="62"/>
        <v>1</v>
      </c>
      <c r="J253" s="1769"/>
      <c r="K253" s="1762">
        <f t="shared" si="63"/>
        <v>1</v>
      </c>
      <c r="L253" s="1769"/>
      <c r="M253" s="1762">
        <f t="shared" si="64"/>
        <v>1</v>
      </c>
      <c r="N253" s="1769"/>
      <c r="O253" s="1762">
        <f t="shared" si="65"/>
        <v>1</v>
      </c>
      <c r="P253" s="1769"/>
      <c r="Q253" s="1762">
        <f t="shared" si="66"/>
        <v>1</v>
      </c>
      <c r="R253" s="1833">
        <f ca="1" t="shared" si="71"/>
        <v>0</v>
      </c>
      <c r="S253" s="1716">
        <f ca="1" t="shared" si="72"/>
        <v>0</v>
      </c>
      <c r="T253" s="1768">
        <f ca="1" t="shared" si="73"/>
        <v>0</v>
      </c>
      <c r="U253" s="1838">
        <f t="shared" si="67"/>
        <v>0</v>
      </c>
      <c r="V253" s="1838">
        <f t="shared" si="68"/>
        <v>0</v>
      </c>
      <c r="W253" s="1840"/>
      <c r="X253" s="1838">
        <f t="shared" si="69"/>
        <v>0</v>
      </c>
      <c r="Y253" s="1838">
        <f t="shared" si="70"/>
        <v>0</v>
      </c>
      <c r="Z253" s="1840"/>
    </row>
    <row r="254" spans="1:26">
      <c r="A254" s="1770"/>
      <c r="B254" s="1771"/>
      <c r="C254" s="1762">
        <f t="shared" si="59"/>
        <v>1</v>
      </c>
      <c r="D254" s="1769"/>
      <c r="E254" s="1762">
        <f t="shared" si="60"/>
        <v>1</v>
      </c>
      <c r="F254" s="1769"/>
      <c r="G254" s="1762">
        <f t="shared" si="61"/>
        <v>1</v>
      </c>
      <c r="H254" s="1769"/>
      <c r="I254" s="1762">
        <f t="shared" si="62"/>
        <v>1</v>
      </c>
      <c r="J254" s="1769"/>
      <c r="K254" s="1762">
        <f t="shared" si="63"/>
        <v>1</v>
      </c>
      <c r="L254" s="1769"/>
      <c r="M254" s="1762">
        <f t="shared" si="64"/>
        <v>1</v>
      </c>
      <c r="N254" s="1769"/>
      <c r="O254" s="1762">
        <f t="shared" si="65"/>
        <v>1</v>
      </c>
      <c r="P254" s="1769"/>
      <c r="Q254" s="1762">
        <f t="shared" si="66"/>
        <v>1</v>
      </c>
      <c r="R254" s="1833">
        <f ca="1" t="shared" si="71"/>
        <v>0</v>
      </c>
      <c r="S254" s="1716">
        <f ca="1" t="shared" si="72"/>
        <v>0</v>
      </c>
      <c r="T254" s="1768">
        <f ca="1" t="shared" si="73"/>
        <v>0</v>
      </c>
      <c r="U254" s="1838">
        <f t="shared" si="67"/>
        <v>0</v>
      </c>
      <c r="V254" s="1838">
        <f t="shared" si="68"/>
        <v>0</v>
      </c>
      <c r="W254" s="1840"/>
      <c r="X254" s="1838">
        <f t="shared" si="69"/>
        <v>0</v>
      </c>
      <c r="Y254" s="1838">
        <f t="shared" si="70"/>
        <v>0</v>
      </c>
      <c r="Z254" s="1840"/>
    </row>
    <row r="255" spans="1:26">
      <c r="A255" s="1770"/>
      <c r="B255" s="1771"/>
      <c r="C255" s="1762">
        <f t="shared" si="59"/>
        <v>1</v>
      </c>
      <c r="D255" s="1769"/>
      <c r="E255" s="1762">
        <f t="shared" si="60"/>
        <v>1</v>
      </c>
      <c r="F255" s="1769"/>
      <c r="G255" s="1762">
        <f t="shared" si="61"/>
        <v>1</v>
      </c>
      <c r="H255" s="1769"/>
      <c r="I255" s="1762">
        <f t="shared" si="62"/>
        <v>1</v>
      </c>
      <c r="J255" s="1769"/>
      <c r="K255" s="1762">
        <f t="shared" si="63"/>
        <v>1</v>
      </c>
      <c r="L255" s="1769"/>
      <c r="M255" s="1762">
        <f t="shared" si="64"/>
        <v>1</v>
      </c>
      <c r="N255" s="1769"/>
      <c r="O255" s="1762">
        <f t="shared" si="65"/>
        <v>1</v>
      </c>
      <c r="P255" s="1769"/>
      <c r="Q255" s="1762">
        <f t="shared" si="66"/>
        <v>1</v>
      </c>
      <c r="R255" s="1833">
        <f ca="1" t="shared" si="71"/>
        <v>0</v>
      </c>
      <c r="S255" s="1716">
        <f ca="1" t="shared" si="72"/>
        <v>0</v>
      </c>
      <c r="T255" s="1768">
        <f ca="1" t="shared" si="73"/>
        <v>0</v>
      </c>
      <c r="U255" s="1838">
        <f t="shared" si="67"/>
        <v>0</v>
      </c>
      <c r="V255" s="1838">
        <f t="shared" si="68"/>
        <v>0</v>
      </c>
      <c r="W255" s="1840"/>
      <c r="X255" s="1838">
        <f t="shared" si="69"/>
        <v>0</v>
      </c>
      <c r="Y255" s="1838">
        <f t="shared" si="70"/>
        <v>0</v>
      </c>
      <c r="Z255" s="1840"/>
    </row>
    <row r="256" spans="1:26">
      <c r="A256" s="1770"/>
      <c r="B256" s="1771"/>
      <c r="C256" s="1762">
        <f t="shared" si="59"/>
        <v>1</v>
      </c>
      <c r="D256" s="1769"/>
      <c r="E256" s="1762">
        <f t="shared" si="60"/>
        <v>1</v>
      </c>
      <c r="F256" s="1769"/>
      <c r="G256" s="1762">
        <f t="shared" si="61"/>
        <v>1</v>
      </c>
      <c r="H256" s="1769"/>
      <c r="I256" s="1762">
        <f t="shared" si="62"/>
        <v>1</v>
      </c>
      <c r="J256" s="1769"/>
      <c r="K256" s="1762">
        <f t="shared" si="63"/>
        <v>1</v>
      </c>
      <c r="L256" s="1769"/>
      <c r="M256" s="1762">
        <f t="shared" si="64"/>
        <v>1</v>
      </c>
      <c r="N256" s="1769"/>
      <c r="O256" s="1762">
        <f t="shared" si="65"/>
        <v>1</v>
      </c>
      <c r="P256" s="1769"/>
      <c r="Q256" s="1762">
        <f t="shared" si="66"/>
        <v>1</v>
      </c>
      <c r="R256" s="1833">
        <f ca="1" t="shared" si="71"/>
        <v>0</v>
      </c>
      <c r="S256" s="1716">
        <f ca="1" t="shared" si="72"/>
        <v>0</v>
      </c>
      <c r="T256" s="1768">
        <f ca="1" t="shared" si="73"/>
        <v>0</v>
      </c>
      <c r="U256" s="1838">
        <f t="shared" si="67"/>
        <v>0</v>
      </c>
      <c r="V256" s="1838">
        <f t="shared" si="68"/>
        <v>0</v>
      </c>
      <c r="W256" s="1840"/>
      <c r="X256" s="1838">
        <f t="shared" si="69"/>
        <v>0</v>
      </c>
      <c r="Y256" s="1838">
        <f t="shared" si="70"/>
        <v>0</v>
      </c>
      <c r="Z256" s="1840"/>
    </row>
    <row r="257" spans="1:26">
      <c r="A257" s="1770"/>
      <c r="B257" s="1771"/>
      <c r="C257" s="1762">
        <f t="shared" si="59"/>
        <v>1</v>
      </c>
      <c r="D257" s="1769"/>
      <c r="E257" s="1762">
        <f t="shared" si="60"/>
        <v>1</v>
      </c>
      <c r="F257" s="1769"/>
      <c r="G257" s="1762">
        <f t="shared" si="61"/>
        <v>1</v>
      </c>
      <c r="H257" s="1769"/>
      <c r="I257" s="1762">
        <f t="shared" si="62"/>
        <v>1</v>
      </c>
      <c r="J257" s="1769"/>
      <c r="K257" s="1762">
        <f t="shared" si="63"/>
        <v>1</v>
      </c>
      <c r="L257" s="1769"/>
      <c r="M257" s="1762">
        <f t="shared" si="64"/>
        <v>1</v>
      </c>
      <c r="N257" s="1769"/>
      <c r="O257" s="1762">
        <f t="shared" si="65"/>
        <v>1</v>
      </c>
      <c r="P257" s="1769"/>
      <c r="Q257" s="1762">
        <f t="shared" si="66"/>
        <v>1</v>
      </c>
      <c r="R257" s="1833">
        <f ca="1" t="shared" si="71"/>
        <v>0</v>
      </c>
      <c r="S257" s="1716">
        <f ca="1" t="shared" si="72"/>
        <v>0</v>
      </c>
      <c r="T257" s="1768">
        <f ca="1" t="shared" si="73"/>
        <v>0</v>
      </c>
      <c r="U257" s="1838">
        <f t="shared" si="67"/>
        <v>0</v>
      </c>
      <c r="V257" s="1838">
        <f t="shared" si="68"/>
        <v>0</v>
      </c>
      <c r="W257" s="1840"/>
      <c r="X257" s="1838">
        <f t="shared" si="69"/>
        <v>0</v>
      </c>
      <c r="Y257" s="1838">
        <f t="shared" si="70"/>
        <v>0</v>
      </c>
      <c r="Z257" s="1840"/>
    </row>
    <row r="258" spans="1:26">
      <c r="A258" s="1770"/>
      <c r="B258" s="1771"/>
      <c r="C258" s="1762">
        <f t="shared" si="59"/>
        <v>1</v>
      </c>
      <c r="D258" s="1769"/>
      <c r="E258" s="1762">
        <f t="shared" si="60"/>
        <v>1</v>
      </c>
      <c r="F258" s="1769"/>
      <c r="G258" s="1762">
        <f t="shared" si="61"/>
        <v>1</v>
      </c>
      <c r="H258" s="1769"/>
      <c r="I258" s="1762">
        <f t="shared" si="62"/>
        <v>1</v>
      </c>
      <c r="J258" s="1769"/>
      <c r="K258" s="1762">
        <f t="shared" si="63"/>
        <v>1</v>
      </c>
      <c r="L258" s="1769"/>
      <c r="M258" s="1762">
        <f t="shared" si="64"/>
        <v>1</v>
      </c>
      <c r="N258" s="1769"/>
      <c r="O258" s="1762">
        <f t="shared" si="65"/>
        <v>1</v>
      </c>
      <c r="P258" s="1769"/>
      <c r="Q258" s="1762">
        <f t="shared" si="66"/>
        <v>1</v>
      </c>
      <c r="R258" s="1833">
        <f ca="1" t="shared" si="71"/>
        <v>0</v>
      </c>
      <c r="S258" s="1716">
        <f ca="1" t="shared" si="72"/>
        <v>0</v>
      </c>
      <c r="T258" s="1768">
        <f ca="1" t="shared" si="73"/>
        <v>0</v>
      </c>
      <c r="U258" s="1838">
        <f t="shared" si="67"/>
        <v>0</v>
      </c>
      <c r="V258" s="1838">
        <f t="shared" si="68"/>
        <v>0</v>
      </c>
      <c r="W258" s="1840"/>
      <c r="X258" s="1838">
        <f t="shared" si="69"/>
        <v>0</v>
      </c>
      <c r="Y258" s="1838">
        <f t="shared" si="70"/>
        <v>0</v>
      </c>
      <c r="Z258" s="1840"/>
    </row>
    <row r="259" spans="1:26">
      <c r="A259" s="1770"/>
      <c r="B259" s="1771"/>
      <c r="C259" s="1762">
        <f t="shared" si="59"/>
        <v>1</v>
      </c>
      <c r="D259" s="1769"/>
      <c r="E259" s="1762">
        <f t="shared" si="60"/>
        <v>1</v>
      </c>
      <c r="F259" s="1769"/>
      <c r="G259" s="1762">
        <f t="shared" si="61"/>
        <v>1</v>
      </c>
      <c r="H259" s="1769"/>
      <c r="I259" s="1762">
        <f t="shared" si="62"/>
        <v>1</v>
      </c>
      <c r="J259" s="1769"/>
      <c r="K259" s="1762">
        <f t="shared" si="63"/>
        <v>1</v>
      </c>
      <c r="L259" s="1769"/>
      <c r="M259" s="1762">
        <f t="shared" si="64"/>
        <v>1</v>
      </c>
      <c r="N259" s="1769"/>
      <c r="O259" s="1762">
        <f t="shared" si="65"/>
        <v>1</v>
      </c>
      <c r="P259" s="1769"/>
      <c r="Q259" s="1762">
        <f t="shared" si="66"/>
        <v>1</v>
      </c>
      <c r="R259" s="1833">
        <f ca="1" t="shared" si="71"/>
        <v>0</v>
      </c>
      <c r="S259" s="1716">
        <f ca="1" t="shared" si="72"/>
        <v>0</v>
      </c>
      <c r="T259" s="1768">
        <f ca="1" t="shared" si="73"/>
        <v>0</v>
      </c>
      <c r="U259" s="1838">
        <f t="shared" si="67"/>
        <v>0</v>
      </c>
      <c r="V259" s="1838">
        <f t="shared" si="68"/>
        <v>0</v>
      </c>
      <c r="W259" s="1840"/>
      <c r="X259" s="1838">
        <f t="shared" si="69"/>
        <v>0</v>
      </c>
      <c r="Y259" s="1838">
        <f t="shared" si="70"/>
        <v>0</v>
      </c>
      <c r="Z259" s="1840"/>
    </row>
    <row r="260" spans="1:26">
      <c r="A260" s="1770"/>
      <c r="B260" s="1771"/>
      <c r="C260" s="1762">
        <f t="shared" si="59"/>
        <v>1</v>
      </c>
      <c r="D260" s="1769"/>
      <c r="E260" s="1762">
        <f t="shared" si="60"/>
        <v>1</v>
      </c>
      <c r="F260" s="1769"/>
      <c r="G260" s="1762">
        <f t="shared" si="61"/>
        <v>1</v>
      </c>
      <c r="H260" s="1769"/>
      <c r="I260" s="1762">
        <f t="shared" si="62"/>
        <v>1</v>
      </c>
      <c r="J260" s="1769"/>
      <c r="K260" s="1762">
        <f t="shared" si="63"/>
        <v>1</v>
      </c>
      <c r="L260" s="1769"/>
      <c r="M260" s="1762">
        <f t="shared" si="64"/>
        <v>1</v>
      </c>
      <c r="N260" s="1769"/>
      <c r="O260" s="1762">
        <f t="shared" si="65"/>
        <v>1</v>
      </c>
      <c r="P260" s="1769"/>
      <c r="Q260" s="1762">
        <f t="shared" si="66"/>
        <v>1</v>
      </c>
      <c r="R260" s="1833">
        <f ca="1" t="shared" si="71"/>
        <v>0</v>
      </c>
      <c r="S260" s="1716">
        <f ca="1" t="shared" si="72"/>
        <v>0</v>
      </c>
      <c r="T260" s="1768">
        <f ca="1" t="shared" si="73"/>
        <v>0</v>
      </c>
      <c r="U260" s="1838">
        <f t="shared" si="67"/>
        <v>0</v>
      </c>
      <c r="V260" s="1838">
        <f t="shared" si="68"/>
        <v>0</v>
      </c>
      <c r="W260" s="1840"/>
      <c r="X260" s="1838">
        <f t="shared" si="69"/>
        <v>0</v>
      </c>
      <c r="Y260" s="1838">
        <f t="shared" si="70"/>
        <v>0</v>
      </c>
      <c r="Z260" s="1840"/>
    </row>
    <row r="261" spans="1:26">
      <c r="A261" s="1770"/>
      <c r="B261" s="1771"/>
      <c r="C261" s="1762">
        <f t="shared" si="59"/>
        <v>1</v>
      </c>
      <c r="D261" s="1769"/>
      <c r="E261" s="1762">
        <f t="shared" si="60"/>
        <v>1</v>
      </c>
      <c r="F261" s="1769"/>
      <c r="G261" s="1762">
        <f t="shared" si="61"/>
        <v>1</v>
      </c>
      <c r="H261" s="1769"/>
      <c r="I261" s="1762">
        <f t="shared" si="62"/>
        <v>1</v>
      </c>
      <c r="J261" s="1769"/>
      <c r="K261" s="1762">
        <f t="shared" si="63"/>
        <v>1</v>
      </c>
      <c r="L261" s="1769"/>
      <c r="M261" s="1762">
        <f t="shared" si="64"/>
        <v>1</v>
      </c>
      <c r="N261" s="1769"/>
      <c r="O261" s="1762">
        <f t="shared" si="65"/>
        <v>1</v>
      </c>
      <c r="P261" s="1769"/>
      <c r="Q261" s="1762">
        <f t="shared" si="66"/>
        <v>1</v>
      </c>
      <c r="R261" s="1833">
        <f ca="1" t="shared" si="71"/>
        <v>0</v>
      </c>
      <c r="S261" s="1716">
        <f ca="1" t="shared" si="72"/>
        <v>0</v>
      </c>
      <c r="T261" s="1768">
        <f ca="1" t="shared" si="73"/>
        <v>0</v>
      </c>
      <c r="U261" s="1838">
        <f t="shared" si="67"/>
        <v>0</v>
      </c>
      <c r="V261" s="1838">
        <f t="shared" si="68"/>
        <v>0</v>
      </c>
      <c r="W261" s="1840"/>
      <c r="X261" s="1838">
        <f t="shared" si="69"/>
        <v>0</v>
      </c>
      <c r="Y261" s="1838">
        <f t="shared" si="70"/>
        <v>0</v>
      </c>
      <c r="Z261" s="1840"/>
    </row>
    <row r="262" spans="1:26">
      <c r="A262" s="1770"/>
      <c r="B262" s="1771"/>
      <c r="C262" s="1762">
        <f t="shared" si="59"/>
        <v>1</v>
      </c>
      <c r="D262" s="1769"/>
      <c r="E262" s="1762">
        <f t="shared" si="60"/>
        <v>1</v>
      </c>
      <c r="F262" s="1769"/>
      <c r="G262" s="1762">
        <f t="shared" si="61"/>
        <v>1</v>
      </c>
      <c r="H262" s="1769"/>
      <c r="I262" s="1762">
        <f t="shared" si="62"/>
        <v>1</v>
      </c>
      <c r="J262" s="1769"/>
      <c r="K262" s="1762">
        <f t="shared" si="63"/>
        <v>1</v>
      </c>
      <c r="L262" s="1769"/>
      <c r="M262" s="1762">
        <f t="shared" si="64"/>
        <v>1</v>
      </c>
      <c r="N262" s="1769"/>
      <c r="O262" s="1762">
        <f t="shared" si="65"/>
        <v>1</v>
      </c>
      <c r="P262" s="1769"/>
      <c r="Q262" s="1762">
        <f t="shared" si="66"/>
        <v>1</v>
      </c>
      <c r="R262" s="1833">
        <f ca="1" t="shared" si="71"/>
        <v>0</v>
      </c>
      <c r="S262" s="1716">
        <f ca="1" t="shared" si="72"/>
        <v>0</v>
      </c>
      <c r="T262" s="1768">
        <f ca="1" t="shared" si="73"/>
        <v>0</v>
      </c>
      <c r="U262" s="1838">
        <f t="shared" si="67"/>
        <v>0</v>
      </c>
      <c r="V262" s="1838">
        <f t="shared" si="68"/>
        <v>0</v>
      </c>
      <c r="W262" s="1840"/>
      <c r="X262" s="1838">
        <f t="shared" si="69"/>
        <v>0</v>
      </c>
      <c r="Y262" s="1838">
        <f t="shared" si="70"/>
        <v>0</v>
      </c>
      <c r="Z262" s="1840"/>
    </row>
    <row r="263" spans="1:26">
      <c r="A263" s="1770"/>
      <c r="B263" s="1771"/>
      <c r="C263" s="1762">
        <f t="shared" si="59"/>
        <v>1</v>
      </c>
      <c r="D263" s="1769"/>
      <c r="E263" s="1762">
        <f t="shared" si="60"/>
        <v>1</v>
      </c>
      <c r="F263" s="1769"/>
      <c r="G263" s="1762">
        <f t="shared" si="61"/>
        <v>1</v>
      </c>
      <c r="H263" s="1769"/>
      <c r="I263" s="1762">
        <f t="shared" si="62"/>
        <v>1</v>
      </c>
      <c r="J263" s="1769"/>
      <c r="K263" s="1762">
        <f t="shared" si="63"/>
        <v>1</v>
      </c>
      <c r="L263" s="1769"/>
      <c r="M263" s="1762">
        <f t="shared" si="64"/>
        <v>1</v>
      </c>
      <c r="N263" s="1769"/>
      <c r="O263" s="1762">
        <f t="shared" si="65"/>
        <v>1</v>
      </c>
      <c r="P263" s="1769"/>
      <c r="Q263" s="1762">
        <f t="shared" si="66"/>
        <v>1</v>
      </c>
      <c r="R263" s="1833">
        <f ca="1" t="shared" si="71"/>
        <v>0</v>
      </c>
      <c r="S263" s="1716">
        <f ca="1" t="shared" si="72"/>
        <v>0</v>
      </c>
      <c r="T263" s="1768">
        <f ca="1" t="shared" si="73"/>
        <v>0</v>
      </c>
      <c r="U263" s="1838">
        <f t="shared" si="67"/>
        <v>0</v>
      </c>
      <c r="V263" s="1838">
        <f t="shared" si="68"/>
        <v>0</v>
      </c>
      <c r="W263" s="1840"/>
      <c r="X263" s="1838">
        <f t="shared" si="69"/>
        <v>0</v>
      </c>
      <c r="Y263" s="1838">
        <f t="shared" si="70"/>
        <v>0</v>
      </c>
      <c r="Z263" s="1840"/>
    </row>
    <row r="264" spans="1:26">
      <c r="A264" s="1770"/>
      <c r="B264" s="1771"/>
      <c r="C264" s="1762">
        <f t="shared" si="59"/>
        <v>1</v>
      </c>
      <c r="D264" s="1769"/>
      <c r="E264" s="1762">
        <f t="shared" si="60"/>
        <v>1</v>
      </c>
      <c r="F264" s="1769"/>
      <c r="G264" s="1762">
        <f t="shared" si="61"/>
        <v>1</v>
      </c>
      <c r="H264" s="1769"/>
      <c r="I264" s="1762">
        <f t="shared" si="62"/>
        <v>1</v>
      </c>
      <c r="J264" s="1769"/>
      <c r="K264" s="1762">
        <f t="shared" si="63"/>
        <v>1</v>
      </c>
      <c r="L264" s="1769"/>
      <c r="M264" s="1762">
        <f t="shared" si="64"/>
        <v>1</v>
      </c>
      <c r="N264" s="1769"/>
      <c r="O264" s="1762">
        <f t="shared" si="65"/>
        <v>1</v>
      </c>
      <c r="P264" s="1769"/>
      <c r="Q264" s="1762">
        <f t="shared" si="66"/>
        <v>1</v>
      </c>
      <c r="R264" s="1833">
        <f ca="1" t="shared" si="71"/>
        <v>0</v>
      </c>
      <c r="S264" s="1716">
        <f ca="1" t="shared" si="72"/>
        <v>0</v>
      </c>
      <c r="T264" s="1768">
        <f ca="1" t="shared" si="73"/>
        <v>0</v>
      </c>
      <c r="U264" s="1838">
        <f t="shared" si="67"/>
        <v>0</v>
      </c>
      <c r="V264" s="1838">
        <f t="shared" si="68"/>
        <v>0</v>
      </c>
      <c r="W264" s="1840"/>
      <c r="X264" s="1838">
        <f t="shared" si="69"/>
        <v>0</v>
      </c>
      <c r="Y264" s="1838">
        <f t="shared" si="70"/>
        <v>0</v>
      </c>
      <c r="Z264" s="1840"/>
    </row>
    <row r="265" spans="1:26">
      <c r="A265" s="1770"/>
      <c r="B265" s="1771"/>
      <c r="C265" s="1762">
        <f t="shared" si="59"/>
        <v>1</v>
      </c>
      <c r="D265" s="1769"/>
      <c r="E265" s="1762">
        <f t="shared" si="60"/>
        <v>1</v>
      </c>
      <c r="F265" s="1769"/>
      <c r="G265" s="1762">
        <f t="shared" si="61"/>
        <v>1</v>
      </c>
      <c r="H265" s="1769"/>
      <c r="I265" s="1762">
        <f t="shared" si="62"/>
        <v>1</v>
      </c>
      <c r="J265" s="1769"/>
      <c r="K265" s="1762">
        <f t="shared" si="63"/>
        <v>1</v>
      </c>
      <c r="L265" s="1769"/>
      <c r="M265" s="1762">
        <f t="shared" si="64"/>
        <v>1</v>
      </c>
      <c r="N265" s="1769"/>
      <c r="O265" s="1762">
        <f t="shared" si="65"/>
        <v>1</v>
      </c>
      <c r="P265" s="1769"/>
      <c r="Q265" s="1762">
        <f t="shared" si="66"/>
        <v>1</v>
      </c>
      <c r="R265" s="1833">
        <f ca="1" t="shared" si="71"/>
        <v>0</v>
      </c>
      <c r="S265" s="1716">
        <f ca="1" t="shared" si="72"/>
        <v>0</v>
      </c>
      <c r="T265" s="1768">
        <f ca="1" t="shared" si="73"/>
        <v>0</v>
      </c>
      <c r="U265" s="1838">
        <f t="shared" si="67"/>
        <v>0</v>
      </c>
      <c r="V265" s="1838">
        <f t="shared" si="68"/>
        <v>0</v>
      </c>
      <c r="W265" s="1840"/>
      <c r="X265" s="1838">
        <f t="shared" si="69"/>
        <v>0</v>
      </c>
      <c r="Y265" s="1838">
        <f t="shared" si="70"/>
        <v>0</v>
      </c>
      <c r="Z265" s="1840"/>
    </row>
    <row r="266" spans="1:26">
      <c r="A266" s="1770"/>
      <c r="B266" s="1771"/>
      <c r="C266" s="1762">
        <f t="shared" si="59"/>
        <v>1</v>
      </c>
      <c r="D266" s="1769"/>
      <c r="E266" s="1762">
        <f t="shared" si="60"/>
        <v>1</v>
      </c>
      <c r="F266" s="1769"/>
      <c r="G266" s="1762">
        <f t="shared" si="61"/>
        <v>1</v>
      </c>
      <c r="H266" s="1769"/>
      <c r="I266" s="1762">
        <f t="shared" si="62"/>
        <v>1</v>
      </c>
      <c r="J266" s="1769"/>
      <c r="K266" s="1762">
        <f t="shared" si="63"/>
        <v>1</v>
      </c>
      <c r="L266" s="1769"/>
      <c r="M266" s="1762">
        <f t="shared" si="64"/>
        <v>1</v>
      </c>
      <c r="N266" s="1769"/>
      <c r="O266" s="1762">
        <f t="shared" si="65"/>
        <v>1</v>
      </c>
      <c r="P266" s="1769"/>
      <c r="Q266" s="1762">
        <f t="shared" si="66"/>
        <v>1</v>
      </c>
      <c r="R266" s="1833">
        <f ca="1" t="shared" si="71"/>
        <v>0</v>
      </c>
      <c r="S266" s="1716">
        <f ca="1" t="shared" si="72"/>
        <v>0</v>
      </c>
      <c r="T266" s="1768">
        <f ca="1" t="shared" si="73"/>
        <v>0</v>
      </c>
      <c r="U266" s="1838">
        <f t="shared" si="67"/>
        <v>0</v>
      </c>
      <c r="V266" s="1838">
        <f t="shared" si="68"/>
        <v>0</v>
      </c>
      <c r="W266" s="1840"/>
      <c r="X266" s="1838">
        <f t="shared" si="69"/>
        <v>0</v>
      </c>
      <c r="Y266" s="1838">
        <f t="shared" si="70"/>
        <v>0</v>
      </c>
      <c r="Z266" s="1840"/>
    </row>
    <row r="267" spans="1:26">
      <c r="A267" s="1770"/>
      <c r="B267" s="1771"/>
      <c r="C267" s="1762">
        <f t="shared" si="59"/>
        <v>1</v>
      </c>
      <c r="D267" s="1769"/>
      <c r="E267" s="1762">
        <f t="shared" si="60"/>
        <v>1</v>
      </c>
      <c r="F267" s="1769"/>
      <c r="G267" s="1762">
        <f t="shared" si="61"/>
        <v>1</v>
      </c>
      <c r="H267" s="1769"/>
      <c r="I267" s="1762">
        <f t="shared" si="62"/>
        <v>1</v>
      </c>
      <c r="J267" s="1769"/>
      <c r="K267" s="1762">
        <f t="shared" si="63"/>
        <v>1</v>
      </c>
      <c r="L267" s="1769"/>
      <c r="M267" s="1762">
        <f t="shared" si="64"/>
        <v>1</v>
      </c>
      <c r="N267" s="1769"/>
      <c r="O267" s="1762">
        <f t="shared" si="65"/>
        <v>1</v>
      </c>
      <c r="P267" s="1769"/>
      <c r="Q267" s="1762">
        <f t="shared" si="66"/>
        <v>1</v>
      </c>
      <c r="R267" s="1833">
        <f ca="1" t="shared" si="71"/>
        <v>0</v>
      </c>
      <c r="S267" s="1716">
        <f ca="1" t="shared" si="72"/>
        <v>0</v>
      </c>
      <c r="T267" s="1768">
        <f ca="1" t="shared" si="73"/>
        <v>0</v>
      </c>
      <c r="U267" s="1838">
        <f t="shared" si="67"/>
        <v>0</v>
      </c>
      <c r="V267" s="1838">
        <f t="shared" si="68"/>
        <v>0</v>
      </c>
      <c r="W267" s="1840"/>
      <c r="X267" s="1838">
        <f t="shared" si="69"/>
        <v>0</v>
      </c>
      <c r="Y267" s="1838">
        <f t="shared" si="70"/>
        <v>0</v>
      </c>
      <c r="Z267" s="1840"/>
    </row>
    <row r="268" spans="1:26">
      <c r="A268" s="1770"/>
      <c r="B268" s="1771"/>
      <c r="C268" s="1762">
        <f t="shared" si="59"/>
        <v>1</v>
      </c>
      <c r="D268" s="1769"/>
      <c r="E268" s="1762">
        <f t="shared" si="60"/>
        <v>1</v>
      </c>
      <c r="F268" s="1769"/>
      <c r="G268" s="1762">
        <f t="shared" si="61"/>
        <v>1</v>
      </c>
      <c r="H268" s="1769"/>
      <c r="I268" s="1762">
        <f t="shared" si="62"/>
        <v>1</v>
      </c>
      <c r="J268" s="1769"/>
      <c r="K268" s="1762">
        <f t="shared" si="63"/>
        <v>1</v>
      </c>
      <c r="L268" s="1769"/>
      <c r="M268" s="1762">
        <f t="shared" si="64"/>
        <v>1</v>
      </c>
      <c r="N268" s="1769"/>
      <c r="O268" s="1762">
        <f t="shared" si="65"/>
        <v>1</v>
      </c>
      <c r="P268" s="1769"/>
      <c r="Q268" s="1762">
        <f t="shared" si="66"/>
        <v>1</v>
      </c>
      <c r="R268" s="1833">
        <f ca="1" t="shared" si="71"/>
        <v>0</v>
      </c>
      <c r="S268" s="1716">
        <f ca="1" t="shared" si="72"/>
        <v>0</v>
      </c>
      <c r="T268" s="1768">
        <f ca="1" t="shared" si="73"/>
        <v>0</v>
      </c>
      <c r="U268" s="1838">
        <f t="shared" si="67"/>
        <v>0</v>
      </c>
      <c r="V268" s="1838">
        <f t="shared" si="68"/>
        <v>0</v>
      </c>
      <c r="W268" s="1840"/>
      <c r="X268" s="1838">
        <f t="shared" si="69"/>
        <v>0</v>
      </c>
      <c r="Y268" s="1838">
        <f t="shared" si="70"/>
        <v>0</v>
      </c>
      <c r="Z268" s="1840"/>
    </row>
    <row r="269" spans="1:26">
      <c r="A269" s="1770"/>
      <c r="B269" s="1771"/>
      <c r="C269" s="1762">
        <f t="shared" si="59"/>
        <v>1</v>
      </c>
      <c r="D269" s="1769"/>
      <c r="E269" s="1762">
        <f t="shared" si="60"/>
        <v>1</v>
      </c>
      <c r="F269" s="1769"/>
      <c r="G269" s="1762">
        <f t="shared" si="61"/>
        <v>1</v>
      </c>
      <c r="H269" s="1769"/>
      <c r="I269" s="1762">
        <f t="shared" si="62"/>
        <v>1</v>
      </c>
      <c r="J269" s="1769"/>
      <c r="K269" s="1762">
        <f t="shared" si="63"/>
        <v>1</v>
      </c>
      <c r="L269" s="1769"/>
      <c r="M269" s="1762">
        <f t="shared" si="64"/>
        <v>1</v>
      </c>
      <c r="N269" s="1769"/>
      <c r="O269" s="1762">
        <f t="shared" si="65"/>
        <v>1</v>
      </c>
      <c r="P269" s="1769"/>
      <c r="Q269" s="1762">
        <f t="shared" si="66"/>
        <v>1</v>
      </c>
      <c r="R269" s="1833">
        <f ca="1" t="shared" si="71"/>
        <v>0</v>
      </c>
      <c r="S269" s="1716">
        <f ca="1" t="shared" si="72"/>
        <v>0</v>
      </c>
      <c r="T269" s="1768">
        <f ca="1" t="shared" si="73"/>
        <v>0</v>
      </c>
      <c r="U269" s="1838">
        <f t="shared" si="67"/>
        <v>0</v>
      </c>
      <c r="V269" s="1838">
        <f t="shared" si="68"/>
        <v>0</v>
      </c>
      <c r="W269" s="1840"/>
      <c r="X269" s="1838">
        <f t="shared" si="69"/>
        <v>0</v>
      </c>
      <c r="Y269" s="1838">
        <f t="shared" si="70"/>
        <v>0</v>
      </c>
      <c r="Z269" s="1840"/>
    </row>
    <row r="270" spans="1:26">
      <c r="A270" s="1770"/>
      <c r="B270" s="1771"/>
      <c r="C270" s="1762">
        <f t="shared" si="59"/>
        <v>1</v>
      </c>
      <c r="D270" s="1769"/>
      <c r="E270" s="1762">
        <f t="shared" si="60"/>
        <v>1</v>
      </c>
      <c r="F270" s="1769"/>
      <c r="G270" s="1762">
        <f t="shared" si="61"/>
        <v>1</v>
      </c>
      <c r="H270" s="1769"/>
      <c r="I270" s="1762">
        <f t="shared" si="62"/>
        <v>1</v>
      </c>
      <c r="J270" s="1769"/>
      <c r="K270" s="1762">
        <f t="shared" si="63"/>
        <v>1</v>
      </c>
      <c r="L270" s="1769"/>
      <c r="M270" s="1762">
        <f t="shared" si="64"/>
        <v>1</v>
      </c>
      <c r="N270" s="1769"/>
      <c r="O270" s="1762">
        <f t="shared" si="65"/>
        <v>1</v>
      </c>
      <c r="P270" s="1769"/>
      <c r="Q270" s="1762">
        <f t="shared" si="66"/>
        <v>1</v>
      </c>
      <c r="R270" s="1833">
        <f ca="1" t="shared" si="71"/>
        <v>0</v>
      </c>
      <c r="S270" s="1716">
        <f ca="1" t="shared" si="72"/>
        <v>0</v>
      </c>
      <c r="T270" s="1768">
        <f ca="1" t="shared" si="73"/>
        <v>0</v>
      </c>
      <c r="U270" s="1838">
        <f t="shared" si="67"/>
        <v>0</v>
      </c>
      <c r="V270" s="1838">
        <f t="shared" si="68"/>
        <v>0</v>
      </c>
      <c r="W270" s="1840"/>
      <c r="X270" s="1838">
        <f t="shared" si="69"/>
        <v>0</v>
      </c>
      <c r="Y270" s="1838">
        <f t="shared" si="70"/>
        <v>0</v>
      </c>
      <c r="Z270" s="1840"/>
    </row>
    <row r="271" spans="1:26">
      <c r="A271" s="1770"/>
      <c r="B271" s="1771"/>
      <c r="C271" s="1762">
        <f t="shared" si="59"/>
        <v>1</v>
      </c>
      <c r="D271" s="1769"/>
      <c r="E271" s="1762">
        <f t="shared" si="60"/>
        <v>1</v>
      </c>
      <c r="F271" s="1769"/>
      <c r="G271" s="1762">
        <f t="shared" si="61"/>
        <v>1</v>
      </c>
      <c r="H271" s="1769"/>
      <c r="I271" s="1762">
        <f t="shared" si="62"/>
        <v>1</v>
      </c>
      <c r="J271" s="1769"/>
      <c r="K271" s="1762">
        <f t="shared" si="63"/>
        <v>1</v>
      </c>
      <c r="L271" s="1769"/>
      <c r="M271" s="1762">
        <f t="shared" si="64"/>
        <v>1</v>
      </c>
      <c r="N271" s="1769"/>
      <c r="O271" s="1762">
        <f t="shared" si="65"/>
        <v>1</v>
      </c>
      <c r="P271" s="1769"/>
      <c r="Q271" s="1762">
        <f t="shared" si="66"/>
        <v>1</v>
      </c>
      <c r="R271" s="1833">
        <f ca="1" t="shared" si="71"/>
        <v>0</v>
      </c>
      <c r="S271" s="1716">
        <f ca="1" t="shared" si="72"/>
        <v>0</v>
      </c>
      <c r="T271" s="1768">
        <f ca="1" t="shared" si="73"/>
        <v>0</v>
      </c>
      <c r="U271" s="1838">
        <f t="shared" si="67"/>
        <v>0</v>
      </c>
      <c r="V271" s="1838">
        <f t="shared" si="68"/>
        <v>0</v>
      </c>
      <c r="W271" s="1840"/>
      <c r="X271" s="1838">
        <f t="shared" si="69"/>
        <v>0</v>
      </c>
      <c r="Y271" s="1838">
        <f t="shared" si="70"/>
        <v>0</v>
      </c>
      <c r="Z271" s="1840"/>
    </row>
    <row r="272" spans="1:26">
      <c r="A272" s="1770"/>
      <c r="B272" s="1771"/>
      <c r="C272" s="1762">
        <f t="shared" si="59"/>
        <v>1</v>
      </c>
      <c r="D272" s="1769"/>
      <c r="E272" s="1762">
        <f t="shared" si="60"/>
        <v>1</v>
      </c>
      <c r="F272" s="1769"/>
      <c r="G272" s="1762">
        <f t="shared" si="61"/>
        <v>1</v>
      </c>
      <c r="H272" s="1769"/>
      <c r="I272" s="1762">
        <f t="shared" si="62"/>
        <v>1</v>
      </c>
      <c r="J272" s="1769"/>
      <c r="K272" s="1762">
        <f t="shared" si="63"/>
        <v>1</v>
      </c>
      <c r="L272" s="1769"/>
      <c r="M272" s="1762">
        <f t="shared" si="64"/>
        <v>1</v>
      </c>
      <c r="N272" s="1769"/>
      <c r="O272" s="1762">
        <f t="shared" si="65"/>
        <v>1</v>
      </c>
      <c r="P272" s="1769"/>
      <c r="Q272" s="1762">
        <f t="shared" si="66"/>
        <v>1</v>
      </c>
      <c r="R272" s="1833">
        <f ca="1" t="shared" si="71"/>
        <v>0</v>
      </c>
      <c r="S272" s="1716">
        <f ca="1" t="shared" si="72"/>
        <v>0</v>
      </c>
      <c r="T272" s="1768">
        <f ca="1" t="shared" si="73"/>
        <v>0</v>
      </c>
      <c r="U272" s="1838">
        <f t="shared" si="67"/>
        <v>0</v>
      </c>
      <c r="V272" s="1838">
        <f t="shared" si="68"/>
        <v>0</v>
      </c>
      <c r="W272" s="1840"/>
      <c r="X272" s="1838">
        <f t="shared" si="69"/>
        <v>0</v>
      </c>
      <c r="Y272" s="1838">
        <f t="shared" si="70"/>
        <v>0</v>
      </c>
      <c r="Z272" s="1840"/>
    </row>
    <row r="273" spans="1:26">
      <c r="A273" s="1770"/>
      <c r="B273" s="1771"/>
      <c r="C273" s="1762">
        <f t="shared" si="59"/>
        <v>1</v>
      </c>
      <c r="D273" s="1769"/>
      <c r="E273" s="1762">
        <f t="shared" si="60"/>
        <v>1</v>
      </c>
      <c r="F273" s="1769"/>
      <c r="G273" s="1762">
        <f t="shared" si="61"/>
        <v>1</v>
      </c>
      <c r="H273" s="1769"/>
      <c r="I273" s="1762">
        <f t="shared" si="62"/>
        <v>1</v>
      </c>
      <c r="J273" s="1769"/>
      <c r="K273" s="1762">
        <f t="shared" si="63"/>
        <v>1</v>
      </c>
      <c r="L273" s="1769"/>
      <c r="M273" s="1762">
        <f t="shared" si="64"/>
        <v>1</v>
      </c>
      <c r="N273" s="1769"/>
      <c r="O273" s="1762">
        <f t="shared" si="65"/>
        <v>1</v>
      </c>
      <c r="P273" s="1769"/>
      <c r="Q273" s="1762">
        <f t="shared" si="66"/>
        <v>1</v>
      </c>
      <c r="R273" s="1833">
        <f ca="1" t="shared" si="71"/>
        <v>0</v>
      </c>
      <c r="S273" s="1716">
        <f ca="1" t="shared" si="72"/>
        <v>0</v>
      </c>
      <c r="T273" s="1768">
        <f ca="1" t="shared" si="73"/>
        <v>0</v>
      </c>
      <c r="U273" s="1838">
        <f t="shared" si="67"/>
        <v>0</v>
      </c>
      <c r="V273" s="1838">
        <f t="shared" si="68"/>
        <v>0</v>
      </c>
      <c r="W273" s="1840"/>
      <c r="X273" s="1838">
        <f t="shared" si="69"/>
        <v>0</v>
      </c>
      <c r="Y273" s="1838">
        <f t="shared" si="70"/>
        <v>0</v>
      </c>
      <c r="Z273" s="1840"/>
    </row>
    <row r="274" spans="1:26">
      <c r="A274" s="1770"/>
      <c r="B274" s="1771"/>
      <c r="C274" s="1762">
        <f t="shared" si="59"/>
        <v>1</v>
      </c>
      <c r="D274" s="1769"/>
      <c r="E274" s="1762">
        <f t="shared" si="60"/>
        <v>1</v>
      </c>
      <c r="F274" s="1769"/>
      <c r="G274" s="1762">
        <f t="shared" si="61"/>
        <v>1</v>
      </c>
      <c r="H274" s="1769"/>
      <c r="I274" s="1762">
        <f t="shared" si="62"/>
        <v>1</v>
      </c>
      <c r="J274" s="1769"/>
      <c r="K274" s="1762">
        <f t="shared" si="63"/>
        <v>1</v>
      </c>
      <c r="L274" s="1769"/>
      <c r="M274" s="1762">
        <f t="shared" si="64"/>
        <v>1</v>
      </c>
      <c r="N274" s="1769"/>
      <c r="O274" s="1762">
        <f t="shared" si="65"/>
        <v>1</v>
      </c>
      <c r="P274" s="1769"/>
      <c r="Q274" s="1762">
        <f t="shared" si="66"/>
        <v>1</v>
      </c>
      <c r="R274" s="1833">
        <f ca="1" t="shared" si="71"/>
        <v>0</v>
      </c>
      <c r="S274" s="1716">
        <f ca="1" t="shared" si="72"/>
        <v>0</v>
      </c>
      <c r="T274" s="1768">
        <f ca="1" t="shared" si="73"/>
        <v>0</v>
      </c>
      <c r="U274" s="1838">
        <f t="shared" si="67"/>
        <v>0</v>
      </c>
      <c r="V274" s="1838">
        <f t="shared" si="68"/>
        <v>0</v>
      </c>
      <c r="W274" s="1840"/>
      <c r="X274" s="1838">
        <f t="shared" si="69"/>
        <v>0</v>
      </c>
      <c r="Y274" s="1838">
        <f t="shared" si="70"/>
        <v>0</v>
      </c>
      <c r="Z274" s="1840"/>
    </row>
    <row r="275" spans="1:26">
      <c r="A275" s="1770"/>
      <c r="B275" s="1771"/>
      <c r="C275" s="1762">
        <f t="shared" si="59"/>
        <v>1</v>
      </c>
      <c r="D275" s="1769"/>
      <c r="E275" s="1762">
        <f t="shared" si="60"/>
        <v>1</v>
      </c>
      <c r="F275" s="1769"/>
      <c r="G275" s="1762">
        <f t="shared" si="61"/>
        <v>1</v>
      </c>
      <c r="H275" s="1769"/>
      <c r="I275" s="1762">
        <f t="shared" si="62"/>
        <v>1</v>
      </c>
      <c r="J275" s="1769"/>
      <c r="K275" s="1762">
        <f t="shared" si="63"/>
        <v>1</v>
      </c>
      <c r="L275" s="1769"/>
      <c r="M275" s="1762">
        <f t="shared" si="64"/>
        <v>1</v>
      </c>
      <c r="N275" s="1769"/>
      <c r="O275" s="1762">
        <f t="shared" si="65"/>
        <v>1</v>
      </c>
      <c r="P275" s="1769"/>
      <c r="Q275" s="1762">
        <f t="shared" si="66"/>
        <v>1</v>
      </c>
      <c r="R275" s="1833">
        <f ca="1" t="shared" si="71"/>
        <v>0</v>
      </c>
      <c r="S275" s="1716">
        <f ca="1" t="shared" si="72"/>
        <v>0</v>
      </c>
      <c r="T275" s="1768">
        <f ca="1" t="shared" si="73"/>
        <v>0</v>
      </c>
      <c r="U275" s="1838">
        <f t="shared" si="67"/>
        <v>0</v>
      </c>
      <c r="V275" s="1838">
        <f t="shared" si="68"/>
        <v>0</v>
      </c>
      <c r="W275" s="1840"/>
      <c r="X275" s="1838">
        <f t="shared" si="69"/>
        <v>0</v>
      </c>
      <c r="Y275" s="1838">
        <f t="shared" si="70"/>
        <v>0</v>
      </c>
      <c r="Z275" s="1840"/>
    </row>
    <row r="276" spans="1:26">
      <c r="A276" s="1770"/>
      <c r="B276" s="1771"/>
      <c r="C276" s="1762">
        <f t="shared" si="59"/>
        <v>1</v>
      </c>
      <c r="D276" s="1769"/>
      <c r="E276" s="1762">
        <f t="shared" si="60"/>
        <v>1</v>
      </c>
      <c r="F276" s="1769"/>
      <c r="G276" s="1762">
        <f t="shared" si="61"/>
        <v>1</v>
      </c>
      <c r="H276" s="1769"/>
      <c r="I276" s="1762">
        <f t="shared" si="62"/>
        <v>1</v>
      </c>
      <c r="J276" s="1769"/>
      <c r="K276" s="1762">
        <f t="shared" si="63"/>
        <v>1</v>
      </c>
      <c r="L276" s="1769"/>
      <c r="M276" s="1762">
        <f t="shared" si="64"/>
        <v>1</v>
      </c>
      <c r="N276" s="1769"/>
      <c r="O276" s="1762">
        <f t="shared" si="65"/>
        <v>1</v>
      </c>
      <c r="P276" s="1769"/>
      <c r="Q276" s="1762">
        <f t="shared" si="66"/>
        <v>1</v>
      </c>
      <c r="R276" s="1833">
        <f ca="1" t="shared" si="71"/>
        <v>0</v>
      </c>
      <c r="S276" s="1716">
        <f ca="1" t="shared" si="72"/>
        <v>0</v>
      </c>
      <c r="T276" s="1768">
        <f ca="1" t="shared" si="73"/>
        <v>0</v>
      </c>
      <c r="U276" s="1838">
        <f t="shared" si="67"/>
        <v>0</v>
      </c>
      <c r="V276" s="1838">
        <f t="shared" si="68"/>
        <v>0</v>
      </c>
      <c r="W276" s="1840"/>
      <c r="X276" s="1838">
        <f t="shared" si="69"/>
        <v>0</v>
      </c>
      <c r="Y276" s="1838">
        <f t="shared" si="70"/>
        <v>0</v>
      </c>
      <c r="Z276" s="1840"/>
    </row>
    <row r="277" spans="1:26">
      <c r="A277" s="1770"/>
      <c r="B277" s="1771"/>
      <c r="C277" s="1762">
        <f t="shared" si="59"/>
        <v>1</v>
      </c>
      <c r="D277" s="1769"/>
      <c r="E277" s="1762">
        <f t="shared" si="60"/>
        <v>1</v>
      </c>
      <c r="F277" s="1769"/>
      <c r="G277" s="1762">
        <f t="shared" si="61"/>
        <v>1</v>
      </c>
      <c r="H277" s="1769"/>
      <c r="I277" s="1762">
        <f t="shared" si="62"/>
        <v>1</v>
      </c>
      <c r="J277" s="1769"/>
      <c r="K277" s="1762">
        <f t="shared" si="63"/>
        <v>1</v>
      </c>
      <c r="L277" s="1769"/>
      <c r="M277" s="1762">
        <f t="shared" si="64"/>
        <v>1</v>
      </c>
      <c r="N277" s="1769"/>
      <c r="O277" s="1762">
        <f t="shared" si="65"/>
        <v>1</v>
      </c>
      <c r="P277" s="1769"/>
      <c r="Q277" s="1762">
        <f t="shared" si="66"/>
        <v>1</v>
      </c>
      <c r="R277" s="1833">
        <f ca="1" t="shared" si="71"/>
        <v>0</v>
      </c>
      <c r="S277" s="1716">
        <f ca="1" t="shared" si="72"/>
        <v>0</v>
      </c>
      <c r="T277" s="1768">
        <f ca="1" t="shared" si="73"/>
        <v>0</v>
      </c>
      <c r="U277" s="1838">
        <f t="shared" si="67"/>
        <v>0</v>
      </c>
      <c r="V277" s="1838">
        <f t="shared" si="68"/>
        <v>0</v>
      </c>
      <c r="W277" s="1840"/>
      <c r="X277" s="1838">
        <f t="shared" si="69"/>
        <v>0</v>
      </c>
      <c r="Y277" s="1838">
        <f t="shared" si="70"/>
        <v>0</v>
      </c>
      <c r="Z277" s="1840"/>
    </row>
    <row r="278" spans="1:26">
      <c r="A278" s="1770"/>
      <c r="B278" s="1771"/>
      <c r="C278" s="1762">
        <f t="shared" si="59"/>
        <v>1</v>
      </c>
      <c r="D278" s="1769"/>
      <c r="E278" s="1762">
        <f t="shared" si="60"/>
        <v>1</v>
      </c>
      <c r="F278" s="1769"/>
      <c r="G278" s="1762">
        <f t="shared" si="61"/>
        <v>1</v>
      </c>
      <c r="H278" s="1769"/>
      <c r="I278" s="1762">
        <f t="shared" si="62"/>
        <v>1</v>
      </c>
      <c r="J278" s="1769"/>
      <c r="K278" s="1762">
        <f t="shared" si="63"/>
        <v>1</v>
      </c>
      <c r="L278" s="1769"/>
      <c r="M278" s="1762">
        <f t="shared" si="64"/>
        <v>1</v>
      </c>
      <c r="N278" s="1769"/>
      <c r="O278" s="1762">
        <f t="shared" si="65"/>
        <v>1</v>
      </c>
      <c r="P278" s="1769"/>
      <c r="Q278" s="1762">
        <f t="shared" si="66"/>
        <v>1</v>
      </c>
      <c r="R278" s="1833">
        <f ca="1" t="shared" si="71"/>
        <v>0</v>
      </c>
      <c r="S278" s="1716">
        <f ca="1" t="shared" si="72"/>
        <v>0</v>
      </c>
      <c r="T278" s="1768">
        <f ca="1" t="shared" si="73"/>
        <v>0</v>
      </c>
      <c r="U278" s="1838">
        <f t="shared" si="67"/>
        <v>0</v>
      </c>
      <c r="V278" s="1838">
        <f t="shared" si="68"/>
        <v>0</v>
      </c>
      <c r="W278" s="1840"/>
      <c r="X278" s="1838">
        <f t="shared" si="69"/>
        <v>0</v>
      </c>
      <c r="Y278" s="1838">
        <f t="shared" si="70"/>
        <v>0</v>
      </c>
      <c r="Z278" s="1840"/>
    </row>
    <row r="279" spans="1:26">
      <c r="A279" s="1770"/>
      <c r="B279" s="1771"/>
      <c r="C279" s="1762">
        <f t="shared" si="59"/>
        <v>1</v>
      </c>
      <c r="D279" s="1769"/>
      <c r="E279" s="1762">
        <f t="shared" si="60"/>
        <v>1</v>
      </c>
      <c r="F279" s="1769"/>
      <c r="G279" s="1762">
        <f t="shared" si="61"/>
        <v>1</v>
      </c>
      <c r="H279" s="1769"/>
      <c r="I279" s="1762">
        <f t="shared" si="62"/>
        <v>1</v>
      </c>
      <c r="J279" s="1769"/>
      <c r="K279" s="1762">
        <f t="shared" si="63"/>
        <v>1</v>
      </c>
      <c r="L279" s="1769"/>
      <c r="M279" s="1762">
        <f t="shared" si="64"/>
        <v>1</v>
      </c>
      <c r="N279" s="1769"/>
      <c r="O279" s="1762">
        <f t="shared" si="65"/>
        <v>1</v>
      </c>
      <c r="P279" s="1769"/>
      <c r="Q279" s="1762">
        <f t="shared" si="66"/>
        <v>1</v>
      </c>
      <c r="R279" s="1833">
        <f ca="1" t="shared" si="71"/>
        <v>0</v>
      </c>
      <c r="S279" s="1716">
        <f ca="1" t="shared" si="72"/>
        <v>0</v>
      </c>
      <c r="T279" s="1768">
        <f ca="1" t="shared" si="73"/>
        <v>0</v>
      </c>
      <c r="U279" s="1838">
        <f t="shared" si="67"/>
        <v>0</v>
      </c>
      <c r="V279" s="1838">
        <f t="shared" si="68"/>
        <v>0</v>
      </c>
      <c r="W279" s="1840"/>
      <c r="X279" s="1838">
        <f t="shared" si="69"/>
        <v>0</v>
      </c>
      <c r="Y279" s="1838">
        <f t="shared" si="70"/>
        <v>0</v>
      </c>
      <c r="Z279" s="1840"/>
    </row>
    <row r="280" spans="1:26">
      <c r="A280" s="1770"/>
      <c r="B280" s="1771"/>
      <c r="C280" s="1762">
        <f t="shared" si="59"/>
        <v>1</v>
      </c>
      <c r="D280" s="1769"/>
      <c r="E280" s="1762">
        <f t="shared" si="60"/>
        <v>1</v>
      </c>
      <c r="F280" s="1769"/>
      <c r="G280" s="1762">
        <f t="shared" si="61"/>
        <v>1</v>
      </c>
      <c r="H280" s="1769"/>
      <c r="I280" s="1762">
        <f t="shared" si="62"/>
        <v>1</v>
      </c>
      <c r="J280" s="1769"/>
      <c r="K280" s="1762">
        <f t="shared" si="63"/>
        <v>1</v>
      </c>
      <c r="L280" s="1769"/>
      <c r="M280" s="1762">
        <f t="shared" si="64"/>
        <v>1</v>
      </c>
      <c r="N280" s="1769"/>
      <c r="O280" s="1762">
        <f t="shared" si="65"/>
        <v>1</v>
      </c>
      <c r="P280" s="1769"/>
      <c r="Q280" s="1762">
        <f t="shared" si="66"/>
        <v>1</v>
      </c>
      <c r="R280" s="1833">
        <f ca="1" t="shared" si="71"/>
        <v>0</v>
      </c>
      <c r="S280" s="1716">
        <f ca="1" t="shared" si="72"/>
        <v>0</v>
      </c>
      <c r="T280" s="1768">
        <f ca="1" t="shared" si="73"/>
        <v>0</v>
      </c>
      <c r="U280" s="1838">
        <f t="shared" si="67"/>
        <v>0</v>
      </c>
      <c r="V280" s="1838">
        <f t="shared" si="68"/>
        <v>0</v>
      </c>
      <c r="W280" s="1840"/>
      <c r="X280" s="1838">
        <f t="shared" si="69"/>
        <v>0</v>
      </c>
      <c r="Y280" s="1838">
        <f t="shared" si="70"/>
        <v>0</v>
      </c>
      <c r="Z280" s="1840"/>
    </row>
    <row r="281" spans="1:26">
      <c r="A281" s="1770"/>
      <c r="B281" s="1771"/>
      <c r="C281" s="1762">
        <f t="shared" si="59"/>
        <v>1</v>
      </c>
      <c r="D281" s="1769"/>
      <c r="E281" s="1762">
        <f t="shared" si="60"/>
        <v>1</v>
      </c>
      <c r="F281" s="1769"/>
      <c r="G281" s="1762">
        <f t="shared" si="61"/>
        <v>1</v>
      </c>
      <c r="H281" s="1769"/>
      <c r="I281" s="1762">
        <f t="shared" si="62"/>
        <v>1</v>
      </c>
      <c r="J281" s="1769"/>
      <c r="K281" s="1762">
        <f t="shared" si="63"/>
        <v>1</v>
      </c>
      <c r="L281" s="1769"/>
      <c r="M281" s="1762">
        <f t="shared" si="64"/>
        <v>1</v>
      </c>
      <c r="N281" s="1769"/>
      <c r="O281" s="1762">
        <f t="shared" si="65"/>
        <v>1</v>
      </c>
      <c r="P281" s="1769"/>
      <c r="Q281" s="1762">
        <f t="shared" si="66"/>
        <v>1</v>
      </c>
      <c r="R281" s="1833">
        <f ca="1" t="shared" si="71"/>
        <v>0</v>
      </c>
      <c r="S281" s="1716">
        <f ca="1" t="shared" si="72"/>
        <v>0</v>
      </c>
      <c r="T281" s="1768">
        <f ca="1" t="shared" si="73"/>
        <v>0</v>
      </c>
      <c r="U281" s="1838">
        <f t="shared" si="67"/>
        <v>0</v>
      </c>
      <c r="V281" s="1838">
        <f t="shared" si="68"/>
        <v>0</v>
      </c>
      <c r="W281" s="1840"/>
      <c r="X281" s="1838">
        <f t="shared" si="69"/>
        <v>0</v>
      </c>
      <c r="Y281" s="1838">
        <f t="shared" si="70"/>
        <v>0</v>
      </c>
      <c r="Z281" s="1840"/>
    </row>
    <row r="282" spans="1:26">
      <c r="A282" s="1770"/>
      <c r="B282" s="1771"/>
      <c r="C282" s="1762">
        <f t="shared" si="59"/>
        <v>1</v>
      </c>
      <c r="D282" s="1769"/>
      <c r="E282" s="1762">
        <f t="shared" si="60"/>
        <v>1</v>
      </c>
      <c r="F282" s="1769"/>
      <c r="G282" s="1762">
        <f t="shared" si="61"/>
        <v>1</v>
      </c>
      <c r="H282" s="1769"/>
      <c r="I282" s="1762">
        <f t="shared" si="62"/>
        <v>1</v>
      </c>
      <c r="J282" s="1769"/>
      <c r="K282" s="1762">
        <f t="shared" si="63"/>
        <v>1</v>
      </c>
      <c r="L282" s="1769"/>
      <c r="M282" s="1762">
        <f t="shared" si="64"/>
        <v>1</v>
      </c>
      <c r="N282" s="1769"/>
      <c r="O282" s="1762">
        <f t="shared" si="65"/>
        <v>1</v>
      </c>
      <c r="P282" s="1769"/>
      <c r="Q282" s="1762">
        <f t="shared" si="66"/>
        <v>1</v>
      </c>
      <c r="R282" s="1833">
        <f ca="1" t="shared" si="71"/>
        <v>0</v>
      </c>
      <c r="S282" s="1716">
        <f ca="1" t="shared" si="72"/>
        <v>0</v>
      </c>
      <c r="T282" s="1768">
        <f ca="1" t="shared" si="73"/>
        <v>0</v>
      </c>
      <c r="U282" s="1838">
        <f t="shared" si="67"/>
        <v>0</v>
      </c>
      <c r="V282" s="1838">
        <f t="shared" si="68"/>
        <v>0</v>
      </c>
      <c r="W282" s="1840"/>
      <c r="X282" s="1838">
        <f t="shared" si="69"/>
        <v>0</v>
      </c>
      <c r="Y282" s="1838">
        <f t="shared" si="70"/>
        <v>0</v>
      </c>
      <c r="Z282" s="1840"/>
    </row>
    <row r="283" spans="1:26">
      <c r="A283" s="1770"/>
      <c r="B283" s="1771"/>
      <c r="C283" s="1762">
        <f t="shared" si="59"/>
        <v>1</v>
      </c>
      <c r="D283" s="1769"/>
      <c r="E283" s="1762">
        <f t="shared" si="60"/>
        <v>1</v>
      </c>
      <c r="F283" s="1769"/>
      <c r="G283" s="1762">
        <f t="shared" si="61"/>
        <v>1</v>
      </c>
      <c r="H283" s="1769"/>
      <c r="I283" s="1762">
        <f t="shared" si="62"/>
        <v>1</v>
      </c>
      <c r="J283" s="1769"/>
      <c r="K283" s="1762">
        <f t="shared" si="63"/>
        <v>1</v>
      </c>
      <c r="L283" s="1769"/>
      <c r="M283" s="1762">
        <f t="shared" si="64"/>
        <v>1</v>
      </c>
      <c r="N283" s="1769"/>
      <c r="O283" s="1762">
        <f t="shared" si="65"/>
        <v>1</v>
      </c>
      <c r="P283" s="1769"/>
      <c r="Q283" s="1762">
        <f t="shared" si="66"/>
        <v>1</v>
      </c>
      <c r="R283" s="1833">
        <f ca="1" t="shared" si="71"/>
        <v>0</v>
      </c>
      <c r="S283" s="1716">
        <f ca="1" t="shared" si="72"/>
        <v>0</v>
      </c>
      <c r="T283" s="1768">
        <f ca="1" t="shared" si="73"/>
        <v>0</v>
      </c>
      <c r="U283" s="1838">
        <f t="shared" si="67"/>
        <v>0</v>
      </c>
      <c r="V283" s="1838">
        <f t="shared" si="68"/>
        <v>0</v>
      </c>
      <c r="W283" s="1840"/>
      <c r="X283" s="1838">
        <f t="shared" si="69"/>
        <v>0</v>
      </c>
      <c r="Y283" s="1838">
        <f t="shared" si="70"/>
        <v>0</v>
      </c>
      <c r="Z283" s="1840"/>
    </row>
    <row r="284" spans="1:26">
      <c r="A284" s="1770"/>
      <c r="B284" s="1771"/>
      <c r="C284" s="1762">
        <f t="shared" ref="C284:C347" si="74">IF(B284="",1,(LOOKUP(B284,$6:$6,$7:$7)-LOOKUP($B$27,$6:$6,$7:$7)+100)/100)</f>
        <v>1</v>
      </c>
      <c r="D284" s="1769"/>
      <c r="E284" s="1762">
        <f t="shared" ref="E284:E347" si="75">(SUMIF($8:$8,D284,$9:$9)-SUMIF($8:$8,$D$27,$9:$9)+100)/100</f>
        <v>1</v>
      </c>
      <c r="F284" s="1769"/>
      <c r="G284" s="1762">
        <f t="shared" ref="G284:G347" si="76">(SUMIF($10:$10,F284,$11:$11)-SUMIF($10:$10,$F$27,$11:$11)+100)/100</f>
        <v>1</v>
      </c>
      <c r="H284" s="1769"/>
      <c r="I284" s="1762">
        <f t="shared" ref="I284:I347" si="77">(SUMIF($12:$12,H284,$13:$13)-SUMIF($12:$12,$H$27,$13:$13)+100)/100</f>
        <v>1</v>
      </c>
      <c r="J284" s="1769"/>
      <c r="K284" s="1762">
        <f t="shared" ref="K284:K347" si="78">(SUMIF($14:$14,J284,$15:$15)-SUMIF($14:$14,$J$27,$15:$15)+100)/100</f>
        <v>1</v>
      </c>
      <c r="L284" s="1769"/>
      <c r="M284" s="1762">
        <f t="shared" ref="M284:M347" si="79">(SUMIF($16:$16,L284,$17:$17)-SUMIF($16:$16,$L$27,$17:$17)+100)/100</f>
        <v>1</v>
      </c>
      <c r="N284" s="1769"/>
      <c r="O284" s="1762">
        <f t="shared" ref="O284:O347" si="80">(SUMIF($18:$18,N284,$19:$19)-SUMIF($18:$18,$N$27,$19:$19)+100)/100</f>
        <v>1</v>
      </c>
      <c r="P284" s="1769"/>
      <c r="Q284" s="1762">
        <f t="shared" ref="Q284:Q347" si="81">(SUMIF($20:$20,P284,$21:$21)-SUMIF($20:$20,$P$27,$21:$21)+100)/100</f>
        <v>1</v>
      </c>
      <c r="R284" s="1833">
        <f ca="1" t="shared" si="71"/>
        <v>0</v>
      </c>
      <c r="S284" s="1716">
        <f ca="1" t="shared" si="72"/>
        <v>0</v>
      </c>
      <c r="T284" s="1768">
        <f ca="1" t="shared" si="73"/>
        <v>0</v>
      </c>
      <c r="U284" s="1838">
        <f t="shared" ref="U284:U347" si="82">ROUND(W284*B284,0)</f>
        <v>0</v>
      </c>
      <c r="V284" s="1838">
        <f t="shared" ref="V284:V347" si="83">ROUND(W284*B284/10000,0)</f>
        <v>0</v>
      </c>
      <c r="W284" s="1840"/>
      <c r="X284" s="1838">
        <f t="shared" ref="X284:X347" si="84">ROUND(Z284*B284,0)</f>
        <v>0</v>
      </c>
      <c r="Y284" s="1838">
        <f t="shared" ref="Y284:Y347" si="85">ROUND(Z284*B284/10000,0)</f>
        <v>0</v>
      </c>
      <c r="Z284" s="1840"/>
    </row>
    <row r="285" spans="1:26">
      <c r="A285" s="1770"/>
      <c r="B285" s="1771"/>
      <c r="C285" s="1762">
        <f t="shared" si="74"/>
        <v>1</v>
      </c>
      <c r="D285" s="1769"/>
      <c r="E285" s="1762">
        <f t="shared" si="75"/>
        <v>1</v>
      </c>
      <c r="F285" s="1769"/>
      <c r="G285" s="1762">
        <f t="shared" si="76"/>
        <v>1</v>
      </c>
      <c r="H285" s="1769"/>
      <c r="I285" s="1762">
        <f t="shared" si="77"/>
        <v>1</v>
      </c>
      <c r="J285" s="1769"/>
      <c r="K285" s="1762">
        <f t="shared" si="78"/>
        <v>1</v>
      </c>
      <c r="L285" s="1769"/>
      <c r="M285" s="1762">
        <f t="shared" si="79"/>
        <v>1</v>
      </c>
      <c r="N285" s="1769"/>
      <c r="O285" s="1762">
        <f t="shared" si="80"/>
        <v>1</v>
      </c>
      <c r="P285" s="1769"/>
      <c r="Q285" s="1762">
        <f t="shared" si="81"/>
        <v>1</v>
      </c>
      <c r="R285" s="1833">
        <f ca="1" t="shared" ref="R285:R348" si="86">IF(B285="",0,ROUND($R$27*C285*E285*G285*I285*K285*M285*O285*Q285,0))</f>
        <v>0</v>
      </c>
      <c r="S285" s="1716">
        <f ca="1" t="shared" ref="S285:S348" si="87">ROUND(R285*B285,0)</f>
        <v>0</v>
      </c>
      <c r="T285" s="1768">
        <f ca="1" t="shared" ref="T285:T348" si="88">ROUND(R285*B285/10000,0)</f>
        <v>0</v>
      </c>
      <c r="U285" s="1838">
        <f t="shared" si="82"/>
        <v>0</v>
      </c>
      <c r="V285" s="1838">
        <f t="shared" si="83"/>
        <v>0</v>
      </c>
      <c r="W285" s="1840"/>
      <c r="X285" s="1838">
        <f t="shared" si="84"/>
        <v>0</v>
      </c>
      <c r="Y285" s="1838">
        <f t="shared" si="85"/>
        <v>0</v>
      </c>
      <c r="Z285" s="1840"/>
    </row>
    <row r="286" spans="1:26">
      <c r="A286" s="1770"/>
      <c r="B286" s="1771"/>
      <c r="C286" s="1762">
        <f t="shared" si="74"/>
        <v>1</v>
      </c>
      <c r="D286" s="1769"/>
      <c r="E286" s="1762">
        <f t="shared" si="75"/>
        <v>1</v>
      </c>
      <c r="F286" s="1769"/>
      <c r="G286" s="1762">
        <f t="shared" si="76"/>
        <v>1</v>
      </c>
      <c r="H286" s="1769"/>
      <c r="I286" s="1762">
        <f t="shared" si="77"/>
        <v>1</v>
      </c>
      <c r="J286" s="1769"/>
      <c r="K286" s="1762">
        <f t="shared" si="78"/>
        <v>1</v>
      </c>
      <c r="L286" s="1769"/>
      <c r="M286" s="1762">
        <f t="shared" si="79"/>
        <v>1</v>
      </c>
      <c r="N286" s="1769"/>
      <c r="O286" s="1762">
        <f t="shared" si="80"/>
        <v>1</v>
      </c>
      <c r="P286" s="1769"/>
      <c r="Q286" s="1762">
        <f t="shared" si="81"/>
        <v>1</v>
      </c>
      <c r="R286" s="1833">
        <f ca="1" t="shared" si="86"/>
        <v>0</v>
      </c>
      <c r="S286" s="1716">
        <f ca="1" t="shared" si="87"/>
        <v>0</v>
      </c>
      <c r="T286" s="1768">
        <f ca="1" t="shared" si="88"/>
        <v>0</v>
      </c>
      <c r="U286" s="1838">
        <f t="shared" si="82"/>
        <v>0</v>
      </c>
      <c r="V286" s="1838">
        <f t="shared" si="83"/>
        <v>0</v>
      </c>
      <c r="W286" s="1840"/>
      <c r="X286" s="1838">
        <f t="shared" si="84"/>
        <v>0</v>
      </c>
      <c r="Y286" s="1838">
        <f t="shared" si="85"/>
        <v>0</v>
      </c>
      <c r="Z286" s="1840"/>
    </row>
    <row r="287" spans="1:26">
      <c r="A287" s="1770"/>
      <c r="B287" s="1771"/>
      <c r="C287" s="1762">
        <f t="shared" si="74"/>
        <v>1</v>
      </c>
      <c r="D287" s="1769"/>
      <c r="E287" s="1762">
        <f t="shared" si="75"/>
        <v>1</v>
      </c>
      <c r="F287" s="1769"/>
      <c r="G287" s="1762">
        <f t="shared" si="76"/>
        <v>1</v>
      </c>
      <c r="H287" s="1769"/>
      <c r="I287" s="1762">
        <f t="shared" si="77"/>
        <v>1</v>
      </c>
      <c r="J287" s="1769"/>
      <c r="K287" s="1762">
        <f t="shared" si="78"/>
        <v>1</v>
      </c>
      <c r="L287" s="1769"/>
      <c r="M287" s="1762">
        <f t="shared" si="79"/>
        <v>1</v>
      </c>
      <c r="N287" s="1769"/>
      <c r="O287" s="1762">
        <f t="shared" si="80"/>
        <v>1</v>
      </c>
      <c r="P287" s="1769"/>
      <c r="Q287" s="1762">
        <f t="shared" si="81"/>
        <v>1</v>
      </c>
      <c r="R287" s="1833">
        <f ca="1" t="shared" si="86"/>
        <v>0</v>
      </c>
      <c r="S287" s="1716">
        <f ca="1" t="shared" si="87"/>
        <v>0</v>
      </c>
      <c r="T287" s="1768">
        <f ca="1" t="shared" si="88"/>
        <v>0</v>
      </c>
      <c r="U287" s="1838">
        <f t="shared" si="82"/>
        <v>0</v>
      </c>
      <c r="V287" s="1838">
        <f t="shared" si="83"/>
        <v>0</v>
      </c>
      <c r="W287" s="1840"/>
      <c r="X287" s="1838">
        <f t="shared" si="84"/>
        <v>0</v>
      </c>
      <c r="Y287" s="1838">
        <f t="shared" si="85"/>
        <v>0</v>
      </c>
      <c r="Z287" s="1840"/>
    </row>
    <row r="288" spans="1:26">
      <c r="A288" s="1770"/>
      <c r="B288" s="1771"/>
      <c r="C288" s="1762">
        <f t="shared" si="74"/>
        <v>1</v>
      </c>
      <c r="D288" s="1769"/>
      <c r="E288" s="1762">
        <f t="shared" si="75"/>
        <v>1</v>
      </c>
      <c r="F288" s="1769"/>
      <c r="G288" s="1762">
        <f t="shared" si="76"/>
        <v>1</v>
      </c>
      <c r="H288" s="1769"/>
      <c r="I288" s="1762">
        <f t="shared" si="77"/>
        <v>1</v>
      </c>
      <c r="J288" s="1769"/>
      <c r="K288" s="1762">
        <f t="shared" si="78"/>
        <v>1</v>
      </c>
      <c r="L288" s="1769"/>
      <c r="M288" s="1762">
        <f t="shared" si="79"/>
        <v>1</v>
      </c>
      <c r="N288" s="1769"/>
      <c r="O288" s="1762">
        <f t="shared" si="80"/>
        <v>1</v>
      </c>
      <c r="P288" s="1769"/>
      <c r="Q288" s="1762">
        <f t="shared" si="81"/>
        <v>1</v>
      </c>
      <c r="R288" s="1833">
        <f ca="1" t="shared" si="86"/>
        <v>0</v>
      </c>
      <c r="S288" s="1716">
        <f ca="1" t="shared" si="87"/>
        <v>0</v>
      </c>
      <c r="T288" s="1768">
        <f ca="1" t="shared" si="88"/>
        <v>0</v>
      </c>
      <c r="U288" s="1838">
        <f t="shared" si="82"/>
        <v>0</v>
      </c>
      <c r="V288" s="1838">
        <f t="shared" si="83"/>
        <v>0</v>
      </c>
      <c r="W288" s="1840"/>
      <c r="X288" s="1838">
        <f t="shared" si="84"/>
        <v>0</v>
      </c>
      <c r="Y288" s="1838">
        <f t="shared" si="85"/>
        <v>0</v>
      </c>
      <c r="Z288" s="1840"/>
    </row>
    <row r="289" spans="1:26">
      <c r="A289" s="1770"/>
      <c r="B289" s="1771"/>
      <c r="C289" s="1762">
        <f t="shared" si="74"/>
        <v>1</v>
      </c>
      <c r="D289" s="1769"/>
      <c r="E289" s="1762">
        <f t="shared" si="75"/>
        <v>1</v>
      </c>
      <c r="F289" s="1769"/>
      <c r="G289" s="1762">
        <f t="shared" si="76"/>
        <v>1</v>
      </c>
      <c r="H289" s="1769"/>
      <c r="I289" s="1762">
        <f t="shared" si="77"/>
        <v>1</v>
      </c>
      <c r="J289" s="1769"/>
      <c r="K289" s="1762">
        <f t="shared" si="78"/>
        <v>1</v>
      </c>
      <c r="L289" s="1769"/>
      <c r="M289" s="1762">
        <f t="shared" si="79"/>
        <v>1</v>
      </c>
      <c r="N289" s="1769"/>
      <c r="O289" s="1762">
        <f t="shared" si="80"/>
        <v>1</v>
      </c>
      <c r="P289" s="1769"/>
      <c r="Q289" s="1762">
        <f t="shared" si="81"/>
        <v>1</v>
      </c>
      <c r="R289" s="1833">
        <f ca="1" t="shared" si="86"/>
        <v>0</v>
      </c>
      <c r="S289" s="1716">
        <f ca="1" t="shared" si="87"/>
        <v>0</v>
      </c>
      <c r="T289" s="1768">
        <f ca="1" t="shared" si="88"/>
        <v>0</v>
      </c>
      <c r="U289" s="1838">
        <f t="shared" si="82"/>
        <v>0</v>
      </c>
      <c r="V289" s="1838">
        <f t="shared" si="83"/>
        <v>0</v>
      </c>
      <c r="W289" s="1840"/>
      <c r="X289" s="1838">
        <f t="shared" si="84"/>
        <v>0</v>
      </c>
      <c r="Y289" s="1838">
        <f t="shared" si="85"/>
        <v>0</v>
      </c>
      <c r="Z289" s="1840"/>
    </row>
    <row r="290" spans="1:26">
      <c r="A290" s="1770"/>
      <c r="B290" s="1771"/>
      <c r="C290" s="1762">
        <f t="shared" si="74"/>
        <v>1</v>
      </c>
      <c r="D290" s="1769"/>
      <c r="E290" s="1762">
        <f t="shared" si="75"/>
        <v>1</v>
      </c>
      <c r="F290" s="1769"/>
      <c r="G290" s="1762">
        <f t="shared" si="76"/>
        <v>1</v>
      </c>
      <c r="H290" s="1769"/>
      <c r="I290" s="1762">
        <f t="shared" si="77"/>
        <v>1</v>
      </c>
      <c r="J290" s="1769"/>
      <c r="K290" s="1762">
        <f t="shared" si="78"/>
        <v>1</v>
      </c>
      <c r="L290" s="1769"/>
      <c r="M290" s="1762">
        <f t="shared" si="79"/>
        <v>1</v>
      </c>
      <c r="N290" s="1769"/>
      <c r="O290" s="1762">
        <f t="shared" si="80"/>
        <v>1</v>
      </c>
      <c r="P290" s="1769"/>
      <c r="Q290" s="1762">
        <f t="shared" si="81"/>
        <v>1</v>
      </c>
      <c r="R290" s="1833">
        <f ca="1" t="shared" si="86"/>
        <v>0</v>
      </c>
      <c r="S290" s="1716">
        <f ca="1" t="shared" si="87"/>
        <v>0</v>
      </c>
      <c r="T290" s="1768">
        <f ca="1" t="shared" si="88"/>
        <v>0</v>
      </c>
      <c r="U290" s="1838">
        <f t="shared" si="82"/>
        <v>0</v>
      </c>
      <c r="V290" s="1838">
        <f t="shared" si="83"/>
        <v>0</v>
      </c>
      <c r="W290" s="1840"/>
      <c r="X290" s="1838">
        <f t="shared" si="84"/>
        <v>0</v>
      </c>
      <c r="Y290" s="1838">
        <f t="shared" si="85"/>
        <v>0</v>
      </c>
      <c r="Z290" s="1840"/>
    </row>
    <row r="291" spans="1:26">
      <c r="A291" s="1770"/>
      <c r="B291" s="1771"/>
      <c r="C291" s="1762">
        <f t="shared" si="74"/>
        <v>1</v>
      </c>
      <c r="D291" s="1769"/>
      <c r="E291" s="1762">
        <f t="shared" si="75"/>
        <v>1</v>
      </c>
      <c r="F291" s="1769"/>
      <c r="G291" s="1762">
        <f t="shared" si="76"/>
        <v>1</v>
      </c>
      <c r="H291" s="1769"/>
      <c r="I291" s="1762">
        <f t="shared" si="77"/>
        <v>1</v>
      </c>
      <c r="J291" s="1769"/>
      <c r="K291" s="1762">
        <f t="shared" si="78"/>
        <v>1</v>
      </c>
      <c r="L291" s="1769"/>
      <c r="M291" s="1762">
        <f t="shared" si="79"/>
        <v>1</v>
      </c>
      <c r="N291" s="1769"/>
      <c r="O291" s="1762">
        <f t="shared" si="80"/>
        <v>1</v>
      </c>
      <c r="P291" s="1769"/>
      <c r="Q291" s="1762">
        <f t="shared" si="81"/>
        <v>1</v>
      </c>
      <c r="R291" s="1833">
        <f ca="1" t="shared" si="86"/>
        <v>0</v>
      </c>
      <c r="S291" s="1716">
        <f ca="1" t="shared" si="87"/>
        <v>0</v>
      </c>
      <c r="T291" s="1768">
        <f ca="1" t="shared" si="88"/>
        <v>0</v>
      </c>
      <c r="U291" s="1838">
        <f t="shared" si="82"/>
        <v>0</v>
      </c>
      <c r="V291" s="1838">
        <f t="shared" si="83"/>
        <v>0</v>
      </c>
      <c r="W291" s="1840"/>
      <c r="X291" s="1838">
        <f t="shared" si="84"/>
        <v>0</v>
      </c>
      <c r="Y291" s="1838">
        <f t="shared" si="85"/>
        <v>0</v>
      </c>
      <c r="Z291" s="1840"/>
    </row>
    <row r="292" spans="1:26">
      <c r="A292" s="1770"/>
      <c r="B292" s="1771"/>
      <c r="C292" s="1762">
        <f t="shared" si="74"/>
        <v>1</v>
      </c>
      <c r="D292" s="1769"/>
      <c r="E292" s="1762">
        <f t="shared" si="75"/>
        <v>1</v>
      </c>
      <c r="F292" s="1769"/>
      <c r="G292" s="1762">
        <f t="shared" si="76"/>
        <v>1</v>
      </c>
      <c r="H292" s="1769"/>
      <c r="I292" s="1762">
        <f t="shared" si="77"/>
        <v>1</v>
      </c>
      <c r="J292" s="1769"/>
      <c r="K292" s="1762">
        <f t="shared" si="78"/>
        <v>1</v>
      </c>
      <c r="L292" s="1769"/>
      <c r="M292" s="1762">
        <f t="shared" si="79"/>
        <v>1</v>
      </c>
      <c r="N292" s="1769"/>
      <c r="O292" s="1762">
        <f t="shared" si="80"/>
        <v>1</v>
      </c>
      <c r="P292" s="1769"/>
      <c r="Q292" s="1762">
        <f t="shared" si="81"/>
        <v>1</v>
      </c>
      <c r="R292" s="1833">
        <f ca="1" t="shared" si="86"/>
        <v>0</v>
      </c>
      <c r="S292" s="1716">
        <f ca="1" t="shared" si="87"/>
        <v>0</v>
      </c>
      <c r="T292" s="1768">
        <f ca="1" t="shared" si="88"/>
        <v>0</v>
      </c>
      <c r="U292" s="1838">
        <f t="shared" si="82"/>
        <v>0</v>
      </c>
      <c r="V292" s="1838">
        <f t="shared" si="83"/>
        <v>0</v>
      </c>
      <c r="W292" s="1840"/>
      <c r="X292" s="1838">
        <f t="shared" si="84"/>
        <v>0</v>
      </c>
      <c r="Y292" s="1838">
        <f t="shared" si="85"/>
        <v>0</v>
      </c>
      <c r="Z292" s="1840"/>
    </row>
    <row r="293" spans="1:26">
      <c r="A293" s="1770"/>
      <c r="B293" s="1771"/>
      <c r="C293" s="1762">
        <f t="shared" si="74"/>
        <v>1</v>
      </c>
      <c r="D293" s="1769"/>
      <c r="E293" s="1762">
        <f t="shared" si="75"/>
        <v>1</v>
      </c>
      <c r="F293" s="1769"/>
      <c r="G293" s="1762">
        <f t="shared" si="76"/>
        <v>1</v>
      </c>
      <c r="H293" s="1769"/>
      <c r="I293" s="1762">
        <f t="shared" si="77"/>
        <v>1</v>
      </c>
      <c r="J293" s="1769"/>
      <c r="K293" s="1762">
        <f t="shared" si="78"/>
        <v>1</v>
      </c>
      <c r="L293" s="1769"/>
      <c r="M293" s="1762">
        <f t="shared" si="79"/>
        <v>1</v>
      </c>
      <c r="N293" s="1769"/>
      <c r="O293" s="1762">
        <f t="shared" si="80"/>
        <v>1</v>
      </c>
      <c r="P293" s="1769"/>
      <c r="Q293" s="1762">
        <f t="shared" si="81"/>
        <v>1</v>
      </c>
      <c r="R293" s="1833">
        <f ca="1" t="shared" si="86"/>
        <v>0</v>
      </c>
      <c r="S293" s="1716">
        <f ca="1" t="shared" si="87"/>
        <v>0</v>
      </c>
      <c r="T293" s="1768">
        <f ca="1" t="shared" si="88"/>
        <v>0</v>
      </c>
      <c r="U293" s="1838">
        <f t="shared" si="82"/>
        <v>0</v>
      </c>
      <c r="V293" s="1838">
        <f t="shared" si="83"/>
        <v>0</v>
      </c>
      <c r="W293" s="1840"/>
      <c r="X293" s="1838">
        <f t="shared" si="84"/>
        <v>0</v>
      </c>
      <c r="Y293" s="1838">
        <f t="shared" si="85"/>
        <v>0</v>
      </c>
      <c r="Z293" s="1840"/>
    </row>
    <row r="294" spans="1:26">
      <c r="A294" s="1770"/>
      <c r="B294" s="1771"/>
      <c r="C294" s="1762">
        <f t="shared" si="74"/>
        <v>1</v>
      </c>
      <c r="D294" s="1769"/>
      <c r="E294" s="1762">
        <f t="shared" si="75"/>
        <v>1</v>
      </c>
      <c r="F294" s="1769"/>
      <c r="G294" s="1762">
        <f t="shared" si="76"/>
        <v>1</v>
      </c>
      <c r="H294" s="1769"/>
      <c r="I294" s="1762">
        <f t="shared" si="77"/>
        <v>1</v>
      </c>
      <c r="J294" s="1769"/>
      <c r="K294" s="1762">
        <f t="shared" si="78"/>
        <v>1</v>
      </c>
      <c r="L294" s="1769"/>
      <c r="M294" s="1762">
        <f t="shared" si="79"/>
        <v>1</v>
      </c>
      <c r="N294" s="1769"/>
      <c r="O294" s="1762">
        <f t="shared" si="80"/>
        <v>1</v>
      </c>
      <c r="P294" s="1769"/>
      <c r="Q294" s="1762">
        <f t="shared" si="81"/>
        <v>1</v>
      </c>
      <c r="R294" s="1833">
        <f ca="1" t="shared" si="86"/>
        <v>0</v>
      </c>
      <c r="S294" s="1716">
        <f ca="1" t="shared" si="87"/>
        <v>0</v>
      </c>
      <c r="T294" s="1768">
        <f ca="1" t="shared" si="88"/>
        <v>0</v>
      </c>
      <c r="U294" s="1838">
        <f t="shared" si="82"/>
        <v>0</v>
      </c>
      <c r="V294" s="1838">
        <f t="shared" si="83"/>
        <v>0</v>
      </c>
      <c r="W294" s="1840"/>
      <c r="X294" s="1838">
        <f t="shared" si="84"/>
        <v>0</v>
      </c>
      <c r="Y294" s="1838">
        <f t="shared" si="85"/>
        <v>0</v>
      </c>
      <c r="Z294" s="1840"/>
    </row>
    <row r="295" spans="1:26">
      <c r="A295" s="1770"/>
      <c r="B295" s="1771"/>
      <c r="C295" s="1762">
        <f t="shared" si="74"/>
        <v>1</v>
      </c>
      <c r="D295" s="1769"/>
      <c r="E295" s="1762">
        <f t="shared" si="75"/>
        <v>1</v>
      </c>
      <c r="F295" s="1769"/>
      <c r="G295" s="1762">
        <f t="shared" si="76"/>
        <v>1</v>
      </c>
      <c r="H295" s="1769"/>
      <c r="I295" s="1762">
        <f t="shared" si="77"/>
        <v>1</v>
      </c>
      <c r="J295" s="1769"/>
      <c r="K295" s="1762">
        <f t="shared" si="78"/>
        <v>1</v>
      </c>
      <c r="L295" s="1769"/>
      <c r="M295" s="1762">
        <f t="shared" si="79"/>
        <v>1</v>
      </c>
      <c r="N295" s="1769"/>
      <c r="O295" s="1762">
        <f t="shared" si="80"/>
        <v>1</v>
      </c>
      <c r="P295" s="1769"/>
      <c r="Q295" s="1762">
        <f t="shared" si="81"/>
        <v>1</v>
      </c>
      <c r="R295" s="1833">
        <f ca="1" t="shared" si="86"/>
        <v>0</v>
      </c>
      <c r="S295" s="1716">
        <f ca="1" t="shared" si="87"/>
        <v>0</v>
      </c>
      <c r="T295" s="1768">
        <f ca="1" t="shared" si="88"/>
        <v>0</v>
      </c>
      <c r="U295" s="1838">
        <f t="shared" si="82"/>
        <v>0</v>
      </c>
      <c r="V295" s="1838">
        <f t="shared" si="83"/>
        <v>0</v>
      </c>
      <c r="W295" s="1840"/>
      <c r="X295" s="1838">
        <f t="shared" si="84"/>
        <v>0</v>
      </c>
      <c r="Y295" s="1838">
        <f t="shared" si="85"/>
        <v>0</v>
      </c>
      <c r="Z295" s="1840"/>
    </row>
    <row r="296" spans="1:26">
      <c r="A296" s="1770"/>
      <c r="B296" s="1771"/>
      <c r="C296" s="1762">
        <f t="shared" si="74"/>
        <v>1</v>
      </c>
      <c r="D296" s="1769"/>
      <c r="E296" s="1762">
        <f t="shared" si="75"/>
        <v>1</v>
      </c>
      <c r="F296" s="1769"/>
      <c r="G296" s="1762">
        <f t="shared" si="76"/>
        <v>1</v>
      </c>
      <c r="H296" s="1769"/>
      <c r="I296" s="1762">
        <f t="shared" si="77"/>
        <v>1</v>
      </c>
      <c r="J296" s="1769"/>
      <c r="K296" s="1762">
        <f t="shared" si="78"/>
        <v>1</v>
      </c>
      <c r="L296" s="1769"/>
      <c r="M296" s="1762">
        <f t="shared" si="79"/>
        <v>1</v>
      </c>
      <c r="N296" s="1769"/>
      <c r="O296" s="1762">
        <f t="shared" si="80"/>
        <v>1</v>
      </c>
      <c r="P296" s="1769"/>
      <c r="Q296" s="1762">
        <f t="shared" si="81"/>
        <v>1</v>
      </c>
      <c r="R296" s="1833">
        <f ca="1" t="shared" si="86"/>
        <v>0</v>
      </c>
      <c r="S296" s="1716">
        <f ca="1" t="shared" si="87"/>
        <v>0</v>
      </c>
      <c r="T296" s="1768">
        <f ca="1" t="shared" si="88"/>
        <v>0</v>
      </c>
      <c r="U296" s="1838">
        <f t="shared" si="82"/>
        <v>0</v>
      </c>
      <c r="V296" s="1838">
        <f t="shared" si="83"/>
        <v>0</v>
      </c>
      <c r="W296" s="1840"/>
      <c r="X296" s="1838">
        <f t="shared" si="84"/>
        <v>0</v>
      </c>
      <c r="Y296" s="1838">
        <f t="shared" si="85"/>
        <v>0</v>
      </c>
      <c r="Z296" s="1840"/>
    </row>
    <row r="297" spans="1:26">
      <c r="A297" s="1770"/>
      <c r="B297" s="1771"/>
      <c r="C297" s="1762">
        <f t="shared" si="74"/>
        <v>1</v>
      </c>
      <c r="D297" s="1769"/>
      <c r="E297" s="1762">
        <f t="shared" si="75"/>
        <v>1</v>
      </c>
      <c r="F297" s="1769"/>
      <c r="G297" s="1762">
        <f t="shared" si="76"/>
        <v>1</v>
      </c>
      <c r="H297" s="1769"/>
      <c r="I297" s="1762">
        <f t="shared" si="77"/>
        <v>1</v>
      </c>
      <c r="J297" s="1769"/>
      <c r="K297" s="1762">
        <f t="shared" si="78"/>
        <v>1</v>
      </c>
      <c r="L297" s="1769"/>
      <c r="M297" s="1762">
        <f t="shared" si="79"/>
        <v>1</v>
      </c>
      <c r="N297" s="1769"/>
      <c r="O297" s="1762">
        <f t="shared" si="80"/>
        <v>1</v>
      </c>
      <c r="P297" s="1769"/>
      <c r="Q297" s="1762">
        <f t="shared" si="81"/>
        <v>1</v>
      </c>
      <c r="R297" s="1833">
        <f ca="1" t="shared" si="86"/>
        <v>0</v>
      </c>
      <c r="S297" s="1716">
        <f ca="1" t="shared" si="87"/>
        <v>0</v>
      </c>
      <c r="T297" s="1768">
        <f ca="1" t="shared" si="88"/>
        <v>0</v>
      </c>
      <c r="U297" s="1838">
        <f t="shared" si="82"/>
        <v>0</v>
      </c>
      <c r="V297" s="1838">
        <f t="shared" si="83"/>
        <v>0</v>
      </c>
      <c r="W297" s="1840"/>
      <c r="X297" s="1838">
        <f t="shared" si="84"/>
        <v>0</v>
      </c>
      <c r="Y297" s="1838">
        <f t="shared" si="85"/>
        <v>0</v>
      </c>
      <c r="Z297" s="1840"/>
    </row>
    <row r="298" spans="1:26">
      <c r="A298" s="1770"/>
      <c r="B298" s="1771"/>
      <c r="C298" s="1762">
        <f t="shared" si="74"/>
        <v>1</v>
      </c>
      <c r="D298" s="1769"/>
      <c r="E298" s="1762">
        <f t="shared" si="75"/>
        <v>1</v>
      </c>
      <c r="F298" s="1769"/>
      <c r="G298" s="1762">
        <f t="shared" si="76"/>
        <v>1</v>
      </c>
      <c r="H298" s="1769"/>
      <c r="I298" s="1762">
        <f t="shared" si="77"/>
        <v>1</v>
      </c>
      <c r="J298" s="1769"/>
      <c r="K298" s="1762">
        <f t="shared" si="78"/>
        <v>1</v>
      </c>
      <c r="L298" s="1769"/>
      <c r="M298" s="1762">
        <f t="shared" si="79"/>
        <v>1</v>
      </c>
      <c r="N298" s="1769"/>
      <c r="O298" s="1762">
        <f t="shared" si="80"/>
        <v>1</v>
      </c>
      <c r="P298" s="1769"/>
      <c r="Q298" s="1762">
        <f t="shared" si="81"/>
        <v>1</v>
      </c>
      <c r="R298" s="1833">
        <f ca="1" t="shared" si="86"/>
        <v>0</v>
      </c>
      <c r="S298" s="1716">
        <f ca="1" t="shared" si="87"/>
        <v>0</v>
      </c>
      <c r="T298" s="1768">
        <f ca="1" t="shared" si="88"/>
        <v>0</v>
      </c>
      <c r="U298" s="1838">
        <f t="shared" si="82"/>
        <v>0</v>
      </c>
      <c r="V298" s="1838">
        <f t="shared" si="83"/>
        <v>0</v>
      </c>
      <c r="W298" s="1840"/>
      <c r="X298" s="1838">
        <f t="shared" si="84"/>
        <v>0</v>
      </c>
      <c r="Y298" s="1838">
        <f t="shared" si="85"/>
        <v>0</v>
      </c>
      <c r="Z298" s="1840"/>
    </row>
    <row r="299" spans="1:26">
      <c r="A299" s="1770"/>
      <c r="B299" s="1771"/>
      <c r="C299" s="1762">
        <f t="shared" si="74"/>
        <v>1</v>
      </c>
      <c r="D299" s="1769"/>
      <c r="E299" s="1762">
        <f t="shared" si="75"/>
        <v>1</v>
      </c>
      <c r="F299" s="1769"/>
      <c r="G299" s="1762">
        <f t="shared" si="76"/>
        <v>1</v>
      </c>
      <c r="H299" s="1769"/>
      <c r="I299" s="1762">
        <f t="shared" si="77"/>
        <v>1</v>
      </c>
      <c r="J299" s="1769"/>
      <c r="K299" s="1762">
        <f t="shared" si="78"/>
        <v>1</v>
      </c>
      <c r="L299" s="1769"/>
      <c r="M299" s="1762">
        <f t="shared" si="79"/>
        <v>1</v>
      </c>
      <c r="N299" s="1769"/>
      <c r="O299" s="1762">
        <f t="shared" si="80"/>
        <v>1</v>
      </c>
      <c r="P299" s="1769"/>
      <c r="Q299" s="1762">
        <f t="shared" si="81"/>
        <v>1</v>
      </c>
      <c r="R299" s="1833">
        <f ca="1" t="shared" si="86"/>
        <v>0</v>
      </c>
      <c r="S299" s="1716">
        <f ca="1" t="shared" si="87"/>
        <v>0</v>
      </c>
      <c r="T299" s="1768">
        <f ca="1" t="shared" si="88"/>
        <v>0</v>
      </c>
      <c r="U299" s="1838">
        <f t="shared" si="82"/>
        <v>0</v>
      </c>
      <c r="V299" s="1838">
        <f t="shared" si="83"/>
        <v>0</v>
      </c>
      <c r="W299" s="1840"/>
      <c r="X299" s="1838">
        <f t="shared" si="84"/>
        <v>0</v>
      </c>
      <c r="Y299" s="1838">
        <f t="shared" si="85"/>
        <v>0</v>
      </c>
      <c r="Z299" s="1840"/>
    </row>
    <row r="300" spans="1:26">
      <c r="A300" s="1770"/>
      <c r="B300" s="1771"/>
      <c r="C300" s="1762">
        <f t="shared" si="74"/>
        <v>1</v>
      </c>
      <c r="D300" s="1769"/>
      <c r="E300" s="1762">
        <f t="shared" si="75"/>
        <v>1</v>
      </c>
      <c r="F300" s="1769"/>
      <c r="G300" s="1762">
        <f t="shared" si="76"/>
        <v>1</v>
      </c>
      <c r="H300" s="1769"/>
      <c r="I300" s="1762">
        <f t="shared" si="77"/>
        <v>1</v>
      </c>
      <c r="J300" s="1769"/>
      <c r="K300" s="1762">
        <f t="shared" si="78"/>
        <v>1</v>
      </c>
      <c r="L300" s="1769"/>
      <c r="M300" s="1762">
        <f t="shared" si="79"/>
        <v>1</v>
      </c>
      <c r="N300" s="1769"/>
      <c r="O300" s="1762">
        <f t="shared" si="80"/>
        <v>1</v>
      </c>
      <c r="P300" s="1769"/>
      <c r="Q300" s="1762">
        <f t="shared" si="81"/>
        <v>1</v>
      </c>
      <c r="R300" s="1833">
        <f ca="1" t="shared" si="86"/>
        <v>0</v>
      </c>
      <c r="S300" s="1716">
        <f ca="1" t="shared" si="87"/>
        <v>0</v>
      </c>
      <c r="T300" s="1768">
        <f ca="1" t="shared" si="88"/>
        <v>0</v>
      </c>
      <c r="U300" s="1838">
        <f t="shared" si="82"/>
        <v>0</v>
      </c>
      <c r="V300" s="1838">
        <f t="shared" si="83"/>
        <v>0</v>
      </c>
      <c r="W300" s="1840"/>
      <c r="X300" s="1838">
        <f t="shared" si="84"/>
        <v>0</v>
      </c>
      <c r="Y300" s="1838">
        <f t="shared" si="85"/>
        <v>0</v>
      </c>
      <c r="Z300" s="1840"/>
    </row>
    <row r="301" spans="1:26">
      <c r="A301" s="1770"/>
      <c r="B301" s="1771"/>
      <c r="C301" s="1762">
        <f t="shared" si="74"/>
        <v>1</v>
      </c>
      <c r="D301" s="1769"/>
      <c r="E301" s="1762">
        <f t="shared" si="75"/>
        <v>1</v>
      </c>
      <c r="F301" s="1769"/>
      <c r="G301" s="1762">
        <f t="shared" si="76"/>
        <v>1</v>
      </c>
      <c r="H301" s="1769"/>
      <c r="I301" s="1762">
        <f t="shared" si="77"/>
        <v>1</v>
      </c>
      <c r="J301" s="1769"/>
      <c r="K301" s="1762">
        <f t="shared" si="78"/>
        <v>1</v>
      </c>
      <c r="L301" s="1769"/>
      <c r="M301" s="1762">
        <f t="shared" si="79"/>
        <v>1</v>
      </c>
      <c r="N301" s="1769"/>
      <c r="O301" s="1762">
        <f t="shared" si="80"/>
        <v>1</v>
      </c>
      <c r="P301" s="1769"/>
      <c r="Q301" s="1762">
        <f t="shared" si="81"/>
        <v>1</v>
      </c>
      <c r="R301" s="1833">
        <f ca="1" t="shared" si="86"/>
        <v>0</v>
      </c>
      <c r="S301" s="1716">
        <f ca="1" t="shared" si="87"/>
        <v>0</v>
      </c>
      <c r="T301" s="1768">
        <f ca="1" t="shared" si="88"/>
        <v>0</v>
      </c>
      <c r="U301" s="1838">
        <f t="shared" si="82"/>
        <v>0</v>
      </c>
      <c r="V301" s="1838">
        <f t="shared" si="83"/>
        <v>0</v>
      </c>
      <c r="W301" s="1840"/>
      <c r="X301" s="1838">
        <f t="shared" si="84"/>
        <v>0</v>
      </c>
      <c r="Y301" s="1838">
        <f t="shared" si="85"/>
        <v>0</v>
      </c>
      <c r="Z301" s="1840"/>
    </row>
    <row r="302" spans="1:26">
      <c r="A302" s="1770"/>
      <c r="B302" s="1771"/>
      <c r="C302" s="1762">
        <f t="shared" si="74"/>
        <v>1</v>
      </c>
      <c r="D302" s="1769"/>
      <c r="E302" s="1762">
        <f t="shared" si="75"/>
        <v>1</v>
      </c>
      <c r="F302" s="1769"/>
      <c r="G302" s="1762">
        <f t="shared" si="76"/>
        <v>1</v>
      </c>
      <c r="H302" s="1769"/>
      <c r="I302" s="1762">
        <f t="shared" si="77"/>
        <v>1</v>
      </c>
      <c r="J302" s="1769"/>
      <c r="K302" s="1762">
        <f t="shared" si="78"/>
        <v>1</v>
      </c>
      <c r="L302" s="1769"/>
      <c r="M302" s="1762">
        <f t="shared" si="79"/>
        <v>1</v>
      </c>
      <c r="N302" s="1769"/>
      <c r="O302" s="1762">
        <f t="shared" si="80"/>
        <v>1</v>
      </c>
      <c r="P302" s="1769"/>
      <c r="Q302" s="1762">
        <f t="shared" si="81"/>
        <v>1</v>
      </c>
      <c r="R302" s="1833">
        <f ca="1" t="shared" si="86"/>
        <v>0</v>
      </c>
      <c r="S302" s="1716">
        <f ca="1" t="shared" si="87"/>
        <v>0</v>
      </c>
      <c r="T302" s="1768">
        <f ca="1" t="shared" si="88"/>
        <v>0</v>
      </c>
      <c r="U302" s="1838">
        <f t="shared" si="82"/>
        <v>0</v>
      </c>
      <c r="V302" s="1838">
        <f t="shared" si="83"/>
        <v>0</v>
      </c>
      <c r="W302" s="1840"/>
      <c r="X302" s="1838">
        <f t="shared" si="84"/>
        <v>0</v>
      </c>
      <c r="Y302" s="1838">
        <f t="shared" si="85"/>
        <v>0</v>
      </c>
      <c r="Z302" s="1840"/>
    </row>
    <row r="303" spans="1:26">
      <c r="A303" s="1770"/>
      <c r="B303" s="1771"/>
      <c r="C303" s="1762">
        <f t="shared" si="74"/>
        <v>1</v>
      </c>
      <c r="D303" s="1769"/>
      <c r="E303" s="1762">
        <f t="shared" si="75"/>
        <v>1</v>
      </c>
      <c r="F303" s="1769"/>
      <c r="G303" s="1762">
        <f t="shared" si="76"/>
        <v>1</v>
      </c>
      <c r="H303" s="1769"/>
      <c r="I303" s="1762">
        <f t="shared" si="77"/>
        <v>1</v>
      </c>
      <c r="J303" s="1769"/>
      <c r="K303" s="1762">
        <f t="shared" si="78"/>
        <v>1</v>
      </c>
      <c r="L303" s="1769"/>
      <c r="M303" s="1762">
        <f t="shared" si="79"/>
        <v>1</v>
      </c>
      <c r="N303" s="1769"/>
      <c r="O303" s="1762">
        <f t="shared" si="80"/>
        <v>1</v>
      </c>
      <c r="P303" s="1769"/>
      <c r="Q303" s="1762">
        <f t="shared" si="81"/>
        <v>1</v>
      </c>
      <c r="R303" s="1833">
        <f ca="1" t="shared" si="86"/>
        <v>0</v>
      </c>
      <c r="S303" s="1716">
        <f ca="1" t="shared" si="87"/>
        <v>0</v>
      </c>
      <c r="T303" s="1768">
        <f ca="1" t="shared" si="88"/>
        <v>0</v>
      </c>
      <c r="U303" s="1838">
        <f t="shared" si="82"/>
        <v>0</v>
      </c>
      <c r="V303" s="1838">
        <f t="shared" si="83"/>
        <v>0</v>
      </c>
      <c r="W303" s="1840"/>
      <c r="X303" s="1838">
        <f t="shared" si="84"/>
        <v>0</v>
      </c>
      <c r="Y303" s="1838">
        <f t="shared" si="85"/>
        <v>0</v>
      </c>
      <c r="Z303" s="1840"/>
    </row>
    <row r="304" spans="1:26">
      <c r="A304" s="1770"/>
      <c r="B304" s="1771"/>
      <c r="C304" s="1762">
        <f t="shared" si="74"/>
        <v>1</v>
      </c>
      <c r="D304" s="1769"/>
      <c r="E304" s="1762">
        <f t="shared" si="75"/>
        <v>1</v>
      </c>
      <c r="F304" s="1769"/>
      <c r="G304" s="1762">
        <f t="shared" si="76"/>
        <v>1</v>
      </c>
      <c r="H304" s="1769"/>
      <c r="I304" s="1762">
        <f t="shared" si="77"/>
        <v>1</v>
      </c>
      <c r="J304" s="1769"/>
      <c r="K304" s="1762">
        <f t="shared" si="78"/>
        <v>1</v>
      </c>
      <c r="L304" s="1769"/>
      <c r="M304" s="1762">
        <f t="shared" si="79"/>
        <v>1</v>
      </c>
      <c r="N304" s="1769"/>
      <c r="O304" s="1762">
        <f t="shared" si="80"/>
        <v>1</v>
      </c>
      <c r="P304" s="1769"/>
      <c r="Q304" s="1762">
        <f t="shared" si="81"/>
        <v>1</v>
      </c>
      <c r="R304" s="1833">
        <f ca="1" t="shared" si="86"/>
        <v>0</v>
      </c>
      <c r="S304" s="1716">
        <f ca="1" t="shared" si="87"/>
        <v>0</v>
      </c>
      <c r="T304" s="1768">
        <f ca="1" t="shared" si="88"/>
        <v>0</v>
      </c>
      <c r="U304" s="1838">
        <f t="shared" si="82"/>
        <v>0</v>
      </c>
      <c r="V304" s="1838">
        <f t="shared" si="83"/>
        <v>0</v>
      </c>
      <c r="W304" s="1840"/>
      <c r="X304" s="1838">
        <f t="shared" si="84"/>
        <v>0</v>
      </c>
      <c r="Y304" s="1838">
        <f t="shared" si="85"/>
        <v>0</v>
      </c>
      <c r="Z304" s="1840"/>
    </row>
    <row r="305" spans="1:26">
      <c r="A305" s="1770"/>
      <c r="B305" s="1771"/>
      <c r="C305" s="1762">
        <f t="shared" si="74"/>
        <v>1</v>
      </c>
      <c r="D305" s="1769"/>
      <c r="E305" s="1762">
        <f t="shared" si="75"/>
        <v>1</v>
      </c>
      <c r="F305" s="1769"/>
      <c r="G305" s="1762">
        <f t="shared" si="76"/>
        <v>1</v>
      </c>
      <c r="H305" s="1769"/>
      <c r="I305" s="1762">
        <f t="shared" si="77"/>
        <v>1</v>
      </c>
      <c r="J305" s="1769"/>
      <c r="K305" s="1762">
        <f t="shared" si="78"/>
        <v>1</v>
      </c>
      <c r="L305" s="1769"/>
      <c r="M305" s="1762">
        <f t="shared" si="79"/>
        <v>1</v>
      </c>
      <c r="N305" s="1769"/>
      <c r="O305" s="1762">
        <f t="shared" si="80"/>
        <v>1</v>
      </c>
      <c r="P305" s="1769"/>
      <c r="Q305" s="1762">
        <f t="shared" si="81"/>
        <v>1</v>
      </c>
      <c r="R305" s="1833">
        <f ca="1" t="shared" si="86"/>
        <v>0</v>
      </c>
      <c r="S305" s="1716">
        <f ca="1" t="shared" si="87"/>
        <v>0</v>
      </c>
      <c r="T305" s="1768">
        <f ca="1" t="shared" si="88"/>
        <v>0</v>
      </c>
      <c r="U305" s="1838">
        <f t="shared" si="82"/>
        <v>0</v>
      </c>
      <c r="V305" s="1838">
        <f t="shared" si="83"/>
        <v>0</v>
      </c>
      <c r="W305" s="1840"/>
      <c r="X305" s="1838">
        <f t="shared" si="84"/>
        <v>0</v>
      </c>
      <c r="Y305" s="1838">
        <f t="shared" si="85"/>
        <v>0</v>
      </c>
      <c r="Z305" s="1840"/>
    </row>
    <row r="306" spans="1:26">
      <c r="A306" s="1770"/>
      <c r="B306" s="1771"/>
      <c r="C306" s="1762">
        <f t="shared" si="74"/>
        <v>1</v>
      </c>
      <c r="D306" s="1769"/>
      <c r="E306" s="1762">
        <f t="shared" si="75"/>
        <v>1</v>
      </c>
      <c r="F306" s="1769"/>
      <c r="G306" s="1762">
        <f t="shared" si="76"/>
        <v>1</v>
      </c>
      <c r="H306" s="1769"/>
      <c r="I306" s="1762">
        <f t="shared" si="77"/>
        <v>1</v>
      </c>
      <c r="J306" s="1769"/>
      <c r="K306" s="1762">
        <f t="shared" si="78"/>
        <v>1</v>
      </c>
      <c r="L306" s="1769"/>
      <c r="M306" s="1762">
        <f t="shared" si="79"/>
        <v>1</v>
      </c>
      <c r="N306" s="1769"/>
      <c r="O306" s="1762">
        <f t="shared" si="80"/>
        <v>1</v>
      </c>
      <c r="P306" s="1769"/>
      <c r="Q306" s="1762">
        <f t="shared" si="81"/>
        <v>1</v>
      </c>
      <c r="R306" s="1833">
        <f ca="1" t="shared" si="86"/>
        <v>0</v>
      </c>
      <c r="S306" s="1716">
        <f ca="1" t="shared" si="87"/>
        <v>0</v>
      </c>
      <c r="T306" s="1768">
        <f ca="1" t="shared" si="88"/>
        <v>0</v>
      </c>
      <c r="U306" s="1838">
        <f t="shared" si="82"/>
        <v>0</v>
      </c>
      <c r="V306" s="1838">
        <f t="shared" si="83"/>
        <v>0</v>
      </c>
      <c r="W306" s="1840"/>
      <c r="X306" s="1838">
        <f t="shared" si="84"/>
        <v>0</v>
      </c>
      <c r="Y306" s="1838">
        <f t="shared" si="85"/>
        <v>0</v>
      </c>
      <c r="Z306" s="1840"/>
    </row>
    <row r="307" spans="1:26">
      <c r="A307" s="1770"/>
      <c r="B307" s="1771"/>
      <c r="C307" s="1762">
        <f t="shared" si="74"/>
        <v>1</v>
      </c>
      <c r="D307" s="1769"/>
      <c r="E307" s="1762">
        <f t="shared" si="75"/>
        <v>1</v>
      </c>
      <c r="F307" s="1769"/>
      <c r="G307" s="1762">
        <f t="shared" si="76"/>
        <v>1</v>
      </c>
      <c r="H307" s="1769"/>
      <c r="I307" s="1762">
        <f t="shared" si="77"/>
        <v>1</v>
      </c>
      <c r="J307" s="1769"/>
      <c r="K307" s="1762">
        <f t="shared" si="78"/>
        <v>1</v>
      </c>
      <c r="L307" s="1769"/>
      <c r="M307" s="1762">
        <f t="shared" si="79"/>
        <v>1</v>
      </c>
      <c r="N307" s="1769"/>
      <c r="O307" s="1762">
        <f t="shared" si="80"/>
        <v>1</v>
      </c>
      <c r="P307" s="1769"/>
      <c r="Q307" s="1762">
        <f t="shared" si="81"/>
        <v>1</v>
      </c>
      <c r="R307" s="1833">
        <f ca="1" t="shared" si="86"/>
        <v>0</v>
      </c>
      <c r="S307" s="1716">
        <f ca="1" t="shared" si="87"/>
        <v>0</v>
      </c>
      <c r="T307" s="1768">
        <f ca="1" t="shared" si="88"/>
        <v>0</v>
      </c>
      <c r="U307" s="1838">
        <f t="shared" si="82"/>
        <v>0</v>
      </c>
      <c r="V307" s="1838">
        <f t="shared" si="83"/>
        <v>0</v>
      </c>
      <c r="W307" s="1840"/>
      <c r="X307" s="1838">
        <f t="shared" si="84"/>
        <v>0</v>
      </c>
      <c r="Y307" s="1838">
        <f t="shared" si="85"/>
        <v>0</v>
      </c>
      <c r="Z307" s="1840"/>
    </row>
    <row r="308" spans="1:26">
      <c r="A308" s="1770"/>
      <c r="B308" s="1771"/>
      <c r="C308" s="1762">
        <f t="shared" si="74"/>
        <v>1</v>
      </c>
      <c r="D308" s="1769"/>
      <c r="E308" s="1762">
        <f t="shared" si="75"/>
        <v>1</v>
      </c>
      <c r="F308" s="1769"/>
      <c r="G308" s="1762">
        <f t="shared" si="76"/>
        <v>1</v>
      </c>
      <c r="H308" s="1769"/>
      <c r="I308" s="1762">
        <f t="shared" si="77"/>
        <v>1</v>
      </c>
      <c r="J308" s="1769"/>
      <c r="K308" s="1762">
        <f t="shared" si="78"/>
        <v>1</v>
      </c>
      <c r="L308" s="1769"/>
      <c r="M308" s="1762">
        <f t="shared" si="79"/>
        <v>1</v>
      </c>
      <c r="N308" s="1769"/>
      <c r="O308" s="1762">
        <f t="shared" si="80"/>
        <v>1</v>
      </c>
      <c r="P308" s="1769"/>
      <c r="Q308" s="1762">
        <f t="shared" si="81"/>
        <v>1</v>
      </c>
      <c r="R308" s="1833">
        <f ca="1" t="shared" si="86"/>
        <v>0</v>
      </c>
      <c r="S308" s="1716">
        <f ca="1" t="shared" si="87"/>
        <v>0</v>
      </c>
      <c r="T308" s="1768">
        <f ca="1" t="shared" si="88"/>
        <v>0</v>
      </c>
      <c r="U308" s="1838">
        <f t="shared" si="82"/>
        <v>0</v>
      </c>
      <c r="V308" s="1838">
        <f t="shared" si="83"/>
        <v>0</v>
      </c>
      <c r="W308" s="1840"/>
      <c r="X308" s="1838">
        <f t="shared" si="84"/>
        <v>0</v>
      </c>
      <c r="Y308" s="1838">
        <f t="shared" si="85"/>
        <v>0</v>
      </c>
      <c r="Z308" s="1840"/>
    </row>
    <row r="309" spans="1:26">
      <c r="A309" s="1770"/>
      <c r="B309" s="1771"/>
      <c r="C309" s="1762">
        <f t="shared" si="74"/>
        <v>1</v>
      </c>
      <c r="D309" s="1769"/>
      <c r="E309" s="1762">
        <f t="shared" si="75"/>
        <v>1</v>
      </c>
      <c r="F309" s="1769"/>
      <c r="G309" s="1762">
        <f t="shared" si="76"/>
        <v>1</v>
      </c>
      <c r="H309" s="1769"/>
      <c r="I309" s="1762">
        <f t="shared" si="77"/>
        <v>1</v>
      </c>
      <c r="J309" s="1769"/>
      <c r="K309" s="1762">
        <f t="shared" si="78"/>
        <v>1</v>
      </c>
      <c r="L309" s="1769"/>
      <c r="M309" s="1762">
        <f t="shared" si="79"/>
        <v>1</v>
      </c>
      <c r="N309" s="1769"/>
      <c r="O309" s="1762">
        <f t="shared" si="80"/>
        <v>1</v>
      </c>
      <c r="P309" s="1769"/>
      <c r="Q309" s="1762">
        <f t="shared" si="81"/>
        <v>1</v>
      </c>
      <c r="R309" s="1833">
        <f ca="1" t="shared" si="86"/>
        <v>0</v>
      </c>
      <c r="S309" s="1716">
        <f ca="1" t="shared" si="87"/>
        <v>0</v>
      </c>
      <c r="T309" s="1768">
        <f ca="1" t="shared" si="88"/>
        <v>0</v>
      </c>
      <c r="U309" s="1838">
        <f t="shared" si="82"/>
        <v>0</v>
      </c>
      <c r="V309" s="1838">
        <f t="shared" si="83"/>
        <v>0</v>
      </c>
      <c r="W309" s="1840"/>
      <c r="X309" s="1838">
        <f t="shared" si="84"/>
        <v>0</v>
      </c>
      <c r="Y309" s="1838">
        <f t="shared" si="85"/>
        <v>0</v>
      </c>
      <c r="Z309" s="1840"/>
    </row>
    <row r="310" spans="1:26">
      <c r="A310" s="1770"/>
      <c r="B310" s="1771"/>
      <c r="C310" s="1762">
        <f t="shared" si="74"/>
        <v>1</v>
      </c>
      <c r="D310" s="1769"/>
      <c r="E310" s="1762">
        <f t="shared" si="75"/>
        <v>1</v>
      </c>
      <c r="F310" s="1769"/>
      <c r="G310" s="1762">
        <f t="shared" si="76"/>
        <v>1</v>
      </c>
      <c r="H310" s="1769"/>
      <c r="I310" s="1762">
        <f t="shared" si="77"/>
        <v>1</v>
      </c>
      <c r="J310" s="1769"/>
      <c r="K310" s="1762">
        <f t="shared" si="78"/>
        <v>1</v>
      </c>
      <c r="L310" s="1769"/>
      <c r="M310" s="1762">
        <f t="shared" si="79"/>
        <v>1</v>
      </c>
      <c r="N310" s="1769"/>
      <c r="O310" s="1762">
        <f t="shared" si="80"/>
        <v>1</v>
      </c>
      <c r="P310" s="1769"/>
      <c r="Q310" s="1762">
        <f t="shared" si="81"/>
        <v>1</v>
      </c>
      <c r="R310" s="1833">
        <f ca="1" t="shared" si="86"/>
        <v>0</v>
      </c>
      <c r="S310" s="1716">
        <f ca="1" t="shared" si="87"/>
        <v>0</v>
      </c>
      <c r="T310" s="1768">
        <f ca="1" t="shared" si="88"/>
        <v>0</v>
      </c>
      <c r="U310" s="1838">
        <f t="shared" si="82"/>
        <v>0</v>
      </c>
      <c r="V310" s="1838">
        <f t="shared" si="83"/>
        <v>0</v>
      </c>
      <c r="W310" s="1840"/>
      <c r="X310" s="1838">
        <f t="shared" si="84"/>
        <v>0</v>
      </c>
      <c r="Y310" s="1838">
        <f t="shared" si="85"/>
        <v>0</v>
      </c>
      <c r="Z310" s="1840"/>
    </row>
    <row r="311" spans="1:26">
      <c r="A311" s="1770"/>
      <c r="B311" s="1771"/>
      <c r="C311" s="1762">
        <f t="shared" si="74"/>
        <v>1</v>
      </c>
      <c r="D311" s="1769"/>
      <c r="E311" s="1762">
        <f t="shared" si="75"/>
        <v>1</v>
      </c>
      <c r="F311" s="1769"/>
      <c r="G311" s="1762">
        <f t="shared" si="76"/>
        <v>1</v>
      </c>
      <c r="H311" s="1769"/>
      <c r="I311" s="1762">
        <f t="shared" si="77"/>
        <v>1</v>
      </c>
      <c r="J311" s="1769"/>
      <c r="K311" s="1762">
        <f t="shared" si="78"/>
        <v>1</v>
      </c>
      <c r="L311" s="1769"/>
      <c r="M311" s="1762">
        <f t="shared" si="79"/>
        <v>1</v>
      </c>
      <c r="N311" s="1769"/>
      <c r="O311" s="1762">
        <f t="shared" si="80"/>
        <v>1</v>
      </c>
      <c r="P311" s="1769"/>
      <c r="Q311" s="1762">
        <f t="shared" si="81"/>
        <v>1</v>
      </c>
      <c r="R311" s="1833">
        <f ca="1" t="shared" si="86"/>
        <v>0</v>
      </c>
      <c r="S311" s="1716">
        <f ca="1" t="shared" si="87"/>
        <v>0</v>
      </c>
      <c r="T311" s="1768">
        <f ca="1" t="shared" si="88"/>
        <v>0</v>
      </c>
      <c r="U311" s="1838">
        <f t="shared" si="82"/>
        <v>0</v>
      </c>
      <c r="V311" s="1838">
        <f t="shared" si="83"/>
        <v>0</v>
      </c>
      <c r="W311" s="1840"/>
      <c r="X311" s="1838">
        <f t="shared" si="84"/>
        <v>0</v>
      </c>
      <c r="Y311" s="1838">
        <f t="shared" si="85"/>
        <v>0</v>
      </c>
      <c r="Z311" s="1840"/>
    </row>
    <row r="312" spans="1:26">
      <c r="A312" s="1770"/>
      <c r="B312" s="1771"/>
      <c r="C312" s="1762">
        <f t="shared" si="74"/>
        <v>1</v>
      </c>
      <c r="D312" s="1769"/>
      <c r="E312" s="1762">
        <f t="shared" si="75"/>
        <v>1</v>
      </c>
      <c r="F312" s="1769"/>
      <c r="G312" s="1762">
        <f t="shared" si="76"/>
        <v>1</v>
      </c>
      <c r="H312" s="1769"/>
      <c r="I312" s="1762">
        <f t="shared" si="77"/>
        <v>1</v>
      </c>
      <c r="J312" s="1769"/>
      <c r="K312" s="1762">
        <f t="shared" si="78"/>
        <v>1</v>
      </c>
      <c r="L312" s="1769"/>
      <c r="M312" s="1762">
        <f t="shared" si="79"/>
        <v>1</v>
      </c>
      <c r="N312" s="1769"/>
      <c r="O312" s="1762">
        <f t="shared" si="80"/>
        <v>1</v>
      </c>
      <c r="P312" s="1769"/>
      <c r="Q312" s="1762">
        <f t="shared" si="81"/>
        <v>1</v>
      </c>
      <c r="R312" s="1833">
        <f ca="1" t="shared" si="86"/>
        <v>0</v>
      </c>
      <c r="S312" s="1716">
        <f ca="1" t="shared" si="87"/>
        <v>0</v>
      </c>
      <c r="T312" s="1768">
        <f ca="1" t="shared" si="88"/>
        <v>0</v>
      </c>
      <c r="U312" s="1838">
        <f t="shared" si="82"/>
        <v>0</v>
      </c>
      <c r="V312" s="1838">
        <f t="shared" si="83"/>
        <v>0</v>
      </c>
      <c r="W312" s="1840"/>
      <c r="X312" s="1838">
        <f t="shared" si="84"/>
        <v>0</v>
      </c>
      <c r="Y312" s="1838">
        <f t="shared" si="85"/>
        <v>0</v>
      </c>
      <c r="Z312" s="1840"/>
    </row>
    <row r="313" spans="1:26">
      <c r="A313" s="1770"/>
      <c r="B313" s="1771"/>
      <c r="C313" s="1762">
        <f t="shared" si="74"/>
        <v>1</v>
      </c>
      <c r="D313" s="1769"/>
      <c r="E313" s="1762">
        <f t="shared" si="75"/>
        <v>1</v>
      </c>
      <c r="F313" s="1769"/>
      <c r="G313" s="1762">
        <f t="shared" si="76"/>
        <v>1</v>
      </c>
      <c r="H313" s="1769"/>
      <c r="I313" s="1762">
        <f t="shared" si="77"/>
        <v>1</v>
      </c>
      <c r="J313" s="1769"/>
      <c r="K313" s="1762">
        <f t="shared" si="78"/>
        <v>1</v>
      </c>
      <c r="L313" s="1769"/>
      <c r="M313" s="1762">
        <f t="shared" si="79"/>
        <v>1</v>
      </c>
      <c r="N313" s="1769"/>
      <c r="O313" s="1762">
        <f t="shared" si="80"/>
        <v>1</v>
      </c>
      <c r="P313" s="1769"/>
      <c r="Q313" s="1762">
        <f t="shared" si="81"/>
        <v>1</v>
      </c>
      <c r="R313" s="1833">
        <f ca="1" t="shared" si="86"/>
        <v>0</v>
      </c>
      <c r="S313" s="1716">
        <f ca="1" t="shared" si="87"/>
        <v>0</v>
      </c>
      <c r="T313" s="1768">
        <f ca="1" t="shared" si="88"/>
        <v>0</v>
      </c>
      <c r="U313" s="1838">
        <f t="shared" si="82"/>
        <v>0</v>
      </c>
      <c r="V313" s="1838">
        <f t="shared" si="83"/>
        <v>0</v>
      </c>
      <c r="W313" s="1840"/>
      <c r="X313" s="1838">
        <f t="shared" si="84"/>
        <v>0</v>
      </c>
      <c r="Y313" s="1838">
        <f t="shared" si="85"/>
        <v>0</v>
      </c>
      <c r="Z313" s="1840"/>
    </row>
    <row r="314" spans="1:26">
      <c r="A314" s="1770"/>
      <c r="B314" s="1771"/>
      <c r="C314" s="1762">
        <f t="shared" si="74"/>
        <v>1</v>
      </c>
      <c r="D314" s="1769"/>
      <c r="E314" s="1762">
        <f t="shared" si="75"/>
        <v>1</v>
      </c>
      <c r="F314" s="1769"/>
      <c r="G314" s="1762">
        <f t="shared" si="76"/>
        <v>1</v>
      </c>
      <c r="H314" s="1769"/>
      <c r="I314" s="1762">
        <f t="shared" si="77"/>
        <v>1</v>
      </c>
      <c r="J314" s="1769"/>
      <c r="K314" s="1762">
        <f t="shared" si="78"/>
        <v>1</v>
      </c>
      <c r="L314" s="1769"/>
      <c r="M314" s="1762">
        <f t="shared" si="79"/>
        <v>1</v>
      </c>
      <c r="N314" s="1769"/>
      <c r="O314" s="1762">
        <f t="shared" si="80"/>
        <v>1</v>
      </c>
      <c r="P314" s="1769"/>
      <c r="Q314" s="1762">
        <f t="shared" si="81"/>
        <v>1</v>
      </c>
      <c r="R314" s="1833">
        <f ca="1" t="shared" si="86"/>
        <v>0</v>
      </c>
      <c r="S314" s="1716">
        <f ca="1" t="shared" si="87"/>
        <v>0</v>
      </c>
      <c r="T314" s="1768">
        <f ca="1" t="shared" si="88"/>
        <v>0</v>
      </c>
      <c r="U314" s="1838">
        <f t="shared" si="82"/>
        <v>0</v>
      </c>
      <c r="V314" s="1838">
        <f t="shared" si="83"/>
        <v>0</v>
      </c>
      <c r="W314" s="1840"/>
      <c r="X314" s="1838">
        <f t="shared" si="84"/>
        <v>0</v>
      </c>
      <c r="Y314" s="1838">
        <f t="shared" si="85"/>
        <v>0</v>
      </c>
      <c r="Z314" s="1840"/>
    </row>
    <row r="315" spans="1:26">
      <c r="A315" s="1770"/>
      <c r="B315" s="1771"/>
      <c r="C315" s="1762">
        <f t="shared" si="74"/>
        <v>1</v>
      </c>
      <c r="D315" s="1769"/>
      <c r="E315" s="1762">
        <f t="shared" si="75"/>
        <v>1</v>
      </c>
      <c r="F315" s="1769"/>
      <c r="G315" s="1762">
        <f t="shared" si="76"/>
        <v>1</v>
      </c>
      <c r="H315" s="1769"/>
      <c r="I315" s="1762">
        <f t="shared" si="77"/>
        <v>1</v>
      </c>
      <c r="J315" s="1769"/>
      <c r="K315" s="1762">
        <f t="shared" si="78"/>
        <v>1</v>
      </c>
      <c r="L315" s="1769"/>
      <c r="M315" s="1762">
        <f t="shared" si="79"/>
        <v>1</v>
      </c>
      <c r="N315" s="1769"/>
      <c r="O315" s="1762">
        <f t="shared" si="80"/>
        <v>1</v>
      </c>
      <c r="P315" s="1769"/>
      <c r="Q315" s="1762">
        <f t="shared" si="81"/>
        <v>1</v>
      </c>
      <c r="R315" s="1833">
        <f ca="1" t="shared" si="86"/>
        <v>0</v>
      </c>
      <c r="S315" s="1716">
        <f ca="1" t="shared" si="87"/>
        <v>0</v>
      </c>
      <c r="T315" s="1768">
        <f ca="1" t="shared" si="88"/>
        <v>0</v>
      </c>
      <c r="U315" s="1838">
        <f t="shared" si="82"/>
        <v>0</v>
      </c>
      <c r="V315" s="1838">
        <f t="shared" si="83"/>
        <v>0</v>
      </c>
      <c r="W315" s="1840"/>
      <c r="X315" s="1838">
        <f t="shared" si="84"/>
        <v>0</v>
      </c>
      <c r="Y315" s="1838">
        <f t="shared" si="85"/>
        <v>0</v>
      </c>
      <c r="Z315" s="1840"/>
    </row>
    <row r="316" spans="1:26">
      <c r="A316" s="1770"/>
      <c r="B316" s="1771"/>
      <c r="C316" s="1762">
        <f t="shared" si="74"/>
        <v>1</v>
      </c>
      <c r="D316" s="1769"/>
      <c r="E316" s="1762">
        <f t="shared" si="75"/>
        <v>1</v>
      </c>
      <c r="F316" s="1769"/>
      <c r="G316" s="1762">
        <f t="shared" si="76"/>
        <v>1</v>
      </c>
      <c r="H316" s="1769"/>
      <c r="I316" s="1762">
        <f t="shared" si="77"/>
        <v>1</v>
      </c>
      <c r="J316" s="1769"/>
      <c r="K316" s="1762">
        <f t="shared" si="78"/>
        <v>1</v>
      </c>
      <c r="L316" s="1769"/>
      <c r="M316" s="1762">
        <f t="shared" si="79"/>
        <v>1</v>
      </c>
      <c r="N316" s="1769"/>
      <c r="O316" s="1762">
        <f t="shared" si="80"/>
        <v>1</v>
      </c>
      <c r="P316" s="1769"/>
      <c r="Q316" s="1762">
        <f t="shared" si="81"/>
        <v>1</v>
      </c>
      <c r="R316" s="1833">
        <f ca="1" t="shared" si="86"/>
        <v>0</v>
      </c>
      <c r="S316" s="1716">
        <f ca="1" t="shared" si="87"/>
        <v>0</v>
      </c>
      <c r="T316" s="1768">
        <f ca="1" t="shared" si="88"/>
        <v>0</v>
      </c>
      <c r="U316" s="1838">
        <f t="shared" si="82"/>
        <v>0</v>
      </c>
      <c r="V316" s="1838">
        <f t="shared" si="83"/>
        <v>0</v>
      </c>
      <c r="W316" s="1840"/>
      <c r="X316" s="1838">
        <f t="shared" si="84"/>
        <v>0</v>
      </c>
      <c r="Y316" s="1838">
        <f t="shared" si="85"/>
        <v>0</v>
      </c>
      <c r="Z316" s="1840"/>
    </row>
    <row r="317" spans="1:26">
      <c r="A317" s="1770"/>
      <c r="B317" s="1771"/>
      <c r="C317" s="1762">
        <f t="shared" si="74"/>
        <v>1</v>
      </c>
      <c r="D317" s="1769"/>
      <c r="E317" s="1762">
        <f t="shared" si="75"/>
        <v>1</v>
      </c>
      <c r="F317" s="1769"/>
      <c r="G317" s="1762">
        <f t="shared" si="76"/>
        <v>1</v>
      </c>
      <c r="H317" s="1769"/>
      <c r="I317" s="1762">
        <f t="shared" si="77"/>
        <v>1</v>
      </c>
      <c r="J317" s="1769"/>
      <c r="K317" s="1762">
        <f t="shared" si="78"/>
        <v>1</v>
      </c>
      <c r="L317" s="1769"/>
      <c r="M317" s="1762">
        <f t="shared" si="79"/>
        <v>1</v>
      </c>
      <c r="N317" s="1769"/>
      <c r="O317" s="1762">
        <f t="shared" si="80"/>
        <v>1</v>
      </c>
      <c r="P317" s="1769"/>
      <c r="Q317" s="1762">
        <f t="shared" si="81"/>
        <v>1</v>
      </c>
      <c r="R317" s="1833">
        <f ca="1" t="shared" si="86"/>
        <v>0</v>
      </c>
      <c r="S317" s="1716">
        <f ca="1" t="shared" si="87"/>
        <v>0</v>
      </c>
      <c r="T317" s="1768">
        <f ca="1" t="shared" si="88"/>
        <v>0</v>
      </c>
      <c r="U317" s="1838">
        <f t="shared" si="82"/>
        <v>0</v>
      </c>
      <c r="V317" s="1838">
        <f t="shared" si="83"/>
        <v>0</v>
      </c>
      <c r="W317" s="1840"/>
      <c r="X317" s="1838">
        <f t="shared" si="84"/>
        <v>0</v>
      </c>
      <c r="Y317" s="1838">
        <f t="shared" si="85"/>
        <v>0</v>
      </c>
      <c r="Z317" s="1840"/>
    </row>
    <row r="318" spans="1:26">
      <c r="A318" s="1770"/>
      <c r="B318" s="1771"/>
      <c r="C318" s="1762">
        <f t="shared" si="74"/>
        <v>1</v>
      </c>
      <c r="D318" s="1769"/>
      <c r="E318" s="1762">
        <f t="shared" si="75"/>
        <v>1</v>
      </c>
      <c r="F318" s="1769"/>
      <c r="G318" s="1762">
        <f t="shared" si="76"/>
        <v>1</v>
      </c>
      <c r="H318" s="1769"/>
      <c r="I318" s="1762">
        <f t="shared" si="77"/>
        <v>1</v>
      </c>
      <c r="J318" s="1769"/>
      <c r="K318" s="1762">
        <f t="shared" si="78"/>
        <v>1</v>
      </c>
      <c r="L318" s="1769"/>
      <c r="M318" s="1762">
        <f t="shared" si="79"/>
        <v>1</v>
      </c>
      <c r="N318" s="1769"/>
      <c r="O318" s="1762">
        <f t="shared" si="80"/>
        <v>1</v>
      </c>
      <c r="P318" s="1769"/>
      <c r="Q318" s="1762">
        <f t="shared" si="81"/>
        <v>1</v>
      </c>
      <c r="R318" s="1833">
        <f ca="1" t="shared" si="86"/>
        <v>0</v>
      </c>
      <c r="S318" s="1716">
        <f ca="1" t="shared" si="87"/>
        <v>0</v>
      </c>
      <c r="T318" s="1768">
        <f ca="1" t="shared" si="88"/>
        <v>0</v>
      </c>
      <c r="U318" s="1838">
        <f t="shared" si="82"/>
        <v>0</v>
      </c>
      <c r="V318" s="1838">
        <f t="shared" si="83"/>
        <v>0</v>
      </c>
      <c r="W318" s="1840"/>
      <c r="X318" s="1838">
        <f t="shared" si="84"/>
        <v>0</v>
      </c>
      <c r="Y318" s="1838">
        <f t="shared" si="85"/>
        <v>0</v>
      </c>
      <c r="Z318" s="1840"/>
    </row>
    <row r="319" spans="1:26">
      <c r="A319" s="1770"/>
      <c r="B319" s="1771"/>
      <c r="C319" s="1762">
        <f t="shared" si="74"/>
        <v>1</v>
      </c>
      <c r="D319" s="1769"/>
      <c r="E319" s="1762">
        <f t="shared" si="75"/>
        <v>1</v>
      </c>
      <c r="F319" s="1769"/>
      <c r="G319" s="1762">
        <f t="shared" si="76"/>
        <v>1</v>
      </c>
      <c r="H319" s="1769"/>
      <c r="I319" s="1762">
        <f t="shared" si="77"/>
        <v>1</v>
      </c>
      <c r="J319" s="1769"/>
      <c r="K319" s="1762">
        <f t="shared" si="78"/>
        <v>1</v>
      </c>
      <c r="L319" s="1769"/>
      <c r="M319" s="1762">
        <f t="shared" si="79"/>
        <v>1</v>
      </c>
      <c r="N319" s="1769"/>
      <c r="O319" s="1762">
        <f t="shared" si="80"/>
        <v>1</v>
      </c>
      <c r="P319" s="1769"/>
      <c r="Q319" s="1762">
        <f t="shared" si="81"/>
        <v>1</v>
      </c>
      <c r="R319" s="1833">
        <f ca="1" t="shared" si="86"/>
        <v>0</v>
      </c>
      <c r="S319" s="1716">
        <f ca="1" t="shared" si="87"/>
        <v>0</v>
      </c>
      <c r="T319" s="1768">
        <f ca="1" t="shared" si="88"/>
        <v>0</v>
      </c>
      <c r="U319" s="1838">
        <f t="shared" si="82"/>
        <v>0</v>
      </c>
      <c r="V319" s="1838">
        <f t="shared" si="83"/>
        <v>0</v>
      </c>
      <c r="W319" s="1840"/>
      <c r="X319" s="1838">
        <f t="shared" si="84"/>
        <v>0</v>
      </c>
      <c r="Y319" s="1838">
        <f t="shared" si="85"/>
        <v>0</v>
      </c>
      <c r="Z319" s="1840"/>
    </row>
    <row r="320" spans="1:26">
      <c r="A320" s="1770"/>
      <c r="B320" s="1771"/>
      <c r="C320" s="1762">
        <f t="shared" si="74"/>
        <v>1</v>
      </c>
      <c r="D320" s="1769"/>
      <c r="E320" s="1762">
        <f t="shared" si="75"/>
        <v>1</v>
      </c>
      <c r="F320" s="1769"/>
      <c r="G320" s="1762">
        <f t="shared" si="76"/>
        <v>1</v>
      </c>
      <c r="H320" s="1769"/>
      <c r="I320" s="1762">
        <f t="shared" si="77"/>
        <v>1</v>
      </c>
      <c r="J320" s="1769"/>
      <c r="K320" s="1762">
        <f t="shared" si="78"/>
        <v>1</v>
      </c>
      <c r="L320" s="1769"/>
      <c r="M320" s="1762">
        <f t="shared" si="79"/>
        <v>1</v>
      </c>
      <c r="N320" s="1769"/>
      <c r="O320" s="1762">
        <f t="shared" si="80"/>
        <v>1</v>
      </c>
      <c r="P320" s="1769"/>
      <c r="Q320" s="1762">
        <f t="shared" si="81"/>
        <v>1</v>
      </c>
      <c r="R320" s="1833">
        <f ca="1" t="shared" si="86"/>
        <v>0</v>
      </c>
      <c r="S320" s="1716">
        <f ca="1" t="shared" si="87"/>
        <v>0</v>
      </c>
      <c r="T320" s="1768">
        <f ca="1" t="shared" si="88"/>
        <v>0</v>
      </c>
      <c r="U320" s="1838">
        <f t="shared" si="82"/>
        <v>0</v>
      </c>
      <c r="V320" s="1838">
        <f t="shared" si="83"/>
        <v>0</v>
      </c>
      <c r="W320" s="1840"/>
      <c r="X320" s="1838">
        <f t="shared" si="84"/>
        <v>0</v>
      </c>
      <c r="Y320" s="1838">
        <f t="shared" si="85"/>
        <v>0</v>
      </c>
      <c r="Z320" s="1840"/>
    </row>
    <row r="321" spans="1:26">
      <c r="A321" s="1770"/>
      <c r="B321" s="1771"/>
      <c r="C321" s="1762">
        <f t="shared" si="74"/>
        <v>1</v>
      </c>
      <c r="D321" s="1769"/>
      <c r="E321" s="1762">
        <f t="shared" si="75"/>
        <v>1</v>
      </c>
      <c r="F321" s="1769"/>
      <c r="G321" s="1762">
        <f t="shared" si="76"/>
        <v>1</v>
      </c>
      <c r="H321" s="1769"/>
      <c r="I321" s="1762">
        <f t="shared" si="77"/>
        <v>1</v>
      </c>
      <c r="J321" s="1769"/>
      <c r="K321" s="1762">
        <f t="shared" si="78"/>
        <v>1</v>
      </c>
      <c r="L321" s="1769"/>
      <c r="M321" s="1762">
        <f t="shared" si="79"/>
        <v>1</v>
      </c>
      <c r="N321" s="1769"/>
      <c r="O321" s="1762">
        <f t="shared" si="80"/>
        <v>1</v>
      </c>
      <c r="P321" s="1769"/>
      <c r="Q321" s="1762">
        <f t="shared" si="81"/>
        <v>1</v>
      </c>
      <c r="R321" s="1833">
        <f ca="1" t="shared" si="86"/>
        <v>0</v>
      </c>
      <c r="S321" s="1716">
        <f ca="1" t="shared" si="87"/>
        <v>0</v>
      </c>
      <c r="T321" s="1768">
        <f ca="1" t="shared" si="88"/>
        <v>0</v>
      </c>
      <c r="U321" s="1838">
        <f t="shared" si="82"/>
        <v>0</v>
      </c>
      <c r="V321" s="1838">
        <f t="shared" si="83"/>
        <v>0</v>
      </c>
      <c r="W321" s="1840"/>
      <c r="X321" s="1838">
        <f t="shared" si="84"/>
        <v>0</v>
      </c>
      <c r="Y321" s="1838">
        <f t="shared" si="85"/>
        <v>0</v>
      </c>
      <c r="Z321" s="1840"/>
    </row>
    <row r="322" spans="1:26">
      <c r="A322" s="1770"/>
      <c r="B322" s="1771"/>
      <c r="C322" s="1762">
        <f t="shared" si="74"/>
        <v>1</v>
      </c>
      <c r="D322" s="1769"/>
      <c r="E322" s="1762">
        <f t="shared" si="75"/>
        <v>1</v>
      </c>
      <c r="F322" s="1769"/>
      <c r="G322" s="1762">
        <f t="shared" si="76"/>
        <v>1</v>
      </c>
      <c r="H322" s="1769"/>
      <c r="I322" s="1762">
        <f t="shared" si="77"/>
        <v>1</v>
      </c>
      <c r="J322" s="1769"/>
      <c r="K322" s="1762">
        <f t="shared" si="78"/>
        <v>1</v>
      </c>
      <c r="L322" s="1769"/>
      <c r="M322" s="1762">
        <f t="shared" si="79"/>
        <v>1</v>
      </c>
      <c r="N322" s="1769"/>
      <c r="O322" s="1762">
        <f t="shared" si="80"/>
        <v>1</v>
      </c>
      <c r="P322" s="1769"/>
      <c r="Q322" s="1762">
        <f t="shared" si="81"/>
        <v>1</v>
      </c>
      <c r="R322" s="1833">
        <f ca="1" t="shared" si="86"/>
        <v>0</v>
      </c>
      <c r="S322" s="1716">
        <f ca="1" t="shared" si="87"/>
        <v>0</v>
      </c>
      <c r="T322" s="1768">
        <f ca="1" t="shared" si="88"/>
        <v>0</v>
      </c>
      <c r="U322" s="1838">
        <f t="shared" si="82"/>
        <v>0</v>
      </c>
      <c r="V322" s="1838">
        <f t="shared" si="83"/>
        <v>0</v>
      </c>
      <c r="W322" s="1840"/>
      <c r="X322" s="1838">
        <f t="shared" si="84"/>
        <v>0</v>
      </c>
      <c r="Y322" s="1838">
        <f t="shared" si="85"/>
        <v>0</v>
      </c>
      <c r="Z322" s="1840"/>
    </row>
    <row r="323" spans="1:26">
      <c r="A323" s="1770"/>
      <c r="B323" s="1771"/>
      <c r="C323" s="1762">
        <f t="shared" si="74"/>
        <v>1</v>
      </c>
      <c r="D323" s="1769"/>
      <c r="E323" s="1762">
        <f t="shared" si="75"/>
        <v>1</v>
      </c>
      <c r="F323" s="1769"/>
      <c r="G323" s="1762">
        <f t="shared" si="76"/>
        <v>1</v>
      </c>
      <c r="H323" s="1769"/>
      <c r="I323" s="1762">
        <f t="shared" si="77"/>
        <v>1</v>
      </c>
      <c r="J323" s="1769"/>
      <c r="K323" s="1762">
        <f t="shared" si="78"/>
        <v>1</v>
      </c>
      <c r="L323" s="1769"/>
      <c r="M323" s="1762">
        <f t="shared" si="79"/>
        <v>1</v>
      </c>
      <c r="N323" s="1769"/>
      <c r="O323" s="1762">
        <f t="shared" si="80"/>
        <v>1</v>
      </c>
      <c r="P323" s="1769"/>
      <c r="Q323" s="1762">
        <f t="shared" si="81"/>
        <v>1</v>
      </c>
      <c r="R323" s="1833">
        <f ca="1" t="shared" si="86"/>
        <v>0</v>
      </c>
      <c r="S323" s="1716">
        <f ca="1" t="shared" si="87"/>
        <v>0</v>
      </c>
      <c r="T323" s="1768">
        <f ca="1" t="shared" si="88"/>
        <v>0</v>
      </c>
      <c r="U323" s="1838">
        <f t="shared" si="82"/>
        <v>0</v>
      </c>
      <c r="V323" s="1838">
        <f t="shared" si="83"/>
        <v>0</v>
      </c>
      <c r="W323" s="1840"/>
      <c r="X323" s="1838">
        <f t="shared" si="84"/>
        <v>0</v>
      </c>
      <c r="Y323" s="1838">
        <f t="shared" si="85"/>
        <v>0</v>
      </c>
      <c r="Z323" s="1840"/>
    </row>
    <row r="324" spans="1:26">
      <c r="A324" s="1770"/>
      <c r="B324" s="1771"/>
      <c r="C324" s="1762">
        <f t="shared" si="74"/>
        <v>1</v>
      </c>
      <c r="D324" s="1769"/>
      <c r="E324" s="1762">
        <f t="shared" si="75"/>
        <v>1</v>
      </c>
      <c r="F324" s="1769"/>
      <c r="G324" s="1762">
        <f t="shared" si="76"/>
        <v>1</v>
      </c>
      <c r="H324" s="1769"/>
      <c r="I324" s="1762">
        <f t="shared" si="77"/>
        <v>1</v>
      </c>
      <c r="J324" s="1769"/>
      <c r="K324" s="1762">
        <f t="shared" si="78"/>
        <v>1</v>
      </c>
      <c r="L324" s="1769"/>
      <c r="M324" s="1762">
        <f t="shared" si="79"/>
        <v>1</v>
      </c>
      <c r="N324" s="1769"/>
      <c r="O324" s="1762">
        <f t="shared" si="80"/>
        <v>1</v>
      </c>
      <c r="P324" s="1769"/>
      <c r="Q324" s="1762">
        <f t="shared" si="81"/>
        <v>1</v>
      </c>
      <c r="R324" s="1833">
        <f ca="1" t="shared" si="86"/>
        <v>0</v>
      </c>
      <c r="S324" s="1716">
        <f ca="1" t="shared" si="87"/>
        <v>0</v>
      </c>
      <c r="T324" s="1768">
        <f ca="1" t="shared" si="88"/>
        <v>0</v>
      </c>
      <c r="U324" s="1838">
        <f t="shared" si="82"/>
        <v>0</v>
      </c>
      <c r="V324" s="1838">
        <f t="shared" si="83"/>
        <v>0</v>
      </c>
      <c r="W324" s="1840"/>
      <c r="X324" s="1838">
        <f t="shared" si="84"/>
        <v>0</v>
      </c>
      <c r="Y324" s="1838">
        <f t="shared" si="85"/>
        <v>0</v>
      </c>
      <c r="Z324" s="1840"/>
    </row>
    <row r="325" spans="1:26">
      <c r="A325" s="1770"/>
      <c r="B325" s="1771"/>
      <c r="C325" s="1762">
        <f t="shared" si="74"/>
        <v>1</v>
      </c>
      <c r="D325" s="1769"/>
      <c r="E325" s="1762">
        <f t="shared" si="75"/>
        <v>1</v>
      </c>
      <c r="F325" s="1769"/>
      <c r="G325" s="1762">
        <f t="shared" si="76"/>
        <v>1</v>
      </c>
      <c r="H325" s="1769"/>
      <c r="I325" s="1762">
        <f t="shared" si="77"/>
        <v>1</v>
      </c>
      <c r="J325" s="1769"/>
      <c r="K325" s="1762">
        <f t="shared" si="78"/>
        <v>1</v>
      </c>
      <c r="L325" s="1769"/>
      <c r="M325" s="1762">
        <f t="shared" si="79"/>
        <v>1</v>
      </c>
      <c r="N325" s="1769"/>
      <c r="O325" s="1762">
        <f t="shared" si="80"/>
        <v>1</v>
      </c>
      <c r="P325" s="1769"/>
      <c r="Q325" s="1762">
        <f t="shared" si="81"/>
        <v>1</v>
      </c>
      <c r="R325" s="1833">
        <f ca="1" t="shared" si="86"/>
        <v>0</v>
      </c>
      <c r="S325" s="1716">
        <f ca="1" t="shared" si="87"/>
        <v>0</v>
      </c>
      <c r="T325" s="1768">
        <f ca="1" t="shared" si="88"/>
        <v>0</v>
      </c>
      <c r="U325" s="1838">
        <f t="shared" si="82"/>
        <v>0</v>
      </c>
      <c r="V325" s="1838">
        <f t="shared" si="83"/>
        <v>0</v>
      </c>
      <c r="W325" s="1840"/>
      <c r="X325" s="1838">
        <f t="shared" si="84"/>
        <v>0</v>
      </c>
      <c r="Y325" s="1838">
        <f t="shared" si="85"/>
        <v>0</v>
      </c>
      <c r="Z325" s="1840"/>
    </row>
    <row r="326" spans="1:26">
      <c r="A326" s="1770"/>
      <c r="B326" s="1771"/>
      <c r="C326" s="1762">
        <f t="shared" si="74"/>
        <v>1</v>
      </c>
      <c r="D326" s="1769"/>
      <c r="E326" s="1762">
        <f t="shared" si="75"/>
        <v>1</v>
      </c>
      <c r="F326" s="1769"/>
      <c r="G326" s="1762">
        <f t="shared" si="76"/>
        <v>1</v>
      </c>
      <c r="H326" s="1769"/>
      <c r="I326" s="1762">
        <f t="shared" si="77"/>
        <v>1</v>
      </c>
      <c r="J326" s="1769"/>
      <c r="K326" s="1762">
        <f t="shared" si="78"/>
        <v>1</v>
      </c>
      <c r="L326" s="1769"/>
      <c r="M326" s="1762">
        <f t="shared" si="79"/>
        <v>1</v>
      </c>
      <c r="N326" s="1769"/>
      <c r="O326" s="1762">
        <f t="shared" si="80"/>
        <v>1</v>
      </c>
      <c r="P326" s="1769"/>
      <c r="Q326" s="1762">
        <f t="shared" si="81"/>
        <v>1</v>
      </c>
      <c r="R326" s="1833">
        <f ca="1" t="shared" si="86"/>
        <v>0</v>
      </c>
      <c r="S326" s="1716">
        <f ca="1" t="shared" si="87"/>
        <v>0</v>
      </c>
      <c r="T326" s="1768">
        <f ca="1" t="shared" si="88"/>
        <v>0</v>
      </c>
      <c r="U326" s="1838">
        <f t="shared" si="82"/>
        <v>0</v>
      </c>
      <c r="V326" s="1838">
        <f t="shared" si="83"/>
        <v>0</v>
      </c>
      <c r="W326" s="1840"/>
      <c r="X326" s="1838">
        <f t="shared" si="84"/>
        <v>0</v>
      </c>
      <c r="Y326" s="1838">
        <f t="shared" si="85"/>
        <v>0</v>
      </c>
      <c r="Z326" s="1840"/>
    </row>
    <row r="327" spans="1:26">
      <c r="A327" s="1770"/>
      <c r="B327" s="1771"/>
      <c r="C327" s="1762">
        <f t="shared" si="74"/>
        <v>1</v>
      </c>
      <c r="D327" s="1769"/>
      <c r="E327" s="1762">
        <f t="shared" si="75"/>
        <v>1</v>
      </c>
      <c r="F327" s="1769"/>
      <c r="G327" s="1762">
        <f t="shared" si="76"/>
        <v>1</v>
      </c>
      <c r="H327" s="1769"/>
      <c r="I327" s="1762">
        <f t="shared" si="77"/>
        <v>1</v>
      </c>
      <c r="J327" s="1769"/>
      <c r="K327" s="1762">
        <f t="shared" si="78"/>
        <v>1</v>
      </c>
      <c r="L327" s="1769"/>
      <c r="M327" s="1762">
        <f t="shared" si="79"/>
        <v>1</v>
      </c>
      <c r="N327" s="1769"/>
      <c r="O327" s="1762">
        <f t="shared" si="80"/>
        <v>1</v>
      </c>
      <c r="P327" s="1769"/>
      <c r="Q327" s="1762">
        <f t="shared" si="81"/>
        <v>1</v>
      </c>
      <c r="R327" s="1833">
        <f ca="1" t="shared" si="86"/>
        <v>0</v>
      </c>
      <c r="S327" s="1716">
        <f ca="1" t="shared" si="87"/>
        <v>0</v>
      </c>
      <c r="T327" s="1768">
        <f ca="1" t="shared" si="88"/>
        <v>0</v>
      </c>
      <c r="U327" s="1838">
        <f t="shared" si="82"/>
        <v>0</v>
      </c>
      <c r="V327" s="1838">
        <f t="shared" si="83"/>
        <v>0</v>
      </c>
      <c r="W327" s="1840"/>
      <c r="X327" s="1838">
        <f t="shared" si="84"/>
        <v>0</v>
      </c>
      <c r="Y327" s="1838">
        <f t="shared" si="85"/>
        <v>0</v>
      </c>
      <c r="Z327" s="1840"/>
    </row>
    <row r="328" spans="1:26">
      <c r="A328" s="1770"/>
      <c r="B328" s="1771"/>
      <c r="C328" s="1762">
        <f t="shared" si="74"/>
        <v>1</v>
      </c>
      <c r="D328" s="1769"/>
      <c r="E328" s="1762">
        <f t="shared" si="75"/>
        <v>1</v>
      </c>
      <c r="F328" s="1769"/>
      <c r="G328" s="1762">
        <f t="shared" si="76"/>
        <v>1</v>
      </c>
      <c r="H328" s="1769"/>
      <c r="I328" s="1762">
        <f t="shared" si="77"/>
        <v>1</v>
      </c>
      <c r="J328" s="1769"/>
      <c r="K328" s="1762">
        <f t="shared" si="78"/>
        <v>1</v>
      </c>
      <c r="L328" s="1769"/>
      <c r="M328" s="1762">
        <f t="shared" si="79"/>
        <v>1</v>
      </c>
      <c r="N328" s="1769"/>
      <c r="O328" s="1762">
        <f t="shared" si="80"/>
        <v>1</v>
      </c>
      <c r="P328" s="1769"/>
      <c r="Q328" s="1762">
        <f t="shared" si="81"/>
        <v>1</v>
      </c>
      <c r="R328" s="1833">
        <f ca="1" t="shared" si="86"/>
        <v>0</v>
      </c>
      <c r="S328" s="1716">
        <f ca="1" t="shared" si="87"/>
        <v>0</v>
      </c>
      <c r="T328" s="1768">
        <f ca="1" t="shared" si="88"/>
        <v>0</v>
      </c>
      <c r="U328" s="1838">
        <f t="shared" si="82"/>
        <v>0</v>
      </c>
      <c r="V328" s="1838">
        <f t="shared" si="83"/>
        <v>0</v>
      </c>
      <c r="W328" s="1840"/>
      <c r="X328" s="1838">
        <f t="shared" si="84"/>
        <v>0</v>
      </c>
      <c r="Y328" s="1838">
        <f t="shared" si="85"/>
        <v>0</v>
      </c>
      <c r="Z328" s="1840"/>
    </row>
    <row r="329" spans="1:26">
      <c r="A329" s="1770"/>
      <c r="B329" s="1771"/>
      <c r="C329" s="1762">
        <f t="shared" si="74"/>
        <v>1</v>
      </c>
      <c r="D329" s="1769"/>
      <c r="E329" s="1762">
        <f t="shared" si="75"/>
        <v>1</v>
      </c>
      <c r="F329" s="1769"/>
      <c r="G329" s="1762">
        <f t="shared" si="76"/>
        <v>1</v>
      </c>
      <c r="H329" s="1769"/>
      <c r="I329" s="1762">
        <f t="shared" si="77"/>
        <v>1</v>
      </c>
      <c r="J329" s="1769"/>
      <c r="K329" s="1762">
        <f t="shared" si="78"/>
        <v>1</v>
      </c>
      <c r="L329" s="1769"/>
      <c r="M329" s="1762">
        <f t="shared" si="79"/>
        <v>1</v>
      </c>
      <c r="N329" s="1769"/>
      <c r="O329" s="1762">
        <f t="shared" si="80"/>
        <v>1</v>
      </c>
      <c r="P329" s="1769"/>
      <c r="Q329" s="1762">
        <f t="shared" si="81"/>
        <v>1</v>
      </c>
      <c r="R329" s="1833">
        <f ca="1" t="shared" si="86"/>
        <v>0</v>
      </c>
      <c r="S329" s="1716">
        <f ca="1" t="shared" si="87"/>
        <v>0</v>
      </c>
      <c r="T329" s="1768">
        <f ca="1" t="shared" si="88"/>
        <v>0</v>
      </c>
      <c r="U329" s="1838">
        <f t="shared" si="82"/>
        <v>0</v>
      </c>
      <c r="V329" s="1838">
        <f t="shared" si="83"/>
        <v>0</v>
      </c>
      <c r="W329" s="1840"/>
      <c r="X329" s="1838">
        <f t="shared" si="84"/>
        <v>0</v>
      </c>
      <c r="Y329" s="1838">
        <f t="shared" si="85"/>
        <v>0</v>
      </c>
      <c r="Z329" s="1840"/>
    </row>
    <row r="330" spans="1:26">
      <c r="A330" s="1770"/>
      <c r="B330" s="1771"/>
      <c r="C330" s="1762">
        <f t="shared" si="74"/>
        <v>1</v>
      </c>
      <c r="D330" s="1769"/>
      <c r="E330" s="1762">
        <f t="shared" si="75"/>
        <v>1</v>
      </c>
      <c r="F330" s="1769"/>
      <c r="G330" s="1762">
        <f t="shared" si="76"/>
        <v>1</v>
      </c>
      <c r="H330" s="1769"/>
      <c r="I330" s="1762">
        <f t="shared" si="77"/>
        <v>1</v>
      </c>
      <c r="J330" s="1769"/>
      <c r="K330" s="1762">
        <f t="shared" si="78"/>
        <v>1</v>
      </c>
      <c r="L330" s="1769"/>
      <c r="M330" s="1762">
        <f t="shared" si="79"/>
        <v>1</v>
      </c>
      <c r="N330" s="1769"/>
      <c r="O330" s="1762">
        <f t="shared" si="80"/>
        <v>1</v>
      </c>
      <c r="P330" s="1769"/>
      <c r="Q330" s="1762">
        <f t="shared" si="81"/>
        <v>1</v>
      </c>
      <c r="R330" s="1833">
        <f ca="1" t="shared" si="86"/>
        <v>0</v>
      </c>
      <c r="S330" s="1716">
        <f ca="1" t="shared" si="87"/>
        <v>0</v>
      </c>
      <c r="T330" s="1768">
        <f ca="1" t="shared" si="88"/>
        <v>0</v>
      </c>
      <c r="U330" s="1838">
        <f t="shared" si="82"/>
        <v>0</v>
      </c>
      <c r="V330" s="1838">
        <f t="shared" si="83"/>
        <v>0</v>
      </c>
      <c r="W330" s="1840"/>
      <c r="X330" s="1838">
        <f t="shared" si="84"/>
        <v>0</v>
      </c>
      <c r="Y330" s="1838">
        <f t="shared" si="85"/>
        <v>0</v>
      </c>
      <c r="Z330" s="1840"/>
    </row>
    <row r="331" spans="1:26">
      <c r="A331" s="1770"/>
      <c r="B331" s="1771"/>
      <c r="C331" s="1762">
        <f t="shared" si="74"/>
        <v>1</v>
      </c>
      <c r="D331" s="1769"/>
      <c r="E331" s="1762">
        <f t="shared" si="75"/>
        <v>1</v>
      </c>
      <c r="F331" s="1769"/>
      <c r="G331" s="1762">
        <f t="shared" si="76"/>
        <v>1</v>
      </c>
      <c r="H331" s="1769"/>
      <c r="I331" s="1762">
        <f t="shared" si="77"/>
        <v>1</v>
      </c>
      <c r="J331" s="1769"/>
      <c r="K331" s="1762">
        <f t="shared" si="78"/>
        <v>1</v>
      </c>
      <c r="L331" s="1769"/>
      <c r="M331" s="1762">
        <f t="shared" si="79"/>
        <v>1</v>
      </c>
      <c r="N331" s="1769"/>
      <c r="O331" s="1762">
        <f t="shared" si="80"/>
        <v>1</v>
      </c>
      <c r="P331" s="1769"/>
      <c r="Q331" s="1762">
        <f t="shared" si="81"/>
        <v>1</v>
      </c>
      <c r="R331" s="1833">
        <f ca="1" t="shared" si="86"/>
        <v>0</v>
      </c>
      <c r="S331" s="1716">
        <f ca="1" t="shared" si="87"/>
        <v>0</v>
      </c>
      <c r="T331" s="1768">
        <f ca="1" t="shared" si="88"/>
        <v>0</v>
      </c>
      <c r="U331" s="1838">
        <f t="shared" si="82"/>
        <v>0</v>
      </c>
      <c r="V331" s="1838">
        <f t="shared" si="83"/>
        <v>0</v>
      </c>
      <c r="W331" s="1840"/>
      <c r="X331" s="1838">
        <f t="shared" si="84"/>
        <v>0</v>
      </c>
      <c r="Y331" s="1838">
        <f t="shared" si="85"/>
        <v>0</v>
      </c>
      <c r="Z331" s="1840"/>
    </row>
    <row r="332" spans="1:26">
      <c r="A332" s="1770"/>
      <c r="B332" s="1771"/>
      <c r="C332" s="1762">
        <f t="shared" si="74"/>
        <v>1</v>
      </c>
      <c r="D332" s="1769"/>
      <c r="E332" s="1762">
        <f t="shared" si="75"/>
        <v>1</v>
      </c>
      <c r="F332" s="1769"/>
      <c r="G332" s="1762">
        <f t="shared" si="76"/>
        <v>1</v>
      </c>
      <c r="H332" s="1769"/>
      <c r="I332" s="1762">
        <f t="shared" si="77"/>
        <v>1</v>
      </c>
      <c r="J332" s="1769"/>
      <c r="K332" s="1762">
        <f t="shared" si="78"/>
        <v>1</v>
      </c>
      <c r="L332" s="1769"/>
      <c r="M332" s="1762">
        <f t="shared" si="79"/>
        <v>1</v>
      </c>
      <c r="N332" s="1769"/>
      <c r="O332" s="1762">
        <f t="shared" si="80"/>
        <v>1</v>
      </c>
      <c r="P332" s="1769"/>
      <c r="Q332" s="1762">
        <f t="shared" si="81"/>
        <v>1</v>
      </c>
      <c r="R332" s="1833">
        <f ca="1" t="shared" si="86"/>
        <v>0</v>
      </c>
      <c r="S332" s="1716">
        <f ca="1" t="shared" si="87"/>
        <v>0</v>
      </c>
      <c r="T332" s="1768">
        <f ca="1" t="shared" si="88"/>
        <v>0</v>
      </c>
      <c r="U332" s="1838">
        <f t="shared" si="82"/>
        <v>0</v>
      </c>
      <c r="V332" s="1838">
        <f t="shared" si="83"/>
        <v>0</v>
      </c>
      <c r="W332" s="1840"/>
      <c r="X332" s="1838">
        <f t="shared" si="84"/>
        <v>0</v>
      </c>
      <c r="Y332" s="1838">
        <f t="shared" si="85"/>
        <v>0</v>
      </c>
      <c r="Z332" s="1840"/>
    </row>
    <row r="333" spans="1:26">
      <c r="A333" s="1770"/>
      <c r="B333" s="1771"/>
      <c r="C333" s="1762">
        <f t="shared" si="74"/>
        <v>1</v>
      </c>
      <c r="D333" s="1769"/>
      <c r="E333" s="1762">
        <f t="shared" si="75"/>
        <v>1</v>
      </c>
      <c r="F333" s="1769"/>
      <c r="G333" s="1762">
        <f t="shared" si="76"/>
        <v>1</v>
      </c>
      <c r="H333" s="1769"/>
      <c r="I333" s="1762">
        <f t="shared" si="77"/>
        <v>1</v>
      </c>
      <c r="J333" s="1769"/>
      <c r="K333" s="1762">
        <f t="shared" si="78"/>
        <v>1</v>
      </c>
      <c r="L333" s="1769"/>
      <c r="M333" s="1762">
        <f t="shared" si="79"/>
        <v>1</v>
      </c>
      <c r="N333" s="1769"/>
      <c r="O333" s="1762">
        <f t="shared" si="80"/>
        <v>1</v>
      </c>
      <c r="P333" s="1769"/>
      <c r="Q333" s="1762">
        <f t="shared" si="81"/>
        <v>1</v>
      </c>
      <c r="R333" s="1833">
        <f ca="1" t="shared" si="86"/>
        <v>0</v>
      </c>
      <c r="S333" s="1716">
        <f ca="1" t="shared" si="87"/>
        <v>0</v>
      </c>
      <c r="T333" s="1768">
        <f ca="1" t="shared" si="88"/>
        <v>0</v>
      </c>
      <c r="U333" s="1838">
        <f t="shared" si="82"/>
        <v>0</v>
      </c>
      <c r="V333" s="1838">
        <f t="shared" si="83"/>
        <v>0</v>
      </c>
      <c r="W333" s="1840"/>
      <c r="X333" s="1838">
        <f t="shared" si="84"/>
        <v>0</v>
      </c>
      <c r="Y333" s="1838">
        <f t="shared" si="85"/>
        <v>0</v>
      </c>
      <c r="Z333" s="1840"/>
    </row>
    <row r="334" spans="1:26">
      <c r="A334" s="1770"/>
      <c r="B334" s="1771"/>
      <c r="C334" s="1762">
        <f t="shared" si="74"/>
        <v>1</v>
      </c>
      <c r="D334" s="1769"/>
      <c r="E334" s="1762">
        <f t="shared" si="75"/>
        <v>1</v>
      </c>
      <c r="F334" s="1769"/>
      <c r="G334" s="1762">
        <f t="shared" si="76"/>
        <v>1</v>
      </c>
      <c r="H334" s="1769"/>
      <c r="I334" s="1762">
        <f t="shared" si="77"/>
        <v>1</v>
      </c>
      <c r="J334" s="1769"/>
      <c r="K334" s="1762">
        <f t="shared" si="78"/>
        <v>1</v>
      </c>
      <c r="L334" s="1769"/>
      <c r="M334" s="1762">
        <f t="shared" si="79"/>
        <v>1</v>
      </c>
      <c r="N334" s="1769"/>
      <c r="O334" s="1762">
        <f t="shared" si="80"/>
        <v>1</v>
      </c>
      <c r="P334" s="1769"/>
      <c r="Q334" s="1762">
        <f t="shared" si="81"/>
        <v>1</v>
      </c>
      <c r="R334" s="1833">
        <f ca="1" t="shared" si="86"/>
        <v>0</v>
      </c>
      <c r="S334" s="1716">
        <f ca="1" t="shared" si="87"/>
        <v>0</v>
      </c>
      <c r="T334" s="1768">
        <f ca="1" t="shared" si="88"/>
        <v>0</v>
      </c>
      <c r="U334" s="1838">
        <f t="shared" si="82"/>
        <v>0</v>
      </c>
      <c r="V334" s="1838">
        <f t="shared" si="83"/>
        <v>0</v>
      </c>
      <c r="W334" s="1840"/>
      <c r="X334" s="1838">
        <f t="shared" si="84"/>
        <v>0</v>
      </c>
      <c r="Y334" s="1838">
        <f t="shared" si="85"/>
        <v>0</v>
      </c>
      <c r="Z334" s="1840"/>
    </row>
    <row r="335" spans="1:26">
      <c r="A335" s="1770"/>
      <c r="B335" s="1771"/>
      <c r="C335" s="1762">
        <f t="shared" si="74"/>
        <v>1</v>
      </c>
      <c r="D335" s="1769"/>
      <c r="E335" s="1762">
        <f t="shared" si="75"/>
        <v>1</v>
      </c>
      <c r="F335" s="1769"/>
      <c r="G335" s="1762">
        <f t="shared" si="76"/>
        <v>1</v>
      </c>
      <c r="H335" s="1769"/>
      <c r="I335" s="1762">
        <f t="shared" si="77"/>
        <v>1</v>
      </c>
      <c r="J335" s="1769"/>
      <c r="K335" s="1762">
        <f t="shared" si="78"/>
        <v>1</v>
      </c>
      <c r="L335" s="1769"/>
      <c r="M335" s="1762">
        <f t="shared" si="79"/>
        <v>1</v>
      </c>
      <c r="N335" s="1769"/>
      <c r="O335" s="1762">
        <f t="shared" si="80"/>
        <v>1</v>
      </c>
      <c r="P335" s="1769"/>
      <c r="Q335" s="1762">
        <f t="shared" si="81"/>
        <v>1</v>
      </c>
      <c r="R335" s="1833">
        <f ca="1" t="shared" si="86"/>
        <v>0</v>
      </c>
      <c r="S335" s="1716">
        <f ca="1" t="shared" si="87"/>
        <v>0</v>
      </c>
      <c r="T335" s="1768">
        <f ca="1" t="shared" si="88"/>
        <v>0</v>
      </c>
      <c r="U335" s="1838">
        <f t="shared" si="82"/>
        <v>0</v>
      </c>
      <c r="V335" s="1838">
        <f t="shared" si="83"/>
        <v>0</v>
      </c>
      <c r="W335" s="1840"/>
      <c r="X335" s="1838">
        <f t="shared" si="84"/>
        <v>0</v>
      </c>
      <c r="Y335" s="1838">
        <f t="shared" si="85"/>
        <v>0</v>
      </c>
      <c r="Z335" s="1840"/>
    </row>
    <row r="336" spans="1:26">
      <c r="A336" s="1770"/>
      <c r="B336" s="1771"/>
      <c r="C336" s="1762">
        <f t="shared" si="74"/>
        <v>1</v>
      </c>
      <c r="D336" s="1769"/>
      <c r="E336" s="1762">
        <f t="shared" si="75"/>
        <v>1</v>
      </c>
      <c r="F336" s="1769"/>
      <c r="G336" s="1762">
        <f t="shared" si="76"/>
        <v>1</v>
      </c>
      <c r="H336" s="1769"/>
      <c r="I336" s="1762">
        <f t="shared" si="77"/>
        <v>1</v>
      </c>
      <c r="J336" s="1769"/>
      <c r="K336" s="1762">
        <f t="shared" si="78"/>
        <v>1</v>
      </c>
      <c r="L336" s="1769"/>
      <c r="M336" s="1762">
        <f t="shared" si="79"/>
        <v>1</v>
      </c>
      <c r="N336" s="1769"/>
      <c r="O336" s="1762">
        <f t="shared" si="80"/>
        <v>1</v>
      </c>
      <c r="P336" s="1769"/>
      <c r="Q336" s="1762">
        <f t="shared" si="81"/>
        <v>1</v>
      </c>
      <c r="R336" s="1833">
        <f ca="1" t="shared" si="86"/>
        <v>0</v>
      </c>
      <c r="S336" s="1716">
        <f ca="1" t="shared" si="87"/>
        <v>0</v>
      </c>
      <c r="T336" s="1768">
        <f ca="1" t="shared" si="88"/>
        <v>0</v>
      </c>
      <c r="U336" s="1838">
        <f t="shared" si="82"/>
        <v>0</v>
      </c>
      <c r="V336" s="1838">
        <f t="shared" si="83"/>
        <v>0</v>
      </c>
      <c r="W336" s="1840"/>
      <c r="X336" s="1838">
        <f t="shared" si="84"/>
        <v>0</v>
      </c>
      <c r="Y336" s="1838">
        <f t="shared" si="85"/>
        <v>0</v>
      </c>
      <c r="Z336" s="1840"/>
    </row>
    <row r="337" spans="1:26">
      <c r="A337" s="1770"/>
      <c r="B337" s="1771"/>
      <c r="C337" s="1762">
        <f t="shared" si="74"/>
        <v>1</v>
      </c>
      <c r="D337" s="1769"/>
      <c r="E337" s="1762">
        <f t="shared" si="75"/>
        <v>1</v>
      </c>
      <c r="F337" s="1769"/>
      <c r="G337" s="1762">
        <f t="shared" si="76"/>
        <v>1</v>
      </c>
      <c r="H337" s="1769"/>
      <c r="I337" s="1762">
        <f t="shared" si="77"/>
        <v>1</v>
      </c>
      <c r="J337" s="1769"/>
      <c r="K337" s="1762">
        <f t="shared" si="78"/>
        <v>1</v>
      </c>
      <c r="L337" s="1769"/>
      <c r="M337" s="1762">
        <f t="shared" si="79"/>
        <v>1</v>
      </c>
      <c r="N337" s="1769"/>
      <c r="O337" s="1762">
        <f t="shared" si="80"/>
        <v>1</v>
      </c>
      <c r="P337" s="1769"/>
      <c r="Q337" s="1762">
        <f t="shared" si="81"/>
        <v>1</v>
      </c>
      <c r="R337" s="1833">
        <f ca="1" t="shared" si="86"/>
        <v>0</v>
      </c>
      <c r="S337" s="1716">
        <f ca="1" t="shared" si="87"/>
        <v>0</v>
      </c>
      <c r="T337" s="1768">
        <f ca="1" t="shared" si="88"/>
        <v>0</v>
      </c>
      <c r="U337" s="1838">
        <f t="shared" si="82"/>
        <v>0</v>
      </c>
      <c r="V337" s="1838">
        <f t="shared" si="83"/>
        <v>0</v>
      </c>
      <c r="W337" s="1840"/>
      <c r="X337" s="1838">
        <f t="shared" si="84"/>
        <v>0</v>
      </c>
      <c r="Y337" s="1838">
        <f t="shared" si="85"/>
        <v>0</v>
      </c>
      <c r="Z337" s="1840"/>
    </row>
    <row r="338" spans="1:26">
      <c r="A338" s="1770"/>
      <c r="B338" s="1771"/>
      <c r="C338" s="1762">
        <f t="shared" si="74"/>
        <v>1</v>
      </c>
      <c r="D338" s="1769"/>
      <c r="E338" s="1762">
        <f t="shared" si="75"/>
        <v>1</v>
      </c>
      <c r="F338" s="1769"/>
      <c r="G338" s="1762">
        <f t="shared" si="76"/>
        <v>1</v>
      </c>
      <c r="H338" s="1769"/>
      <c r="I338" s="1762">
        <f t="shared" si="77"/>
        <v>1</v>
      </c>
      <c r="J338" s="1769"/>
      <c r="K338" s="1762">
        <f t="shared" si="78"/>
        <v>1</v>
      </c>
      <c r="L338" s="1769"/>
      <c r="M338" s="1762">
        <f t="shared" si="79"/>
        <v>1</v>
      </c>
      <c r="N338" s="1769"/>
      <c r="O338" s="1762">
        <f t="shared" si="80"/>
        <v>1</v>
      </c>
      <c r="P338" s="1769"/>
      <c r="Q338" s="1762">
        <f t="shared" si="81"/>
        <v>1</v>
      </c>
      <c r="R338" s="1833">
        <f ca="1" t="shared" si="86"/>
        <v>0</v>
      </c>
      <c r="S338" s="1716">
        <f ca="1" t="shared" si="87"/>
        <v>0</v>
      </c>
      <c r="T338" s="1768">
        <f ca="1" t="shared" si="88"/>
        <v>0</v>
      </c>
      <c r="U338" s="1838">
        <f t="shared" si="82"/>
        <v>0</v>
      </c>
      <c r="V338" s="1838">
        <f t="shared" si="83"/>
        <v>0</v>
      </c>
      <c r="W338" s="1840"/>
      <c r="X338" s="1838">
        <f t="shared" si="84"/>
        <v>0</v>
      </c>
      <c r="Y338" s="1838">
        <f t="shared" si="85"/>
        <v>0</v>
      </c>
      <c r="Z338" s="1840"/>
    </row>
    <row r="339" spans="1:26">
      <c r="A339" s="1770"/>
      <c r="B339" s="1771"/>
      <c r="C339" s="1762">
        <f t="shared" si="74"/>
        <v>1</v>
      </c>
      <c r="D339" s="1769"/>
      <c r="E339" s="1762">
        <f t="shared" si="75"/>
        <v>1</v>
      </c>
      <c r="F339" s="1769"/>
      <c r="G339" s="1762">
        <f t="shared" si="76"/>
        <v>1</v>
      </c>
      <c r="H339" s="1769"/>
      <c r="I339" s="1762">
        <f t="shared" si="77"/>
        <v>1</v>
      </c>
      <c r="J339" s="1769"/>
      <c r="K339" s="1762">
        <f t="shared" si="78"/>
        <v>1</v>
      </c>
      <c r="L339" s="1769"/>
      <c r="M339" s="1762">
        <f t="shared" si="79"/>
        <v>1</v>
      </c>
      <c r="N339" s="1769"/>
      <c r="O339" s="1762">
        <f t="shared" si="80"/>
        <v>1</v>
      </c>
      <c r="P339" s="1769"/>
      <c r="Q339" s="1762">
        <f t="shared" si="81"/>
        <v>1</v>
      </c>
      <c r="R339" s="1833">
        <f ca="1" t="shared" si="86"/>
        <v>0</v>
      </c>
      <c r="S339" s="1716">
        <f ca="1" t="shared" si="87"/>
        <v>0</v>
      </c>
      <c r="T339" s="1768">
        <f ca="1" t="shared" si="88"/>
        <v>0</v>
      </c>
      <c r="U339" s="1838">
        <f t="shared" si="82"/>
        <v>0</v>
      </c>
      <c r="V339" s="1838">
        <f t="shared" si="83"/>
        <v>0</v>
      </c>
      <c r="W339" s="1840"/>
      <c r="X339" s="1838">
        <f t="shared" si="84"/>
        <v>0</v>
      </c>
      <c r="Y339" s="1838">
        <f t="shared" si="85"/>
        <v>0</v>
      </c>
      <c r="Z339" s="1840"/>
    </row>
    <row r="340" spans="1:26">
      <c r="A340" s="1770"/>
      <c r="B340" s="1771"/>
      <c r="C340" s="1762">
        <f t="shared" si="74"/>
        <v>1</v>
      </c>
      <c r="D340" s="1769"/>
      <c r="E340" s="1762">
        <f t="shared" si="75"/>
        <v>1</v>
      </c>
      <c r="F340" s="1769"/>
      <c r="G340" s="1762">
        <f t="shared" si="76"/>
        <v>1</v>
      </c>
      <c r="H340" s="1769"/>
      <c r="I340" s="1762">
        <f t="shared" si="77"/>
        <v>1</v>
      </c>
      <c r="J340" s="1769"/>
      <c r="K340" s="1762">
        <f t="shared" si="78"/>
        <v>1</v>
      </c>
      <c r="L340" s="1769"/>
      <c r="M340" s="1762">
        <f t="shared" si="79"/>
        <v>1</v>
      </c>
      <c r="N340" s="1769"/>
      <c r="O340" s="1762">
        <f t="shared" si="80"/>
        <v>1</v>
      </c>
      <c r="P340" s="1769"/>
      <c r="Q340" s="1762">
        <f t="shared" si="81"/>
        <v>1</v>
      </c>
      <c r="R340" s="1833">
        <f ca="1" t="shared" si="86"/>
        <v>0</v>
      </c>
      <c r="S340" s="1716">
        <f ca="1" t="shared" si="87"/>
        <v>0</v>
      </c>
      <c r="T340" s="1768">
        <f ca="1" t="shared" si="88"/>
        <v>0</v>
      </c>
      <c r="U340" s="1838">
        <f t="shared" si="82"/>
        <v>0</v>
      </c>
      <c r="V340" s="1838">
        <f t="shared" si="83"/>
        <v>0</v>
      </c>
      <c r="W340" s="1840"/>
      <c r="X340" s="1838">
        <f t="shared" si="84"/>
        <v>0</v>
      </c>
      <c r="Y340" s="1838">
        <f t="shared" si="85"/>
        <v>0</v>
      </c>
      <c r="Z340" s="1840"/>
    </row>
    <row r="341" spans="1:26">
      <c r="A341" s="1770"/>
      <c r="B341" s="1771"/>
      <c r="C341" s="1762">
        <f t="shared" si="74"/>
        <v>1</v>
      </c>
      <c r="D341" s="1769"/>
      <c r="E341" s="1762">
        <f t="shared" si="75"/>
        <v>1</v>
      </c>
      <c r="F341" s="1769"/>
      <c r="G341" s="1762">
        <f t="shared" si="76"/>
        <v>1</v>
      </c>
      <c r="H341" s="1769"/>
      <c r="I341" s="1762">
        <f t="shared" si="77"/>
        <v>1</v>
      </c>
      <c r="J341" s="1769"/>
      <c r="K341" s="1762">
        <f t="shared" si="78"/>
        <v>1</v>
      </c>
      <c r="L341" s="1769"/>
      <c r="M341" s="1762">
        <f t="shared" si="79"/>
        <v>1</v>
      </c>
      <c r="N341" s="1769"/>
      <c r="O341" s="1762">
        <f t="shared" si="80"/>
        <v>1</v>
      </c>
      <c r="P341" s="1769"/>
      <c r="Q341" s="1762">
        <f t="shared" si="81"/>
        <v>1</v>
      </c>
      <c r="R341" s="1833">
        <f ca="1" t="shared" si="86"/>
        <v>0</v>
      </c>
      <c r="S341" s="1716">
        <f ca="1" t="shared" si="87"/>
        <v>0</v>
      </c>
      <c r="T341" s="1768">
        <f ca="1" t="shared" si="88"/>
        <v>0</v>
      </c>
      <c r="U341" s="1838">
        <f t="shared" si="82"/>
        <v>0</v>
      </c>
      <c r="V341" s="1838">
        <f t="shared" si="83"/>
        <v>0</v>
      </c>
      <c r="W341" s="1840"/>
      <c r="X341" s="1838">
        <f t="shared" si="84"/>
        <v>0</v>
      </c>
      <c r="Y341" s="1838">
        <f t="shared" si="85"/>
        <v>0</v>
      </c>
      <c r="Z341" s="1840"/>
    </row>
    <row r="342" spans="1:26">
      <c r="A342" s="1770"/>
      <c r="B342" s="1771"/>
      <c r="C342" s="1762">
        <f t="shared" si="74"/>
        <v>1</v>
      </c>
      <c r="D342" s="1769"/>
      <c r="E342" s="1762">
        <f t="shared" si="75"/>
        <v>1</v>
      </c>
      <c r="F342" s="1769"/>
      <c r="G342" s="1762">
        <f t="shared" si="76"/>
        <v>1</v>
      </c>
      <c r="H342" s="1769"/>
      <c r="I342" s="1762">
        <f t="shared" si="77"/>
        <v>1</v>
      </c>
      <c r="J342" s="1769"/>
      <c r="K342" s="1762">
        <f t="shared" si="78"/>
        <v>1</v>
      </c>
      <c r="L342" s="1769"/>
      <c r="M342" s="1762">
        <f t="shared" si="79"/>
        <v>1</v>
      </c>
      <c r="N342" s="1769"/>
      <c r="O342" s="1762">
        <f t="shared" si="80"/>
        <v>1</v>
      </c>
      <c r="P342" s="1769"/>
      <c r="Q342" s="1762">
        <f t="shared" si="81"/>
        <v>1</v>
      </c>
      <c r="R342" s="1833">
        <f ca="1" t="shared" si="86"/>
        <v>0</v>
      </c>
      <c r="S342" s="1716">
        <f ca="1" t="shared" si="87"/>
        <v>0</v>
      </c>
      <c r="T342" s="1768">
        <f ca="1" t="shared" si="88"/>
        <v>0</v>
      </c>
      <c r="U342" s="1838">
        <f t="shared" si="82"/>
        <v>0</v>
      </c>
      <c r="V342" s="1838">
        <f t="shared" si="83"/>
        <v>0</v>
      </c>
      <c r="W342" s="1840"/>
      <c r="X342" s="1838">
        <f t="shared" si="84"/>
        <v>0</v>
      </c>
      <c r="Y342" s="1838">
        <f t="shared" si="85"/>
        <v>0</v>
      </c>
      <c r="Z342" s="1840"/>
    </row>
    <row r="343" spans="1:26">
      <c r="A343" s="1770"/>
      <c r="B343" s="1771"/>
      <c r="C343" s="1762">
        <f t="shared" si="74"/>
        <v>1</v>
      </c>
      <c r="D343" s="1769"/>
      <c r="E343" s="1762">
        <f t="shared" si="75"/>
        <v>1</v>
      </c>
      <c r="F343" s="1769"/>
      <c r="G343" s="1762">
        <f t="shared" si="76"/>
        <v>1</v>
      </c>
      <c r="H343" s="1769"/>
      <c r="I343" s="1762">
        <f t="shared" si="77"/>
        <v>1</v>
      </c>
      <c r="J343" s="1769"/>
      <c r="K343" s="1762">
        <f t="shared" si="78"/>
        <v>1</v>
      </c>
      <c r="L343" s="1769"/>
      <c r="M343" s="1762">
        <f t="shared" si="79"/>
        <v>1</v>
      </c>
      <c r="N343" s="1769"/>
      <c r="O343" s="1762">
        <f t="shared" si="80"/>
        <v>1</v>
      </c>
      <c r="P343" s="1769"/>
      <c r="Q343" s="1762">
        <f t="shared" si="81"/>
        <v>1</v>
      </c>
      <c r="R343" s="1833">
        <f ca="1" t="shared" si="86"/>
        <v>0</v>
      </c>
      <c r="S343" s="1716">
        <f ca="1" t="shared" si="87"/>
        <v>0</v>
      </c>
      <c r="T343" s="1768">
        <f ca="1" t="shared" si="88"/>
        <v>0</v>
      </c>
      <c r="U343" s="1838">
        <f t="shared" si="82"/>
        <v>0</v>
      </c>
      <c r="V343" s="1838">
        <f t="shared" si="83"/>
        <v>0</v>
      </c>
      <c r="W343" s="1840"/>
      <c r="X343" s="1838">
        <f t="shared" si="84"/>
        <v>0</v>
      </c>
      <c r="Y343" s="1838">
        <f t="shared" si="85"/>
        <v>0</v>
      </c>
      <c r="Z343" s="1840"/>
    </row>
    <row r="344" spans="1:26">
      <c r="A344" s="1770"/>
      <c r="B344" s="1771"/>
      <c r="C344" s="1762">
        <f t="shared" si="74"/>
        <v>1</v>
      </c>
      <c r="D344" s="1769"/>
      <c r="E344" s="1762">
        <f t="shared" si="75"/>
        <v>1</v>
      </c>
      <c r="F344" s="1769"/>
      <c r="G344" s="1762">
        <f t="shared" si="76"/>
        <v>1</v>
      </c>
      <c r="H344" s="1769"/>
      <c r="I344" s="1762">
        <f t="shared" si="77"/>
        <v>1</v>
      </c>
      <c r="J344" s="1769"/>
      <c r="K344" s="1762">
        <f t="shared" si="78"/>
        <v>1</v>
      </c>
      <c r="L344" s="1769"/>
      <c r="M344" s="1762">
        <f t="shared" si="79"/>
        <v>1</v>
      </c>
      <c r="N344" s="1769"/>
      <c r="O344" s="1762">
        <f t="shared" si="80"/>
        <v>1</v>
      </c>
      <c r="P344" s="1769"/>
      <c r="Q344" s="1762">
        <f t="shared" si="81"/>
        <v>1</v>
      </c>
      <c r="R344" s="1833">
        <f ca="1" t="shared" si="86"/>
        <v>0</v>
      </c>
      <c r="S344" s="1716">
        <f ca="1" t="shared" si="87"/>
        <v>0</v>
      </c>
      <c r="T344" s="1768">
        <f ca="1" t="shared" si="88"/>
        <v>0</v>
      </c>
      <c r="U344" s="1838">
        <f t="shared" si="82"/>
        <v>0</v>
      </c>
      <c r="V344" s="1838">
        <f t="shared" si="83"/>
        <v>0</v>
      </c>
      <c r="W344" s="1840"/>
      <c r="X344" s="1838">
        <f t="shared" si="84"/>
        <v>0</v>
      </c>
      <c r="Y344" s="1838">
        <f t="shared" si="85"/>
        <v>0</v>
      </c>
      <c r="Z344" s="1840"/>
    </row>
    <row r="345" spans="1:26">
      <c r="A345" s="1770"/>
      <c r="B345" s="1771"/>
      <c r="C345" s="1762">
        <f t="shared" si="74"/>
        <v>1</v>
      </c>
      <c r="D345" s="1769"/>
      <c r="E345" s="1762">
        <f t="shared" si="75"/>
        <v>1</v>
      </c>
      <c r="F345" s="1769"/>
      <c r="G345" s="1762">
        <f t="shared" si="76"/>
        <v>1</v>
      </c>
      <c r="H345" s="1769"/>
      <c r="I345" s="1762">
        <f t="shared" si="77"/>
        <v>1</v>
      </c>
      <c r="J345" s="1769"/>
      <c r="K345" s="1762">
        <f t="shared" si="78"/>
        <v>1</v>
      </c>
      <c r="L345" s="1769"/>
      <c r="M345" s="1762">
        <f t="shared" si="79"/>
        <v>1</v>
      </c>
      <c r="N345" s="1769"/>
      <c r="O345" s="1762">
        <f t="shared" si="80"/>
        <v>1</v>
      </c>
      <c r="P345" s="1769"/>
      <c r="Q345" s="1762">
        <f t="shared" si="81"/>
        <v>1</v>
      </c>
      <c r="R345" s="1833">
        <f ca="1" t="shared" si="86"/>
        <v>0</v>
      </c>
      <c r="S345" s="1716">
        <f ca="1" t="shared" si="87"/>
        <v>0</v>
      </c>
      <c r="T345" s="1768">
        <f ca="1" t="shared" si="88"/>
        <v>0</v>
      </c>
      <c r="U345" s="1838">
        <f t="shared" si="82"/>
        <v>0</v>
      </c>
      <c r="V345" s="1838">
        <f t="shared" si="83"/>
        <v>0</v>
      </c>
      <c r="W345" s="1840"/>
      <c r="X345" s="1838">
        <f t="shared" si="84"/>
        <v>0</v>
      </c>
      <c r="Y345" s="1838">
        <f t="shared" si="85"/>
        <v>0</v>
      </c>
      <c r="Z345" s="1840"/>
    </row>
    <row r="346" spans="1:26">
      <c r="A346" s="1770"/>
      <c r="B346" s="1771"/>
      <c r="C346" s="1762">
        <f t="shared" si="74"/>
        <v>1</v>
      </c>
      <c r="D346" s="1769"/>
      <c r="E346" s="1762">
        <f t="shared" si="75"/>
        <v>1</v>
      </c>
      <c r="F346" s="1769"/>
      <c r="G346" s="1762">
        <f t="shared" si="76"/>
        <v>1</v>
      </c>
      <c r="H346" s="1769"/>
      <c r="I346" s="1762">
        <f t="shared" si="77"/>
        <v>1</v>
      </c>
      <c r="J346" s="1769"/>
      <c r="K346" s="1762">
        <f t="shared" si="78"/>
        <v>1</v>
      </c>
      <c r="L346" s="1769"/>
      <c r="M346" s="1762">
        <f t="shared" si="79"/>
        <v>1</v>
      </c>
      <c r="N346" s="1769"/>
      <c r="O346" s="1762">
        <f t="shared" si="80"/>
        <v>1</v>
      </c>
      <c r="P346" s="1769"/>
      <c r="Q346" s="1762">
        <f t="shared" si="81"/>
        <v>1</v>
      </c>
      <c r="R346" s="1833">
        <f ca="1" t="shared" si="86"/>
        <v>0</v>
      </c>
      <c r="S346" s="1716">
        <f ca="1" t="shared" si="87"/>
        <v>0</v>
      </c>
      <c r="T346" s="1768">
        <f ca="1" t="shared" si="88"/>
        <v>0</v>
      </c>
      <c r="U346" s="1838">
        <f t="shared" si="82"/>
        <v>0</v>
      </c>
      <c r="V346" s="1838">
        <f t="shared" si="83"/>
        <v>0</v>
      </c>
      <c r="W346" s="1840"/>
      <c r="X346" s="1838">
        <f t="shared" si="84"/>
        <v>0</v>
      </c>
      <c r="Y346" s="1838">
        <f t="shared" si="85"/>
        <v>0</v>
      </c>
      <c r="Z346" s="1840"/>
    </row>
    <row r="347" spans="1:26">
      <c r="A347" s="1770"/>
      <c r="B347" s="1771"/>
      <c r="C347" s="1762">
        <f t="shared" si="74"/>
        <v>1</v>
      </c>
      <c r="D347" s="1769"/>
      <c r="E347" s="1762">
        <f t="shared" si="75"/>
        <v>1</v>
      </c>
      <c r="F347" s="1769"/>
      <c r="G347" s="1762">
        <f t="shared" si="76"/>
        <v>1</v>
      </c>
      <c r="H347" s="1769"/>
      <c r="I347" s="1762">
        <f t="shared" si="77"/>
        <v>1</v>
      </c>
      <c r="J347" s="1769"/>
      <c r="K347" s="1762">
        <f t="shared" si="78"/>
        <v>1</v>
      </c>
      <c r="L347" s="1769"/>
      <c r="M347" s="1762">
        <f t="shared" si="79"/>
        <v>1</v>
      </c>
      <c r="N347" s="1769"/>
      <c r="O347" s="1762">
        <f t="shared" si="80"/>
        <v>1</v>
      </c>
      <c r="P347" s="1769"/>
      <c r="Q347" s="1762">
        <f t="shared" si="81"/>
        <v>1</v>
      </c>
      <c r="R347" s="1833">
        <f ca="1" t="shared" si="86"/>
        <v>0</v>
      </c>
      <c r="S347" s="1716">
        <f ca="1" t="shared" si="87"/>
        <v>0</v>
      </c>
      <c r="T347" s="1768">
        <f ca="1" t="shared" si="88"/>
        <v>0</v>
      </c>
      <c r="U347" s="1838">
        <f t="shared" si="82"/>
        <v>0</v>
      </c>
      <c r="V347" s="1838">
        <f t="shared" si="83"/>
        <v>0</v>
      </c>
      <c r="W347" s="1840"/>
      <c r="X347" s="1838">
        <f t="shared" si="84"/>
        <v>0</v>
      </c>
      <c r="Y347" s="1838">
        <f t="shared" si="85"/>
        <v>0</v>
      </c>
      <c r="Z347" s="1840"/>
    </row>
    <row r="348" spans="1:26">
      <c r="A348" s="1770"/>
      <c r="B348" s="1771"/>
      <c r="C348" s="1762">
        <f t="shared" ref="C348:C411" si="89">IF(B348="",1,(LOOKUP(B348,$6:$6,$7:$7)-LOOKUP($B$27,$6:$6,$7:$7)+100)/100)</f>
        <v>1</v>
      </c>
      <c r="D348" s="1769"/>
      <c r="E348" s="1762">
        <f t="shared" ref="E348:E411" si="90">(SUMIF($8:$8,D348,$9:$9)-SUMIF($8:$8,$D$27,$9:$9)+100)/100</f>
        <v>1</v>
      </c>
      <c r="F348" s="1769"/>
      <c r="G348" s="1762">
        <f t="shared" ref="G348:G411" si="91">(SUMIF($10:$10,F348,$11:$11)-SUMIF($10:$10,$F$27,$11:$11)+100)/100</f>
        <v>1</v>
      </c>
      <c r="H348" s="1769"/>
      <c r="I348" s="1762">
        <f t="shared" ref="I348:I411" si="92">(SUMIF($12:$12,H348,$13:$13)-SUMIF($12:$12,$H$27,$13:$13)+100)/100</f>
        <v>1</v>
      </c>
      <c r="J348" s="1769"/>
      <c r="K348" s="1762">
        <f t="shared" ref="K348:K411" si="93">(SUMIF($14:$14,J348,$15:$15)-SUMIF($14:$14,$J$27,$15:$15)+100)/100</f>
        <v>1</v>
      </c>
      <c r="L348" s="1769"/>
      <c r="M348" s="1762">
        <f t="shared" ref="M348:M411" si="94">(SUMIF($16:$16,L348,$17:$17)-SUMIF($16:$16,$L$27,$17:$17)+100)/100</f>
        <v>1</v>
      </c>
      <c r="N348" s="1769"/>
      <c r="O348" s="1762">
        <f t="shared" ref="O348:O411" si="95">(SUMIF($18:$18,N348,$19:$19)-SUMIF($18:$18,$N$27,$19:$19)+100)/100</f>
        <v>1</v>
      </c>
      <c r="P348" s="1769"/>
      <c r="Q348" s="1762">
        <f t="shared" ref="Q348:Q411" si="96">(SUMIF($20:$20,P348,$21:$21)-SUMIF($20:$20,$P$27,$21:$21)+100)/100</f>
        <v>1</v>
      </c>
      <c r="R348" s="1833">
        <f ca="1" t="shared" si="86"/>
        <v>0</v>
      </c>
      <c r="S348" s="1716">
        <f ca="1" t="shared" si="87"/>
        <v>0</v>
      </c>
      <c r="T348" s="1768">
        <f ca="1" t="shared" si="88"/>
        <v>0</v>
      </c>
      <c r="U348" s="1838">
        <f t="shared" ref="U348:U411" si="97">ROUND(W348*B348,0)</f>
        <v>0</v>
      </c>
      <c r="V348" s="1838">
        <f t="shared" ref="V348:V411" si="98">ROUND(W348*B348/10000,0)</f>
        <v>0</v>
      </c>
      <c r="W348" s="1840"/>
      <c r="X348" s="1838">
        <f t="shared" ref="X348:X411" si="99">ROUND(Z348*B348,0)</f>
        <v>0</v>
      </c>
      <c r="Y348" s="1838">
        <f t="shared" ref="Y348:Y411" si="100">ROUND(Z348*B348/10000,0)</f>
        <v>0</v>
      </c>
      <c r="Z348" s="1840"/>
    </row>
    <row r="349" spans="1:26">
      <c r="A349" s="1770"/>
      <c r="B349" s="1771"/>
      <c r="C349" s="1762">
        <f t="shared" si="89"/>
        <v>1</v>
      </c>
      <c r="D349" s="1769"/>
      <c r="E349" s="1762">
        <f t="shared" si="90"/>
        <v>1</v>
      </c>
      <c r="F349" s="1769"/>
      <c r="G349" s="1762">
        <f t="shared" si="91"/>
        <v>1</v>
      </c>
      <c r="H349" s="1769"/>
      <c r="I349" s="1762">
        <f t="shared" si="92"/>
        <v>1</v>
      </c>
      <c r="J349" s="1769"/>
      <c r="K349" s="1762">
        <f t="shared" si="93"/>
        <v>1</v>
      </c>
      <c r="L349" s="1769"/>
      <c r="M349" s="1762">
        <f t="shared" si="94"/>
        <v>1</v>
      </c>
      <c r="N349" s="1769"/>
      <c r="O349" s="1762">
        <f t="shared" si="95"/>
        <v>1</v>
      </c>
      <c r="P349" s="1769"/>
      <c r="Q349" s="1762">
        <f t="shared" si="96"/>
        <v>1</v>
      </c>
      <c r="R349" s="1833">
        <f ca="1" t="shared" ref="R349:R412" si="101">IF(B349="",0,ROUND($R$27*C349*E349*G349*I349*K349*M349*O349*Q349,0))</f>
        <v>0</v>
      </c>
      <c r="S349" s="1716">
        <f ca="1" t="shared" ref="S349:S412" si="102">ROUND(R349*B349,0)</f>
        <v>0</v>
      </c>
      <c r="T349" s="1768">
        <f ca="1" t="shared" ref="T349:T412" si="103">ROUND(R349*B349/10000,0)</f>
        <v>0</v>
      </c>
      <c r="U349" s="1838">
        <f t="shared" si="97"/>
        <v>0</v>
      </c>
      <c r="V349" s="1838">
        <f t="shared" si="98"/>
        <v>0</v>
      </c>
      <c r="W349" s="1840"/>
      <c r="X349" s="1838">
        <f t="shared" si="99"/>
        <v>0</v>
      </c>
      <c r="Y349" s="1838">
        <f t="shared" si="100"/>
        <v>0</v>
      </c>
      <c r="Z349" s="1840"/>
    </row>
    <row r="350" spans="1:26">
      <c r="A350" s="1770"/>
      <c r="B350" s="1771"/>
      <c r="C350" s="1762">
        <f t="shared" si="89"/>
        <v>1</v>
      </c>
      <c r="D350" s="1769"/>
      <c r="E350" s="1762">
        <f t="shared" si="90"/>
        <v>1</v>
      </c>
      <c r="F350" s="1769"/>
      <c r="G350" s="1762">
        <f t="shared" si="91"/>
        <v>1</v>
      </c>
      <c r="H350" s="1769"/>
      <c r="I350" s="1762">
        <f t="shared" si="92"/>
        <v>1</v>
      </c>
      <c r="J350" s="1769"/>
      <c r="K350" s="1762">
        <f t="shared" si="93"/>
        <v>1</v>
      </c>
      <c r="L350" s="1769"/>
      <c r="M350" s="1762">
        <f t="shared" si="94"/>
        <v>1</v>
      </c>
      <c r="N350" s="1769"/>
      <c r="O350" s="1762">
        <f t="shared" si="95"/>
        <v>1</v>
      </c>
      <c r="P350" s="1769"/>
      <c r="Q350" s="1762">
        <f t="shared" si="96"/>
        <v>1</v>
      </c>
      <c r="R350" s="1833">
        <f ca="1" t="shared" si="101"/>
        <v>0</v>
      </c>
      <c r="S350" s="1716">
        <f ca="1" t="shared" si="102"/>
        <v>0</v>
      </c>
      <c r="T350" s="1768">
        <f ca="1" t="shared" si="103"/>
        <v>0</v>
      </c>
      <c r="U350" s="1838">
        <f t="shared" si="97"/>
        <v>0</v>
      </c>
      <c r="V350" s="1838">
        <f t="shared" si="98"/>
        <v>0</v>
      </c>
      <c r="W350" s="1840"/>
      <c r="X350" s="1838">
        <f t="shared" si="99"/>
        <v>0</v>
      </c>
      <c r="Y350" s="1838">
        <f t="shared" si="100"/>
        <v>0</v>
      </c>
      <c r="Z350" s="1840"/>
    </row>
    <row r="351" spans="1:26">
      <c r="A351" s="1770"/>
      <c r="B351" s="1771"/>
      <c r="C351" s="1762">
        <f t="shared" si="89"/>
        <v>1</v>
      </c>
      <c r="D351" s="1769"/>
      <c r="E351" s="1762">
        <f t="shared" si="90"/>
        <v>1</v>
      </c>
      <c r="F351" s="1769"/>
      <c r="G351" s="1762">
        <f t="shared" si="91"/>
        <v>1</v>
      </c>
      <c r="H351" s="1769"/>
      <c r="I351" s="1762">
        <f t="shared" si="92"/>
        <v>1</v>
      </c>
      <c r="J351" s="1769"/>
      <c r="K351" s="1762">
        <f t="shared" si="93"/>
        <v>1</v>
      </c>
      <c r="L351" s="1769"/>
      <c r="M351" s="1762">
        <f t="shared" si="94"/>
        <v>1</v>
      </c>
      <c r="N351" s="1769"/>
      <c r="O351" s="1762">
        <f t="shared" si="95"/>
        <v>1</v>
      </c>
      <c r="P351" s="1769"/>
      <c r="Q351" s="1762">
        <f t="shared" si="96"/>
        <v>1</v>
      </c>
      <c r="R351" s="1833">
        <f ca="1" t="shared" si="101"/>
        <v>0</v>
      </c>
      <c r="S351" s="1716">
        <f ca="1" t="shared" si="102"/>
        <v>0</v>
      </c>
      <c r="T351" s="1768">
        <f ca="1" t="shared" si="103"/>
        <v>0</v>
      </c>
      <c r="U351" s="1838">
        <f t="shared" si="97"/>
        <v>0</v>
      </c>
      <c r="V351" s="1838">
        <f t="shared" si="98"/>
        <v>0</v>
      </c>
      <c r="W351" s="1840"/>
      <c r="X351" s="1838">
        <f t="shared" si="99"/>
        <v>0</v>
      </c>
      <c r="Y351" s="1838">
        <f t="shared" si="100"/>
        <v>0</v>
      </c>
      <c r="Z351" s="1840"/>
    </row>
    <row r="352" spans="1:26">
      <c r="A352" s="1770"/>
      <c r="B352" s="1771"/>
      <c r="C352" s="1762">
        <f t="shared" si="89"/>
        <v>1</v>
      </c>
      <c r="D352" s="1769"/>
      <c r="E352" s="1762">
        <f t="shared" si="90"/>
        <v>1</v>
      </c>
      <c r="F352" s="1769"/>
      <c r="G352" s="1762">
        <f t="shared" si="91"/>
        <v>1</v>
      </c>
      <c r="H352" s="1769"/>
      <c r="I352" s="1762">
        <f t="shared" si="92"/>
        <v>1</v>
      </c>
      <c r="J352" s="1769"/>
      <c r="K352" s="1762">
        <f t="shared" si="93"/>
        <v>1</v>
      </c>
      <c r="L352" s="1769"/>
      <c r="M352" s="1762">
        <f t="shared" si="94"/>
        <v>1</v>
      </c>
      <c r="N352" s="1769"/>
      <c r="O352" s="1762">
        <f t="shared" si="95"/>
        <v>1</v>
      </c>
      <c r="P352" s="1769"/>
      <c r="Q352" s="1762">
        <f t="shared" si="96"/>
        <v>1</v>
      </c>
      <c r="R352" s="1833">
        <f ca="1" t="shared" si="101"/>
        <v>0</v>
      </c>
      <c r="S352" s="1716">
        <f ca="1" t="shared" si="102"/>
        <v>0</v>
      </c>
      <c r="T352" s="1768">
        <f ca="1" t="shared" si="103"/>
        <v>0</v>
      </c>
      <c r="U352" s="1838">
        <f t="shared" si="97"/>
        <v>0</v>
      </c>
      <c r="V352" s="1838">
        <f t="shared" si="98"/>
        <v>0</v>
      </c>
      <c r="W352" s="1840"/>
      <c r="X352" s="1838">
        <f t="shared" si="99"/>
        <v>0</v>
      </c>
      <c r="Y352" s="1838">
        <f t="shared" si="100"/>
        <v>0</v>
      </c>
      <c r="Z352" s="1840"/>
    </row>
    <row r="353" spans="1:26">
      <c r="A353" s="1770"/>
      <c r="B353" s="1771"/>
      <c r="C353" s="1762">
        <f t="shared" si="89"/>
        <v>1</v>
      </c>
      <c r="D353" s="1769"/>
      <c r="E353" s="1762">
        <f t="shared" si="90"/>
        <v>1</v>
      </c>
      <c r="F353" s="1769"/>
      <c r="G353" s="1762">
        <f t="shared" si="91"/>
        <v>1</v>
      </c>
      <c r="H353" s="1769"/>
      <c r="I353" s="1762">
        <f t="shared" si="92"/>
        <v>1</v>
      </c>
      <c r="J353" s="1769"/>
      <c r="K353" s="1762">
        <f t="shared" si="93"/>
        <v>1</v>
      </c>
      <c r="L353" s="1769"/>
      <c r="M353" s="1762">
        <f t="shared" si="94"/>
        <v>1</v>
      </c>
      <c r="N353" s="1769"/>
      <c r="O353" s="1762">
        <f t="shared" si="95"/>
        <v>1</v>
      </c>
      <c r="P353" s="1769"/>
      <c r="Q353" s="1762">
        <f t="shared" si="96"/>
        <v>1</v>
      </c>
      <c r="R353" s="1833">
        <f ca="1" t="shared" si="101"/>
        <v>0</v>
      </c>
      <c r="S353" s="1716">
        <f ca="1" t="shared" si="102"/>
        <v>0</v>
      </c>
      <c r="T353" s="1768">
        <f ca="1" t="shared" si="103"/>
        <v>0</v>
      </c>
      <c r="U353" s="1838">
        <f t="shared" si="97"/>
        <v>0</v>
      </c>
      <c r="V353" s="1838">
        <f t="shared" si="98"/>
        <v>0</v>
      </c>
      <c r="W353" s="1840"/>
      <c r="X353" s="1838">
        <f t="shared" si="99"/>
        <v>0</v>
      </c>
      <c r="Y353" s="1838">
        <f t="shared" si="100"/>
        <v>0</v>
      </c>
      <c r="Z353" s="1840"/>
    </row>
    <row r="354" spans="1:26">
      <c r="A354" s="1770"/>
      <c r="B354" s="1771"/>
      <c r="C354" s="1762">
        <f t="shared" si="89"/>
        <v>1</v>
      </c>
      <c r="D354" s="1769"/>
      <c r="E354" s="1762">
        <f t="shared" si="90"/>
        <v>1</v>
      </c>
      <c r="F354" s="1769"/>
      <c r="G354" s="1762">
        <f t="shared" si="91"/>
        <v>1</v>
      </c>
      <c r="H354" s="1769"/>
      <c r="I354" s="1762">
        <f t="shared" si="92"/>
        <v>1</v>
      </c>
      <c r="J354" s="1769"/>
      <c r="K354" s="1762">
        <f t="shared" si="93"/>
        <v>1</v>
      </c>
      <c r="L354" s="1769"/>
      <c r="M354" s="1762">
        <f t="shared" si="94"/>
        <v>1</v>
      </c>
      <c r="N354" s="1769"/>
      <c r="O354" s="1762">
        <f t="shared" si="95"/>
        <v>1</v>
      </c>
      <c r="P354" s="1769"/>
      <c r="Q354" s="1762">
        <f t="shared" si="96"/>
        <v>1</v>
      </c>
      <c r="R354" s="1833">
        <f ca="1" t="shared" si="101"/>
        <v>0</v>
      </c>
      <c r="S354" s="1716">
        <f ca="1" t="shared" si="102"/>
        <v>0</v>
      </c>
      <c r="T354" s="1768">
        <f ca="1" t="shared" si="103"/>
        <v>0</v>
      </c>
      <c r="U354" s="1838">
        <f t="shared" si="97"/>
        <v>0</v>
      </c>
      <c r="V354" s="1838">
        <f t="shared" si="98"/>
        <v>0</v>
      </c>
      <c r="W354" s="1840"/>
      <c r="X354" s="1838">
        <f t="shared" si="99"/>
        <v>0</v>
      </c>
      <c r="Y354" s="1838">
        <f t="shared" si="100"/>
        <v>0</v>
      </c>
      <c r="Z354" s="1840"/>
    </row>
    <row r="355" spans="1:26">
      <c r="A355" s="1770"/>
      <c r="B355" s="1771"/>
      <c r="C355" s="1762">
        <f t="shared" si="89"/>
        <v>1</v>
      </c>
      <c r="D355" s="1769"/>
      <c r="E355" s="1762">
        <f t="shared" si="90"/>
        <v>1</v>
      </c>
      <c r="F355" s="1769"/>
      <c r="G355" s="1762">
        <f t="shared" si="91"/>
        <v>1</v>
      </c>
      <c r="H355" s="1769"/>
      <c r="I355" s="1762">
        <f t="shared" si="92"/>
        <v>1</v>
      </c>
      <c r="J355" s="1769"/>
      <c r="K355" s="1762">
        <f t="shared" si="93"/>
        <v>1</v>
      </c>
      <c r="L355" s="1769"/>
      <c r="M355" s="1762">
        <f t="shared" si="94"/>
        <v>1</v>
      </c>
      <c r="N355" s="1769"/>
      <c r="O355" s="1762">
        <f t="shared" si="95"/>
        <v>1</v>
      </c>
      <c r="P355" s="1769"/>
      <c r="Q355" s="1762">
        <f t="shared" si="96"/>
        <v>1</v>
      </c>
      <c r="R355" s="1833">
        <f ca="1" t="shared" si="101"/>
        <v>0</v>
      </c>
      <c r="S355" s="1716">
        <f ca="1" t="shared" si="102"/>
        <v>0</v>
      </c>
      <c r="T355" s="1768">
        <f ca="1" t="shared" si="103"/>
        <v>0</v>
      </c>
      <c r="U355" s="1838">
        <f t="shared" si="97"/>
        <v>0</v>
      </c>
      <c r="V355" s="1838">
        <f t="shared" si="98"/>
        <v>0</v>
      </c>
      <c r="W355" s="1840"/>
      <c r="X355" s="1838">
        <f t="shared" si="99"/>
        <v>0</v>
      </c>
      <c r="Y355" s="1838">
        <f t="shared" si="100"/>
        <v>0</v>
      </c>
      <c r="Z355" s="1840"/>
    </row>
    <row r="356" spans="1:26">
      <c r="A356" s="1770"/>
      <c r="B356" s="1771"/>
      <c r="C356" s="1762">
        <f t="shared" si="89"/>
        <v>1</v>
      </c>
      <c r="D356" s="1769"/>
      <c r="E356" s="1762">
        <f t="shared" si="90"/>
        <v>1</v>
      </c>
      <c r="F356" s="1769"/>
      <c r="G356" s="1762">
        <f t="shared" si="91"/>
        <v>1</v>
      </c>
      <c r="H356" s="1769"/>
      <c r="I356" s="1762">
        <f t="shared" si="92"/>
        <v>1</v>
      </c>
      <c r="J356" s="1769"/>
      <c r="K356" s="1762">
        <f t="shared" si="93"/>
        <v>1</v>
      </c>
      <c r="L356" s="1769"/>
      <c r="M356" s="1762">
        <f t="shared" si="94"/>
        <v>1</v>
      </c>
      <c r="N356" s="1769"/>
      <c r="O356" s="1762">
        <f t="shared" si="95"/>
        <v>1</v>
      </c>
      <c r="P356" s="1769"/>
      <c r="Q356" s="1762">
        <f t="shared" si="96"/>
        <v>1</v>
      </c>
      <c r="R356" s="1833">
        <f ca="1" t="shared" si="101"/>
        <v>0</v>
      </c>
      <c r="S356" s="1716">
        <f ca="1" t="shared" si="102"/>
        <v>0</v>
      </c>
      <c r="T356" s="1768">
        <f ca="1" t="shared" si="103"/>
        <v>0</v>
      </c>
      <c r="U356" s="1838">
        <f t="shared" si="97"/>
        <v>0</v>
      </c>
      <c r="V356" s="1838">
        <f t="shared" si="98"/>
        <v>0</v>
      </c>
      <c r="W356" s="1840"/>
      <c r="X356" s="1838">
        <f t="shared" si="99"/>
        <v>0</v>
      </c>
      <c r="Y356" s="1838">
        <f t="shared" si="100"/>
        <v>0</v>
      </c>
      <c r="Z356" s="1840"/>
    </row>
    <row r="357" spans="1:26">
      <c r="A357" s="1770"/>
      <c r="B357" s="1771"/>
      <c r="C357" s="1762">
        <f t="shared" si="89"/>
        <v>1</v>
      </c>
      <c r="D357" s="1769"/>
      <c r="E357" s="1762">
        <f t="shared" si="90"/>
        <v>1</v>
      </c>
      <c r="F357" s="1769"/>
      <c r="G357" s="1762">
        <f t="shared" si="91"/>
        <v>1</v>
      </c>
      <c r="H357" s="1769"/>
      <c r="I357" s="1762">
        <f t="shared" si="92"/>
        <v>1</v>
      </c>
      <c r="J357" s="1769"/>
      <c r="K357" s="1762">
        <f t="shared" si="93"/>
        <v>1</v>
      </c>
      <c r="L357" s="1769"/>
      <c r="M357" s="1762">
        <f t="shared" si="94"/>
        <v>1</v>
      </c>
      <c r="N357" s="1769"/>
      <c r="O357" s="1762">
        <f t="shared" si="95"/>
        <v>1</v>
      </c>
      <c r="P357" s="1769"/>
      <c r="Q357" s="1762">
        <f t="shared" si="96"/>
        <v>1</v>
      </c>
      <c r="R357" s="1833">
        <f ca="1" t="shared" si="101"/>
        <v>0</v>
      </c>
      <c r="S357" s="1716">
        <f ca="1" t="shared" si="102"/>
        <v>0</v>
      </c>
      <c r="T357" s="1768">
        <f ca="1" t="shared" si="103"/>
        <v>0</v>
      </c>
      <c r="U357" s="1838">
        <f t="shared" si="97"/>
        <v>0</v>
      </c>
      <c r="V357" s="1838">
        <f t="shared" si="98"/>
        <v>0</v>
      </c>
      <c r="W357" s="1840"/>
      <c r="X357" s="1838">
        <f t="shared" si="99"/>
        <v>0</v>
      </c>
      <c r="Y357" s="1838">
        <f t="shared" si="100"/>
        <v>0</v>
      </c>
      <c r="Z357" s="1840"/>
    </row>
    <row r="358" spans="1:26">
      <c r="A358" s="1770"/>
      <c r="B358" s="1771"/>
      <c r="C358" s="1762">
        <f t="shared" si="89"/>
        <v>1</v>
      </c>
      <c r="D358" s="1769"/>
      <c r="E358" s="1762">
        <f t="shared" si="90"/>
        <v>1</v>
      </c>
      <c r="F358" s="1769"/>
      <c r="G358" s="1762">
        <f t="shared" si="91"/>
        <v>1</v>
      </c>
      <c r="H358" s="1769"/>
      <c r="I358" s="1762">
        <f t="shared" si="92"/>
        <v>1</v>
      </c>
      <c r="J358" s="1769"/>
      <c r="K358" s="1762">
        <f t="shared" si="93"/>
        <v>1</v>
      </c>
      <c r="L358" s="1769"/>
      <c r="M358" s="1762">
        <f t="shared" si="94"/>
        <v>1</v>
      </c>
      <c r="N358" s="1769"/>
      <c r="O358" s="1762">
        <f t="shared" si="95"/>
        <v>1</v>
      </c>
      <c r="P358" s="1769"/>
      <c r="Q358" s="1762">
        <f t="shared" si="96"/>
        <v>1</v>
      </c>
      <c r="R358" s="1833">
        <f ca="1" t="shared" si="101"/>
        <v>0</v>
      </c>
      <c r="S358" s="1716">
        <f ca="1" t="shared" si="102"/>
        <v>0</v>
      </c>
      <c r="T358" s="1768">
        <f ca="1" t="shared" si="103"/>
        <v>0</v>
      </c>
      <c r="U358" s="1838">
        <f t="shared" si="97"/>
        <v>0</v>
      </c>
      <c r="V358" s="1838">
        <f t="shared" si="98"/>
        <v>0</v>
      </c>
      <c r="W358" s="1840"/>
      <c r="X358" s="1838">
        <f t="shared" si="99"/>
        <v>0</v>
      </c>
      <c r="Y358" s="1838">
        <f t="shared" si="100"/>
        <v>0</v>
      </c>
      <c r="Z358" s="1840"/>
    </row>
    <row r="359" spans="1:26">
      <c r="A359" s="1770"/>
      <c r="B359" s="1771"/>
      <c r="C359" s="1762">
        <f t="shared" si="89"/>
        <v>1</v>
      </c>
      <c r="D359" s="1769"/>
      <c r="E359" s="1762">
        <f t="shared" si="90"/>
        <v>1</v>
      </c>
      <c r="F359" s="1769"/>
      <c r="G359" s="1762">
        <f t="shared" si="91"/>
        <v>1</v>
      </c>
      <c r="H359" s="1769"/>
      <c r="I359" s="1762">
        <f t="shared" si="92"/>
        <v>1</v>
      </c>
      <c r="J359" s="1769"/>
      <c r="K359" s="1762">
        <f t="shared" si="93"/>
        <v>1</v>
      </c>
      <c r="L359" s="1769"/>
      <c r="M359" s="1762">
        <f t="shared" si="94"/>
        <v>1</v>
      </c>
      <c r="N359" s="1769"/>
      <c r="O359" s="1762">
        <f t="shared" si="95"/>
        <v>1</v>
      </c>
      <c r="P359" s="1769"/>
      <c r="Q359" s="1762">
        <f t="shared" si="96"/>
        <v>1</v>
      </c>
      <c r="R359" s="1833">
        <f ca="1" t="shared" si="101"/>
        <v>0</v>
      </c>
      <c r="S359" s="1716">
        <f ca="1" t="shared" si="102"/>
        <v>0</v>
      </c>
      <c r="T359" s="1768">
        <f ca="1" t="shared" si="103"/>
        <v>0</v>
      </c>
      <c r="U359" s="1838">
        <f t="shared" si="97"/>
        <v>0</v>
      </c>
      <c r="V359" s="1838">
        <f t="shared" si="98"/>
        <v>0</v>
      </c>
      <c r="W359" s="1840"/>
      <c r="X359" s="1838">
        <f t="shared" si="99"/>
        <v>0</v>
      </c>
      <c r="Y359" s="1838">
        <f t="shared" si="100"/>
        <v>0</v>
      </c>
      <c r="Z359" s="1840"/>
    </row>
    <row r="360" spans="1:26">
      <c r="A360" s="1770"/>
      <c r="B360" s="1771"/>
      <c r="C360" s="1762">
        <f t="shared" si="89"/>
        <v>1</v>
      </c>
      <c r="D360" s="1769"/>
      <c r="E360" s="1762">
        <f t="shared" si="90"/>
        <v>1</v>
      </c>
      <c r="F360" s="1769"/>
      <c r="G360" s="1762">
        <f t="shared" si="91"/>
        <v>1</v>
      </c>
      <c r="H360" s="1769"/>
      <c r="I360" s="1762">
        <f t="shared" si="92"/>
        <v>1</v>
      </c>
      <c r="J360" s="1769"/>
      <c r="K360" s="1762">
        <f t="shared" si="93"/>
        <v>1</v>
      </c>
      <c r="L360" s="1769"/>
      <c r="M360" s="1762">
        <f t="shared" si="94"/>
        <v>1</v>
      </c>
      <c r="N360" s="1769"/>
      <c r="O360" s="1762">
        <f t="shared" si="95"/>
        <v>1</v>
      </c>
      <c r="P360" s="1769"/>
      <c r="Q360" s="1762">
        <f t="shared" si="96"/>
        <v>1</v>
      </c>
      <c r="R360" s="1833">
        <f ca="1" t="shared" si="101"/>
        <v>0</v>
      </c>
      <c r="S360" s="1716">
        <f ca="1" t="shared" si="102"/>
        <v>0</v>
      </c>
      <c r="T360" s="1768">
        <f ca="1" t="shared" si="103"/>
        <v>0</v>
      </c>
      <c r="U360" s="1838">
        <f t="shared" si="97"/>
        <v>0</v>
      </c>
      <c r="V360" s="1838">
        <f t="shared" si="98"/>
        <v>0</v>
      </c>
      <c r="W360" s="1840"/>
      <c r="X360" s="1838">
        <f t="shared" si="99"/>
        <v>0</v>
      </c>
      <c r="Y360" s="1838">
        <f t="shared" si="100"/>
        <v>0</v>
      </c>
      <c r="Z360" s="1840"/>
    </row>
    <row r="361" spans="1:26">
      <c r="A361" s="1770"/>
      <c r="B361" s="1771"/>
      <c r="C361" s="1762">
        <f t="shared" si="89"/>
        <v>1</v>
      </c>
      <c r="D361" s="1769"/>
      <c r="E361" s="1762">
        <f t="shared" si="90"/>
        <v>1</v>
      </c>
      <c r="F361" s="1769"/>
      <c r="G361" s="1762">
        <f t="shared" si="91"/>
        <v>1</v>
      </c>
      <c r="H361" s="1769"/>
      <c r="I361" s="1762">
        <f t="shared" si="92"/>
        <v>1</v>
      </c>
      <c r="J361" s="1769"/>
      <c r="K361" s="1762">
        <f t="shared" si="93"/>
        <v>1</v>
      </c>
      <c r="L361" s="1769"/>
      <c r="M361" s="1762">
        <f t="shared" si="94"/>
        <v>1</v>
      </c>
      <c r="N361" s="1769"/>
      <c r="O361" s="1762">
        <f t="shared" si="95"/>
        <v>1</v>
      </c>
      <c r="P361" s="1769"/>
      <c r="Q361" s="1762">
        <f t="shared" si="96"/>
        <v>1</v>
      </c>
      <c r="R361" s="1833">
        <f ca="1" t="shared" si="101"/>
        <v>0</v>
      </c>
      <c r="S361" s="1716">
        <f ca="1" t="shared" si="102"/>
        <v>0</v>
      </c>
      <c r="T361" s="1768">
        <f ca="1" t="shared" si="103"/>
        <v>0</v>
      </c>
      <c r="U361" s="1838">
        <f t="shared" si="97"/>
        <v>0</v>
      </c>
      <c r="V361" s="1838">
        <f t="shared" si="98"/>
        <v>0</v>
      </c>
      <c r="W361" s="1840"/>
      <c r="X361" s="1838">
        <f t="shared" si="99"/>
        <v>0</v>
      </c>
      <c r="Y361" s="1838">
        <f t="shared" si="100"/>
        <v>0</v>
      </c>
      <c r="Z361" s="1840"/>
    </row>
    <row r="362" spans="1:26">
      <c r="A362" s="1770"/>
      <c r="B362" s="1771"/>
      <c r="C362" s="1762">
        <f t="shared" si="89"/>
        <v>1</v>
      </c>
      <c r="D362" s="1769"/>
      <c r="E362" s="1762">
        <f t="shared" si="90"/>
        <v>1</v>
      </c>
      <c r="F362" s="1769"/>
      <c r="G362" s="1762">
        <f t="shared" si="91"/>
        <v>1</v>
      </c>
      <c r="H362" s="1769"/>
      <c r="I362" s="1762">
        <f t="shared" si="92"/>
        <v>1</v>
      </c>
      <c r="J362" s="1769"/>
      <c r="K362" s="1762">
        <f t="shared" si="93"/>
        <v>1</v>
      </c>
      <c r="L362" s="1769"/>
      <c r="M362" s="1762">
        <f t="shared" si="94"/>
        <v>1</v>
      </c>
      <c r="N362" s="1769"/>
      <c r="O362" s="1762">
        <f t="shared" si="95"/>
        <v>1</v>
      </c>
      <c r="P362" s="1769"/>
      <c r="Q362" s="1762">
        <f t="shared" si="96"/>
        <v>1</v>
      </c>
      <c r="R362" s="1833">
        <f ca="1" t="shared" si="101"/>
        <v>0</v>
      </c>
      <c r="S362" s="1716">
        <f ca="1" t="shared" si="102"/>
        <v>0</v>
      </c>
      <c r="T362" s="1768">
        <f ca="1" t="shared" si="103"/>
        <v>0</v>
      </c>
      <c r="U362" s="1838">
        <f t="shared" si="97"/>
        <v>0</v>
      </c>
      <c r="V362" s="1838">
        <f t="shared" si="98"/>
        <v>0</v>
      </c>
      <c r="W362" s="1840"/>
      <c r="X362" s="1838">
        <f t="shared" si="99"/>
        <v>0</v>
      </c>
      <c r="Y362" s="1838">
        <f t="shared" si="100"/>
        <v>0</v>
      </c>
      <c r="Z362" s="1840"/>
    </row>
    <row r="363" spans="1:26">
      <c r="A363" s="1770"/>
      <c r="B363" s="1771"/>
      <c r="C363" s="1762">
        <f t="shared" si="89"/>
        <v>1</v>
      </c>
      <c r="D363" s="1769"/>
      <c r="E363" s="1762">
        <f t="shared" si="90"/>
        <v>1</v>
      </c>
      <c r="F363" s="1769"/>
      <c r="G363" s="1762">
        <f t="shared" si="91"/>
        <v>1</v>
      </c>
      <c r="H363" s="1769"/>
      <c r="I363" s="1762">
        <f t="shared" si="92"/>
        <v>1</v>
      </c>
      <c r="J363" s="1769"/>
      <c r="K363" s="1762">
        <f t="shared" si="93"/>
        <v>1</v>
      </c>
      <c r="L363" s="1769"/>
      <c r="M363" s="1762">
        <f t="shared" si="94"/>
        <v>1</v>
      </c>
      <c r="N363" s="1769"/>
      <c r="O363" s="1762">
        <f t="shared" si="95"/>
        <v>1</v>
      </c>
      <c r="P363" s="1769"/>
      <c r="Q363" s="1762">
        <f t="shared" si="96"/>
        <v>1</v>
      </c>
      <c r="R363" s="1833">
        <f ca="1" t="shared" si="101"/>
        <v>0</v>
      </c>
      <c r="S363" s="1716">
        <f ca="1" t="shared" si="102"/>
        <v>0</v>
      </c>
      <c r="T363" s="1768">
        <f ca="1" t="shared" si="103"/>
        <v>0</v>
      </c>
      <c r="U363" s="1838">
        <f t="shared" si="97"/>
        <v>0</v>
      </c>
      <c r="V363" s="1838">
        <f t="shared" si="98"/>
        <v>0</v>
      </c>
      <c r="W363" s="1840"/>
      <c r="X363" s="1838">
        <f t="shared" si="99"/>
        <v>0</v>
      </c>
      <c r="Y363" s="1838">
        <f t="shared" si="100"/>
        <v>0</v>
      </c>
      <c r="Z363" s="1840"/>
    </row>
    <row r="364" spans="1:26">
      <c r="A364" s="1770"/>
      <c r="B364" s="1771"/>
      <c r="C364" s="1762">
        <f t="shared" si="89"/>
        <v>1</v>
      </c>
      <c r="D364" s="1769"/>
      <c r="E364" s="1762">
        <f t="shared" si="90"/>
        <v>1</v>
      </c>
      <c r="F364" s="1769"/>
      <c r="G364" s="1762">
        <f t="shared" si="91"/>
        <v>1</v>
      </c>
      <c r="H364" s="1769"/>
      <c r="I364" s="1762">
        <f t="shared" si="92"/>
        <v>1</v>
      </c>
      <c r="J364" s="1769"/>
      <c r="K364" s="1762">
        <f t="shared" si="93"/>
        <v>1</v>
      </c>
      <c r="L364" s="1769"/>
      <c r="M364" s="1762">
        <f t="shared" si="94"/>
        <v>1</v>
      </c>
      <c r="N364" s="1769"/>
      <c r="O364" s="1762">
        <f t="shared" si="95"/>
        <v>1</v>
      </c>
      <c r="P364" s="1769"/>
      <c r="Q364" s="1762">
        <f t="shared" si="96"/>
        <v>1</v>
      </c>
      <c r="R364" s="1833">
        <f ca="1" t="shared" si="101"/>
        <v>0</v>
      </c>
      <c r="S364" s="1716">
        <f ca="1" t="shared" si="102"/>
        <v>0</v>
      </c>
      <c r="T364" s="1768">
        <f ca="1" t="shared" si="103"/>
        <v>0</v>
      </c>
      <c r="U364" s="1838">
        <f t="shared" si="97"/>
        <v>0</v>
      </c>
      <c r="V364" s="1838">
        <f t="shared" si="98"/>
        <v>0</v>
      </c>
      <c r="W364" s="1840"/>
      <c r="X364" s="1838">
        <f t="shared" si="99"/>
        <v>0</v>
      </c>
      <c r="Y364" s="1838">
        <f t="shared" si="100"/>
        <v>0</v>
      </c>
      <c r="Z364" s="1840"/>
    </row>
    <row r="365" spans="1:26">
      <c r="A365" s="1770"/>
      <c r="B365" s="1771"/>
      <c r="C365" s="1762">
        <f t="shared" si="89"/>
        <v>1</v>
      </c>
      <c r="D365" s="1769"/>
      <c r="E365" s="1762">
        <f t="shared" si="90"/>
        <v>1</v>
      </c>
      <c r="F365" s="1769"/>
      <c r="G365" s="1762">
        <f t="shared" si="91"/>
        <v>1</v>
      </c>
      <c r="H365" s="1769"/>
      <c r="I365" s="1762">
        <f t="shared" si="92"/>
        <v>1</v>
      </c>
      <c r="J365" s="1769"/>
      <c r="K365" s="1762">
        <f t="shared" si="93"/>
        <v>1</v>
      </c>
      <c r="L365" s="1769"/>
      <c r="M365" s="1762">
        <f t="shared" si="94"/>
        <v>1</v>
      </c>
      <c r="N365" s="1769"/>
      <c r="O365" s="1762">
        <f t="shared" si="95"/>
        <v>1</v>
      </c>
      <c r="P365" s="1769"/>
      <c r="Q365" s="1762">
        <f t="shared" si="96"/>
        <v>1</v>
      </c>
      <c r="R365" s="1833">
        <f ca="1" t="shared" si="101"/>
        <v>0</v>
      </c>
      <c r="S365" s="1716">
        <f ca="1" t="shared" si="102"/>
        <v>0</v>
      </c>
      <c r="T365" s="1768">
        <f ca="1" t="shared" si="103"/>
        <v>0</v>
      </c>
      <c r="U365" s="1838">
        <f t="shared" si="97"/>
        <v>0</v>
      </c>
      <c r="V365" s="1838">
        <f t="shared" si="98"/>
        <v>0</v>
      </c>
      <c r="W365" s="1840"/>
      <c r="X365" s="1838">
        <f t="shared" si="99"/>
        <v>0</v>
      </c>
      <c r="Y365" s="1838">
        <f t="shared" si="100"/>
        <v>0</v>
      </c>
      <c r="Z365" s="1840"/>
    </row>
    <row r="366" spans="1:26">
      <c r="A366" s="1770"/>
      <c r="B366" s="1771"/>
      <c r="C366" s="1762">
        <f t="shared" si="89"/>
        <v>1</v>
      </c>
      <c r="D366" s="1769"/>
      <c r="E366" s="1762">
        <f t="shared" si="90"/>
        <v>1</v>
      </c>
      <c r="F366" s="1769"/>
      <c r="G366" s="1762">
        <f t="shared" si="91"/>
        <v>1</v>
      </c>
      <c r="H366" s="1769"/>
      <c r="I366" s="1762">
        <f t="shared" si="92"/>
        <v>1</v>
      </c>
      <c r="J366" s="1769"/>
      <c r="K366" s="1762">
        <f t="shared" si="93"/>
        <v>1</v>
      </c>
      <c r="L366" s="1769"/>
      <c r="M366" s="1762">
        <f t="shared" si="94"/>
        <v>1</v>
      </c>
      <c r="N366" s="1769"/>
      <c r="O366" s="1762">
        <f t="shared" si="95"/>
        <v>1</v>
      </c>
      <c r="P366" s="1769"/>
      <c r="Q366" s="1762">
        <f t="shared" si="96"/>
        <v>1</v>
      </c>
      <c r="R366" s="1833">
        <f ca="1" t="shared" si="101"/>
        <v>0</v>
      </c>
      <c r="S366" s="1716">
        <f ca="1" t="shared" si="102"/>
        <v>0</v>
      </c>
      <c r="T366" s="1768">
        <f ca="1" t="shared" si="103"/>
        <v>0</v>
      </c>
      <c r="U366" s="1838">
        <f t="shared" si="97"/>
        <v>0</v>
      </c>
      <c r="V366" s="1838">
        <f t="shared" si="98"/>
        <v>0</v>
      </c>
      <c r="W366" s="1840"/>
      <c r="X366" s="1838">
        <f t="shared" si="99"/>
        <v>0</v>
      </c>
      <c r="Y366" s="1838">
        <f t="shared" si="100"/>
        <v>0</v>
      </c>
      <c r="Z366" s="1840"/>
    </row>
    <row r="367" spans="1:26">
      <c r="A367" s="1770"/>
      <c r="B367" s="1771"/>
      <c r="C367" s="1762">
        <f t="shared" si="89"/>
        <v>1</v>
      </c>
      <c r="D367" s="1769"/>
      <c r="E367" s="1762">
        <f t="shared" si="90"/>
        <v>1</v>
      </c>
      <c r="F367" s="1769"/>
      <c r="G367" s="1762">
        <f t="shared" si="91"/>
        <v>1</v>
      </c>
      <c r="H367" s="1769"/>
      <c r="I367" s="1762">
        <f t="shared" si="92"/>
        <v>1</v>
      </c>
      <c r="J367" s="1769"/>
      <c r="K367" s="1762">
        <f t="shared" si="93"/>
        <v>1</v>
      </c>
      <c r="L367" s="1769"/>
      <c r="M367" s="1762">
        <f t="shared" si="94"/>
        <v>1</v>
      </c>
      <c r="N367" s="1769"/>
      <c r="O367" s="1762">
        <f t="shared" si="95"/>
        <v>1</v>
      </c>
      <c r="P367" s="1769"/>
      <c r="Q367" s="1762">
        <f t="shared" si="96"/>
        <v>1</v>
      </c>
      <c r="R367" s="1833">
        <f ca="1" t="shared" si="101"/>
        <v>0</v>
      </c>
      <c r="S367" s="1716">
        <f ca="1" t="shared" si="102"/>
        <v>0</v>
      </c>
      <c r="T367" s="1768">
        <f ca="1" t="shared" si="103"/>
        <v>0</v>
      </c>
      <c r="U367" s="1838">
        <f t="shared" si="97"/>
        <v>0</v>
      </c>
      <c r="V367" s="1838">
        <f t="shared" si="98"/>
        <v>0</v>
      </c>
      <c r="W367" s="1840"/>
      <c r="X367" s="1838">
        <f t="shared" si="99"/>
        <v>0</v>
      </c>
      <c r="Y367" s="1838">
        <f t="shared" si="100"/>
        <v>0</v>
      </c>
      <c r="Z367" s="1840"/>
    </row>
    <row r="368" spans="1:26">
      <c r="A368" s="1770"/>
      <c r="B368" s="1771"/>
      <c r="C368" s="1762">
        <f t="shared" si="89"/>
        <v>1</v>
      </c>
      <c r="D368" s="1769"/>
      <c r="E368" s="1762">
        <f t="shared" si="90"/>
        <v>1</v>
      </c>
      <c r="F368" s="1769"/>
      <c r="G368" s="1762">
        <f t="shared" si="91"/>
        <v>1</v>
      </c>
      <c r="H368" s="1769"/>
      <c r="I368" s="1762">
        <f t="shared" si="92"/>
        <v>1</v>
      </c>
      <c r="J368" s="1769"/>
      <c r="K368" s="1762">
        <f t="shared" si="93"/>
        <v>1</v>
      </c>
      <c r="L368" s="1769"/>
      <c r="M368" s="1762">
        <f t="shared" si="94"/>
        <v>1</v>
      </c>
      <c r="N368" s="1769"/>
      <c r="O368" s="1762">
        <f t="shared" si="95"/>
        <v>1</v>
      </c>
      <c r="P368" s="1769"/>
      <c r="Q368" s="1762">
        <f t="shared" si="96"/>
        <v>1</v>
      </c>
      <c r="R368" s="1833">
        <f ca="1" t="shared" si="101"/>
        <v>0</v>
      </c>
      <c r="S368" s="1716">
        <f ca="1" t="shared" si="102"/>
        <v>0</v>
      </c>
      <c r="T368" s="1768">
        <f ca="1" t="shared" si="103"/>
        <v>0</v>
      </c>
      <c r="U368" s="1838">
        <f t="shared" si="97"/>
        <v>0</v>
      </c>
      <c r="V368" s="1838">
        <f t="shared" si="98"/>
        <v>0</v>
      </c>
      <c r="W368" s="1840"/>
      <c r="X368" s="1838">
        <f t="shared" si="99"/>
        <v>0</v>
      </c>
      <c r="Y368" s="1838">
        <f t="shared" si="100"/>
        <v>0</v>
      </c>
      <c r="Z368" s="1840"/>
    </row>
    <row r="369" spans="1:26">
      <c r="A369" s="1770"/>
      <c r="B369" s="1771"/>
      <c r="C369" s="1762">
        <f t="shared" si="89"/>
        <v>1</v>
      </c>
      <c r="D369" s="1769"/>
      <c r="E369" s="1762">
        <f t="shared" si="90"/>
        <v>1</v>
      </c>
      <c r="F369" s="1769"/>
      <c r="G369" s="1762">
        <f t="shared" si="91"/>
        <v>1</v>
      </c>
      <c r="H369" s="1769"/>
      <c r="I369" s="1762">
        <f t="shared" si="92"/>
        <v>1</v>
      </c>
      <c r="J369" s="1769"/>
      <c r="K369" s="1762">
        <f t="shared" si="93"/>
        <v>1</v>
      </c>
      <c r="L369" s="1769"/>
      <c r="M369" s="1762">
        <f t="shared" si="94"/>
        <v>1</v>
      </c>
      <c r="N369" s="1769"/>
      <c r="O369" s="1762">
        <f t="shared" si="95"/>
        <v>1</v>
      </c>
      <c r="P369" s="1769"/>
      <c r="Q369" s="1762">
        <f t="shared" si="96"/>
        <v>1</v>
      </c>
      <c r="R369" s="1833">
        <f ca="1" t="shared" si="101"/>
        <v>0</v>
      </c>
      <c r="S369" s="1716">
        <f ca="1" t="shared" si="102"/>
        <v>0</v>
      </c>
      <c r="T369" s="1768">
        <f ca="1" t="shared" si="103"/>
        <v>0</v>
      </c>
      <c r="U369" s="1838">
        <f t="shared" si="97"/>
        <v>0</v>
      </c>
      <c r="V369" s="1838">
        <f t="shared" si="98"/>
        <v>0</v>
      </c>
      <c r="W369" s="1840"/>
      <c r="X369" s="1838">
        <f t="shared" si="99"/>
        <v>0</v>
      </c>
      <c r="Y369" s="1838">
        <f t="shared" si="100"/>
        <v>0</v>
      </c>
      <c r="Z369" s="1840"/>
    </row>
    <row r="370" spans="1:26">
      <c r="A370" s="1770"/>
      <c r="B370" s="1771"/>
      <c r="C370" s="1762">
        <f t="shared" si="89"/>
        <v>1</v>
      </c>
      <c r="D370" s="1769"/>
      <c r="E370" s="1762">
        <f t="shared" si="90"/>
        <v>1</v>
      </c>
      <c r="F370" s="1769"/>
      <c r="G370" s="1762">
        <f t="shared" si="91"/>
        <v>1</v>
      </c>
      <c r="H370" s="1769"/>
      <c r="I370" s="1762">
        <f t="shared" si="92"/>
        <v>1</v>
      </c>
      <c r="J370" s="1769"/>
      <c r="K370" s="1762">
        <f t="shared" si="93"/>
        <v>1</v>
      </c>
      <c r="L370" s="1769"/>
      <c r="M370" s="1762">
        <f t="shared" si="94"/>
        <v>1</v>
      </c>
      <c r="N370" s="1769"/>
      <c r="O370" s="1762">
        <f t="shared" si="95"/>
        <v>1</v>
      </c>
      <c r="P370" s="1769"/>
      <c r="Q370" s="1762">
        <f t="shared" si="96"/>
        <v>1</v>
      </c>
      <c r="R370" s="1833">
        <f ca="1" t="shared" si="101"/>
        <v>0</v>
      </c>
      <c r="S370" s="1716">
        <f ca="1" t="shared" si="102"/>
        <v>0</v>
      </c>
      <c r="T370" s="1768">
        <f ca="1" t="shared" si="103"/>
        <v>0</v>
      </c>
      <c r="U370" s="1838">
        <f t="shared" si="97"/>
        <v>0</v>
      </c>
      <c r="V370" s="1838">
        <f t="shared" si="98"/>
        <v>0</v>
      </c>
      <c r="W370" s="1840"/>
      <c r="X370" s="1838">
        <f t="shared" si="99"/>
        <v>0</v>
      </c>
      <c r="Y370" s="1838">
        <f t="shared" si="100"/>
        <v>0</v>
      </c>
      <c r="Z370" s="1840"/>
    </row>
    <row r="371" spans="1:26">
      <c r="A371" s="1770"/>
      <c r="B371" s="1771"/>
      <c r="C371" s="1762">
        <f t="shared" si="89"/>
        <v>1</v>
      </c>
      <c r="D371" s="1769"/>
      <c r="E371" s="1762">
        <f t="shared" si="90"/>
        <v>1</v>
      </c>
      <c r="F371" s="1769"/>
      <c r="G371" s="1762">
        <f t="shared" si="91"/>
        <v>1</v>
      </c>
      <c r="H371" s="1769"/>
      <c r="I371" s="1762">
        <f t="shared" si="92"/>
        <v>1</v>
      </c>
      <c r="J371" s="1769"/>
      <c r="K371" s="1762">
        <f t="shared" si="93"/>
        <v>1</v>
      </c>
      <c r="L371" s="1769"/>
      <c r="M371" s="1762">
        <f t="shared" si="94"/>
        <v>1</v>
      </c>
      <c r="N371" s="1769"/>
      <c r="O371" s="1762">
        <f t="shared" si="95"/>
        <v>1</v>
      </c>
      <c r="P371" s="1769"/>
      <c r="Q371" s="1762">
        <f t="shared" si="96"/>
        <v>1</v>
      </c>
      <c r="R371" s="1833">
        <f ca="1" t="shared" si="101"/>
        <v>0</v>
      </c>
      <c r="S371" s="1716">
        <f ca="1" t="shared" si="102"/>
        <v>0</v>
      </c>
      <c r="T371" s="1768">
        <f ca="1" t="shared" si="103"/>
        <v>0</v>
      </c>
      <c r="U371" s="1838">
        <f t="shared" si="97"/>
        <v>0</v>
      </c>
      <c r="V371" s="1838">
        <f t="shared" si="98"/>
        <v>0</v>
      </c>
      <c r="W371" s="1840"/>
      <c r="X371" s="1838">
        <f t="shared" si="99"/>
        <v>0</v>
      </c>
      <c r="Y371" s="1838">
        <f t="shared" si="100"/>
        <v>0</v>
      </c>
      <c r="Z371" s="1840"/>
    </row>
    <row r="372" spans="1:26">
      <c r="A372" s="1770"/>
      <c r="B372" s="1771"/>
      <c r="C372" s="1762">
        <f t="shared" si="89"/>
        <v>1</v>
      </c>
      <c r="D372" s="1769"/>
      <c r="E372" s="1762">
        <f t="shared" si="90"/>
        <v>1</v>
      </c>
      <c r="F372" s="1769"/>
      <c r="G372" s="1762">
        <f t="shared" si="91"/>
        <v>1</v>
      </c>
      <c r="H372" s="1769"/>
      <c r="I372" s="1762">
        <f t="shared" si="92"/>
        <v>1</v>
      </c>
      <c r="J372" s="1769"/>
      <c r="K372" s="1762">
        <f t="shared" si="93"/>
        <v>1</v>
      </c>
      <c r="L372" s="1769"/>
      <c r="M372" s="1762">
        <f t="shared" si="94"/>
        <v>1</v>
      </c>
      <c r="N372" s="1769"/>
      <c r="O372" s="1762">
        <f t="shared" si="95"/>
        <v>1</v>
      </c>
      <c r="P372" s="1769"/>
      <c r="Q372" s="1762">
        <f t="shared" si="96"/>
        <v>1</v>
      </c>
      <c r="R372" s="1833">
        <f ca="1" t="shared" si="101"/>
        <v>0</v>
      </c>
      <c r="S372" s="1716">
        <f ca="1" t="shared" si="102"/>
        <v>0</v>
      </c>
      <c r="T372" s="1768">
        <f ca="1" t="shared" si="103"/>
        <v>0</v>
      </c>
      <c r="U372" s="1838">
        <f t="shared" si="97"/>
        <v>0</v>
      </c>
      <c r="V372" s="1838">
        <f t="shared" si="98"/>
        <v>0</v>
      </c>
      <c r="W372" s="1840"/>
      <c r="X372" s="1838">
        <f t="shared" si="99"/>
        <v>0</v>
      </c>
      <c r="Y372" s="1838">
        <f t="shared" si="100"/>
        <v>0</v>
      </c>
      <c r="Z372" s="1840"/>
    </row>
    <row r="373" spans="1:26">
      <c r="A373" s="1770"/>
      <c r="B373" s="1771"/>
      <c r="C373" s="1762">
        <f t="shared" si="89"/>
        <v>1</v>
      </c>
      <c r="D373" s="1769"/>
      <c r="E373" s="1762">
        <f t="shared" si="90"/>
        <v>1</v>
      </c>
      <c r="F373" s="1769"/>
      <c r="G373" s="1762">
        <f t="shared" si="91"/>
        <v>1</v>
      </c>
      <c r="H373" s="1769"/>
      <c r="I373" s="1762">
        <f t="shared" si="92"/>
        <v>1</v>
      </c>
      <c r="J373" s="1769"/>
      <c r="K373" s="1762">
        <f t="shared" si="93"/>
        <v>1</v>
      </c>
      <c r="L373" s="1769"/>
      <c r="M373" s="1762">
        <f t="shared" si="94"/>
        <v>1</v>
      </c>
      <c r="N373" s="1769"/>
      <c r="O373" s="1762">
        <f t="shared" si="95"/>
        <v>1</v>
      </c>
      <c r="P373" s="1769"/>
      <c r="Q373" s="1762">
        <f t="shared" si="96"/>
        <v>1</v>
      </c>
      <c r="R373" s="1833">
        <f ca="1" t="shared" si="101"/>
        <v>0</v>
      </c>
      <c r="S373" s="1716">
        <f ca="1" t="shared" si="102"/>
        <v>0</v>
      </c>
      <c r="T373" s="1768">
        <f ca="1" t="shared" si="103"/>
        <v>0</v>
      </c>
      <c r="U373" s="1838">
        <f t="shared" si="97"/>
        <v>0</v>
      </c>
      <c r="V373" s="1838">
        <f t="shared" si="98"/>
        <v>0</v>
      </c>
      <c r="W373" s="1840"/>
      <c r="X373" s="1838">
        <f t="shared" si="99"/>
        <v>0</v>
      </c>
      <c r="Y373" s="1838">
        <f t="shared" si="100"/>
        <v>0</v>
      </c>
      <c r="Z373" s="1840"/>
    </row>
    <row r="374" spans="1:26">
      <c r="A374" s="1770"/>
      <c r="B374" s="1771"/>
      <c r="C374" s="1762">
        <f t="shared" si="89"/>
        <v>1</v>
      </c>
      <c r="D374" s="1769"/>
      <c r="E374" s="1762">
        <f t="shared" si="90"/>
        <v>1</v>
      </c>
      <c r="F374" s="1769"/>
      <c r="G374" s="1762">
        <f t="shared" si="91"/>
        <v>1</v>
      </c>
      <c r="H374" s="1769"/>
      <c r="I374" s="1762">
        <f t="shared" si="92"/>
        <v>1</v>
      </c>
      <c r="J374" s="1769"/>
      <c r="K374" s="1762">
        <f t="shared" si="93"/>
        <v>1</v>
      </c>
      <c r="L374" s="1769"/>
      <c r="M374" s="1762">
        <f t="shared" si="94"/>
        <v>1</v>
      </c>
      <c r="N374" s="1769"/>
      <c r="O374" s="1762">
        <f t="shared" si="95"/>
        <v>1</v>
      </c>
      <c r="P374" s="1769"/>
      <c r="Q374" s="1762">
        <f t="shared" si="96"/>
        <v>1</v>
      </c>
      <c r="R374" s="1833">
        <f ca="1" t="shared" si="101"/>
        <v>0</v>
      </c>
      <c r="S374" s="1716">
        <f ca="1" t="shared" si="102"/>
        <v>0</v>
      </c>
      <c r="T374" s="1768">
        <f ca="1" t="shared" si="103"/>
        <v>0</v>
      </c>
      <c r="U374" s="1838">
        <f t="shared" si="97"/>
        <v>0</v>
      </c>
      <c r="V374" s="1838">
        <f t="shared" si="98"/>
        <v>0</v>
      </c>
      <c r="W374" s="1840"/>
      <c r="X374" s="1838">
        <f t="shared" si="99"/>
        <v>0</v>
      </c>
      <c r="Y374" s="1838">
        <f t="shared" si="100"/>
        <v>0</v>
      </c>
      <c r="Z374" s="1840"/>
    </row>
    <row r="375" spans="1:26">
      <c r="A375" s="1770"/>
      <c r="B375" s="1771"/>
      <c r="C375" s="1762">
        <f t="shared" si="89"/>
        <v>1</v>
      </c>
      <c r="D375" s="1769"/>
      <c r="E375" s="1762">
        <f t="shared" si="90"/>
        <v>1</v>
      </c>
      <c r="F375" s="1769"/>
      <c r="G375" s="1762">
        <f t="shared" si="91"/>
        <v>1</v>
      </c>
      <c r="H375" s="1769"/>
      <c r="I375" s="1762">
        <f t="shared" si="92"/>
        <v>1</v>
      </c>
      <c r="J375" s="1769"/>
      <c r="K375" s="1762">
        <f t="shared" si="93"/>
        <v>1</v>
      </c>
      <c r="L375" s="1769"/>
      <c r="M375" s="1762">
        <f t="shared" si="94"/>
        <v>1</v>
      </c>
      <c r="N375" s="1769"/>
      <c r="O375" s="1762">
        <f t="shared" si="95"/>
        <v>1</v>
      </c>
      <c r="P375" s="1769"/>
      <c r="Q375" s="1762">
        <f t="shared" si="96"/>
        <v>1</v>
      </c>
      <c r="R375" s="1833">
        <f ca="1" t="shared" si="101"/>
        <v>0</v>
      </c>
      <c r="S375" s="1716">
        <f ca="1" t="shared" si="102"/>
        <v>0</v>
      </c>
      <c r="T375" s="1768">
        <f ca="1" t="shared" si="103"/>
        <v>0</v>
      </c>
      <c r="U375" s="1838">
        <f t="shared" si="97"/>
        <v>0</v>
      </c>
      <c r="V375" s="1838">
        <f t="shared" si="98"/>
        <v>0</v>
      </c>
      <c r="W375" s="1840"/>
      <c r="X375" s="1838">
        <f t="shared" si="99"/>
        <v>0</v>
      </c>
      <c r="Y375" s="1838">
        <f t="shared" si="100"/>
        <v>0</v>
      </c>
      <c r="Z375" s="1840"/>
    </row>
    <row r="376" spans="1:26">
      <c r="A376" s="1770"/>
      <c r="B376" s="1771"/>
      <c r="C376" s="1762">
        <f t="shared" si="89"/>
        <v>1</v>
      </c>
      <c r="D376" s="1769"/>
      <c r="E376" s="1762">
        <f t="shared" si="90"/>
        <v>1</v>
      </c>
      <c r="F376" s="1769"/>
      <c r="G376" s="1762">
        <f t="shared" si="91"/>
        <v>1</v>
      </c>
      <c r="H376" s="1769"/>
      <c r="I376" s="1762">
        <f t="shared" si="92"/>
        <v>1</v>
      </c>
      <c r="J376" s="1769"/>
      <c r="K376" s="1762">
        <f t="shared" si="93"/>
        <v>1</v>
      </c>
      <c r="L376" s="1769"/>
      <c r="M376" s="1762">
        <f t="shared" si="94"/>
        <v>1</v>
      </c>
      <c r="N376" s="1769"/>
      <c r="O376" s="1762">
        <f t="shared" si="95"/>
        <v>1</v>
      </c>
      <c r="P376" s="1769"/>
      <c r="Q376" s="1762">
        <f t="shared" si="96"/>
        <v>1</v>
      </c>
      <c r="R376" s="1833">
        <f ca="1" t="shared" si="101"/>
        <v>0</v>
      </c>
      <c r="S376" s="1716">
        <f ca="1" t="shared" si="102"/>
        <v>0</v>
      </c>
      <c r="T376" s="1768">
        <f ca="1" t="shared" si="103"/>
        <v>0</v>
      </c>
      <c r="U376" s="1838">
        <f t="shared" si="97"/>
        <v>0</v>
      </c>
      <c r="V376" s="1838">
        <f t="shared" si="98"/>
        <v>0</v>
      </c>
      <c r="W376" s="1840"/>
      <c r="X376" s="1838">
        <f t="shared" si="99"/>
        <v>0</v>
      </c>
      <c r="Y376" s="1838">
        <f t="shared" si="100"/>
        <v>0</v>
      </c>
      <c r="Z376" s="1840"/>
    </row>
    <row r="377" spans="1:26">
      <c r="A377" s="1770"/>
      <c r="B377" s="1771"/>
      <c r="C377" s="1762">
        <f t="shared" si="89"/>
        <v>1</v>
      </c>
      <c r="D377" s="1769"/>
      <c r="E377" s="1762">
        <f t="shared" si="90"/>
        <v>1</v>
      </c>
      <c r="F377" s="1769"/>
      <c r="G377" s="1762">
        <f t="shared" si="91"/>
        <v>1</v>
      </c>
      <c r="H377" s="1769"/>
      <c r="I377" s="1762">
        <f t="shared" si="92"/>
        <v>1</v>
      </c>
      <c r="J377" s="1769"/>
      <c r="K377" s="1762">
        <f t="shared" si="93"/>
        <v>1</v>
      </c>
      <c r="L377" s="1769"/>
      <c r="M377" s="1762">
        <f t="shared" si="94"/>
        <v>1</v>
      </c>
      <c r="N377" s="1769"/>
      <c r="O377" s="1762">
        <f t="shared" si="95"/>
        <v>1</v>
      </c>
      <c r="P377" s="1769"/>
      <c r="Q377" s="1762">
        <f t="shared" si="96"/>
        <v>1</v>
      </c>
      <c r="R377" s="1833">
        <f ca="1" t="shared" si="101"/>
        <v>0</v>
      </c>
      <c r="S377" s="1716">
        <f ca="1" t="shared" si="102"/>
        <v>0</v>
      </c>
      <c r="T377" s="1768">
        <f ca="1" t="shared" si="103"/>
        <v>0</v>
      </c>
      <c r="U377" s="1838">
        <f t="shared" si="97"/>
        <v>0</v>
      </c>
      <c r="V377" s="1838">
        <f t="shared" si="98"/>
        <v>0</v>
      </c>
      <c r="W377" s="1840"/>
      <c r="X377" s="1838">
        <f t="shared" si="99"/>
        <v>0</v>
      </c>
      <c r="Y377" s="1838">
        <f t="shared" si="100"/>
        <v>0</v>
      </c>
      <c r="Z377" s="1840"/>
    </row>
    <row r="378" spans="1:26">
      <c r="A378" s="1770"/>
      <c r="B378" s="1771"/>
      <c r="C378" s="1762">
        <f t="shared" si="89"/>
        <v>1</v>
      </c>
      <c r="D378" s="1769"/>
      <c r="E378" s="1762">
        <f t="shared" si="90"/>
        <v>1</v>
      </c>
      <c r="F378" s="1769"/>
      <c r="G378" s="1762">
        <f t="shared" si="91"/>
        <v>1</v>
      </c>
      <c r="H378" s="1769"/>
      <c r="I378" s="1762">
        <f t="shared" si="92"/>
        <v>1</v>
      </c>
      <c r="J378" s="1769"/>
      <c r="K378" s="1762">
        <f t="shared" si="93"/>
        <v>1</v>
      </c>
      <c r="L378" s="1769"/>
      <c r="M378" s="1762">
        <f t="shared" si="94"/>
        <v>1</v>
      </c>
      <c r="N378" s="1769"/>
      <c r="O378" s="1762">
        <f t="shared" si="95"/>
        <v>1</v>
      </c>
      <c r="P378" s="1769"/>
      <c r="Q378" s="1762">
        <f t="shared" si="96"/>
        <v>1</v>
      </c>
      <c r="R378" s="1833">
        <f ca="1" t="shared" si="101"/>
        <v>0</v>
      </c>
      <c r="S378" s="1716">
        <f ca="1" t="shared" si="102"/>
        <v>0</v>
      </c>
      <c r="T378" s="1768">
        <f ca="1" t="shared" si="103"/>
        <v>0</v>
      </c>
      <c r="U378" s="1838">
        <f t="shared" si="97"/>
        <v>0</v>
      </c>
      <c r="V378" s="1838">
        <f t="shared" si="98"/>
        <v>0</v>
      </c>
      <c r="W378" s="1840"/>
      <c r="X378" s="1838">
        <f t="shared" si="99"/>
        <v>0</v>
      </c>
      <c r="Y378" s="1838">
        <f t="shared" si="100"/>
        <v>0</v>
      </c>
      <c r="Z378" s="1840"/>
    </row>
    <row r="379" spans="1:26">
      <c r="A379" s="1770"/>
      <c r="B379" s="1771"/>
      <c r="C379" s="1762">
        <f t="shared" si="89"/>
        <v>1</v>
      </c>
      <c r="D379" s="1769"/>
      <c r="E379" s="1762">
        <f t="shared" si="90"/>
        <v>1</v>
      </c>
      <c r="F379" s="1769"/>
      <c r="G379" s="1762">
        <f t="shared" si="91"/>
        <v>1</v>
      </c>
      <c r="H379" s="1769"/>
      <c r="I379" s="1762">
        <f t="shared" si="92"/>
        <v>1</v>
      </c>
      <c r="J379" s="1769"/>
      <c r="K379" s="1762">
        <f t="shared" si="93"/>
        <v>1</v>
      </c>
      <c r="L379" s="1769"/>
      <c r="M379" s="1762">
        <f t="shared" si="94"/>
        <v>1</v>
      </c>
      <c r="N379" s="1769"/>
      <c r="O379" s="1762">
        <f t="shared" si="95"/>
        <v>1</v>
      </c>
      <c r="P379" s="1769"/>
      <c r="Q379" s="1762">
        <f t="shared" si="96"/>
        <v>1</v>
      </c>
      <c r="R379" s="1833">
        <f ca="1" t="shared" si="101"/>
        <v>0</v>
      </c>
      <c r="S379" s="1716">
        <f ca="1" t="shared" si="102"/>
        <v>0</v>
      </c>
      <c r="T379" s="1768">
        <f ca="1" t="shared" si="103"/>
        <v>0</v>
      </c>
      <c r="U379" s="1838">
        <f t="shared" si="97"/>
        <v>0</v>
      </c>
      <c r="V379" s="1838">
        <f t="shared" si="98"/>
        <v>0</v>
      </c>
      <c r="W379" s="1840"/>
      <c r="X379" s="1838">
        <f t="shared" si="99"/>
        <v>0</v>
      </c>
      <c r="Y379" s="1838">
        <f t="shared" si="100"/>
        <v>0</v>
      </c>
      <c r="Z379" s="1840"/>
    </row>
    <row r="380" spans="1:26">
      <c r="A380" s="1770"/>
      <c r="B380" s="1771"/>
      <c r="C380" s="1762">
        <f t="shared" si="89"/>
        <v>1</v>
      </c>
      <c r="D380" s="1769"/>
      <c r="E380" s="1762">
        <f t="shared" si="90"/>
        <v>1</v>
      </c>
      <c r="F380" s="1769"/>
      <c r="G380" s="1762">
        <f t="shared" si="91"/>
        <v>1</v>
      </c>
      <c r="H380" s="1769"/>
      <c r="I380" s="1762">
        <f t="shared" si="92"/>
        <v>1</v>
      </c>
      <c r="J380" s="1769"/>
      <c r="K380" s="1762">
        <f t="shared" si="93"/>
        <v>1</v>
      </c>
      <c r="L380" s="1769"/>
      <c r="M380" s="1762">
        <f t="shared" si="94"/>
        <v>1</v>
      </c>
      <c r="N380" s="1769"/>
      <c r="O380" s="1762">
        <f t="shared" si="95"/>
        <v>1</v>
      </c>
      <c r="P380" s="1769"/>
      <c r="Q380" s="1762">
        <f t="shared" si="96"/>
        <v>1</v>
      </c>
      <c r="R380" s="1833">
        <f ca="1" t="shared" si="101"/>
        <v>0</v>
      </c>
      <c r="S380" s="1716">
        <f ca="1" t="shared" si="102"/>
        <v>0</v>
      </c>
      <c r="T380" s="1768">
        <f ca="1" t="shared" si="103"/>
        <v>0</v>
      </c>
      <c r="U380" s="1838">
        <f t="shared" si="97"/>
        <v>0</v>
      </c>
      <c r="V380" s="1838">
        <f t="shared" si="98"/>
        <v>0</v>
      </c>
      <c r="W380" s="1840"/>
      <c r="X380" s="1838">
        <f t="shared" si="99"/>
        <v>0</v>
      </c>
      <c r="Y380" s="1838">
        <f t="shared" si="100"/>
        <v>0</v>
      </c>
      <c r="Z380" s="1840"/>
    </row>
    <row r="381" spans="1:26">
      <c r="A381" s="1770"/>
      <c r="B381" s="1771"/>
      <c r="C381" s="1762">
        <f t="shared" si="89"/>
        <v>1</v>
      </c>
      <c r="D381" s="1769"/>
      <c r="E381" s="1762">
        <f t="shared" si="90"/>
        <v>1</v>
      </c>
      <c r="F381" s="1769"/>
      <c r="G381" s="1762">
        <f t="shared" si="91"/>
        <v>1</v>
      </c>
      <c r="H381" s="1769"/>
      <c r="I381" s="1762">
        <f t="shared" si="92"/>
        <v>1</v>
      </c>
      <c r="J381" s="1769"/>
      <c r="K381" s="1762">
        <f t="shared" si="93"/>
        <v>1</v>
      </c>
      <c r="L381" s="1769"/>
      <c r="M381" s="1762">
        <f t="shared" si="94"/>
        <v>1</v>
      </c>
      <c r="N381" s="1769"/>
      <c r="O381" s="1762">
        <f t="shared" si="95"/>
        <v>1</v>
      </c>
      <c r="P381" s="1769"/>
      <c r="Q381" s="1762">
        <f t="shared" si="96"/>
        <v>1</v>
      </c>
      <c r="R381" s="1833">
        <f ca="1" t="shared" si="101"/>
        <v>0</v>
      </c>
      <c r="S381" s="1716">
        <f ca="1" t="shared" si="102"/>
        <v>0</v>
      </c>
      <c r="T381" s="1768">
        <f ca="1" t="shared" si="103"/>
        <v>0</v>
      </c>
      <c r="U381" s="1838">
        <f t="shared" si="97"/>
        <v>0</v>
      </c>
      <c r="V381" s="1838">
        <f t="shared" si="98"/>
        <v>0</v>
      </c>
      <c r="W381" s="1840"/>
      <c r="X381" s="1838">
        <f t="shared" si="99"/>
        <v>0</v>
      </c>
      <c r="Y381" s="1838">
        <f t="shared" si="100"/>
        <v>0</v>
      </c>
      <c r="Z381" s="1840"/>
    </row>
    <row r="382" spans="1:26">
      <c r="A382" s="1770"/>
      <c r="B382" s="1771"/>
      <c r="C382" s="1762">
        <f t="shared" si="89"/>
        <v>1</v>
      </c>
      <c r="D382" s="1769"/>
      <c r="E382" s="1762">
        <f t="shared" si="90"/>
        <v>1</v>
      </c>
      <c r="F382" s="1769"/>
      <c r="G382" s="1762">
        <f t="shared" si="91"/>
        <v>1</v>
      </c>
      <c r="H382" s="1769"/>
      <c r="I382" s="1762">
        <f t="shared" si="92"/>
        <v>1</v>
      </c>
      <c r="J382" s="1769"/>
      <c r="K382" s="1762">
        <f t="shared" si="93"/>
        <v>1</v>
      </c>
      <c r="L382" s="1769"/>
      <c r="M382" s="1762">
        <f t="shared" si="94"/>
        <v>1</v>
      </c>
      <c r="N382" s="1769"/>
      <c r="O382" s="1762">
        <f t="shared" si="95"/>
        <v>1</v>
      </c>
      <c r="P382" s="1769"/>
      <c r="Q382" s="1762">
        <f t="shared" si="96"/>
        <v>1</v>
      </c>
      <c r="R382" s="1833">
        <f ca="1" t="shared" si="101"/>
        <v>0</v>
      </c>
      <c r="S382" s="1716">
        <f ca="1" t="shared" si="102"/>
        <v>0</v>
      </c>
      <c r="T382" s="1768">
        <f ca="1" t="shared" si="103"/>
        <v>0</v>
      </c>
      <c r="U382" s="1838">
        <f t="shared" si="97"/>
        <v>0</v>
      </c>
      <c r="V382" s="1838">
        <f t="shared" si="98"/>
        <v>0</v>
      </c>
      <c r="W382" s="1840"/>
      <c r="X382" s="1838">
        <f t="shared" si="99"/>
        <v>0</v>
      </c>
      <c r="Y382" s="1838">
        <f t="shared" si="100"/>
        <v>0</v>
      </c>
      <c r="Z382" s="1840"/>
    </row>
    <row r="383" spans="1:26">
      <c r="A383" s="1770"/>
      <c r="B383" s="1771"/>
      <c r="C383" s="1762">
        <f t="shared" si="89"/>
        <v>1</v>
      </c>
      <c r="D383" s="1769"/>
      <c r="E383" s="1762">
        <f t="shared" si="90"/>
        <v>1</v>
      </c>
      <c r="F383" s="1769"/>
      <c r="G383" s="1762">
        <f t="shared" si="91"/>
        <v>1</v>
      </c>
      <c r="H383" s="1769"/>
      <c r="I383" s="1762">
        <f t="shared" si="92"/>
        <v>1</v>
      </c>
      <c r="J383" s="1769"/>
      <c r="K383" s="1762">
        <f t="shared" si="93"/>
        <v>1</v>
      </c>
      <c r="L383" s="1769"/>
      <c r="M383" s="1762">
        <f t="shared" si="94"/>
        <v>1</v>
      </c>
      <c r="N383" s="1769"/>
      <c r="O383" s="1762">
        <f t="shared" si="95"/>
        <v>1</v>
      </c>
      <c r="P383" s="1769"/>
      <c r="Q383" s="1762">
        <f t="shared" si="96"/>
        <v>1</v>
      </c>
      <c r="R383" s="1833">
        <f ca="1" t="shared" si="101"/>
        <v>0</v>
      </c>
      <c r="S383" s="1716">
        <f ca="1" t="shared" si="102"/>
        <v>0</v>
      </c>
      <c r="T383" s="1768">
        <f ca="1" t="shared" si="103"/>
        <v>0</v>
      </c>
      <c r="U383" s="1838">
        <f t="shared" si="97"/>
        <v>0</v>
      </c>
      <c r="V383" s="1838">
        <f t="shared" si="98"/>
        <v>0</v>
      </c>
      <c r="W383" s="1840"/>
      <c r="X383" s="1838">
        <f t="shared" si="99"/>
        <v>0</v>
      </c>
      <c r="Y383" s="1838">
        <f t="shared" si="100"/>
        <v>0</v>
      </c>
      <c r="Z383" s="1840"/>
    </row>
    <row r="384" spans="1:26">
      <c r="A384" s="1770"/>
      <c r="B384" s="1771"/>
      <c r="C384" s="1762">
        <f t="shared" si="89"/>
        <v>1</v>
      </c>
      <c r="D384" s="1769"/>
      <c r="E384" s="1762">
        <f t="shared" si="90"/>
        <v>1</v>
      </c>
      <c r="F384" s="1769"/>
      <c r="G384" s="1762">
        <f t="shared" si="91"/>
        <v>1</v>
      </c>
      <c r="H384" s="1769"/>
      <c r="I384" s="1762">
        <f t="shared" si="92"/>
        <v>1</v>
      </c>
      <c r="J384" s="1769"/>
      <c r="K384" s="1762">
        <f t="shared" si="93"/>
        <v>1</v>
      </c>
      <c r="L384" s="1769"/>
      <c r="M384" s="1762">
        <f t="shared" si="94"/>
        <v>1</v>
      </c>
      <c r="N384" s="1769"/>
      <c r="O384" s="1762">
        <f t="shared" si="95"/>
        <v>1</v>
      </c>
      <c r="P384" s="1769"/>
      <c r="Q384" s="1762">
        <f t="shared" si="96"/>
        <v>1</v>
      </c>
      <c r="R384" s="1833">
        <f ca="1" t="shared" si="101"/>
        <v>0</v>
      </c>
      <c r="S384" s="1716">
        <f ca="1" t="shared" si="102"/>
        <v>0</v>
      </c>
      <c r="T384" s="1768">
        <f ca="1" t="shared" si="103"/>
        <v>0</v>
      </c>
      <c r="U384" s="1838">
        <f t="shared" si="97"/>
        <v>0</v>
      </c>
      <c r="V384" s="1838">
        <f t="shared" si="98"/>
        <v>0</v>
      </c>
      <c r="W384" s="1840"/>
      <c r="X384" s="1838">
        <f t="shared" si="99"/>
        <v>0</v>
      </c>
      <c r="Y384" s="1838">
        <f t="shared" si="100"/>
        <v>0</v>
      </c>
      <c r="Z384" s="1840"/>
    </row>
    <row r="385" spans="1:26">
      <c r="A385" s="1770"/>
      <c r="B385" s="1771"/>
      <c r="C385" s="1762">
        <f t="shared" si="89"/>
        <v>1</v>
      </c>
      <c r="D385" s="1769"/>
      <c r="E385" s="1762">
        <f t="shared" si="90"/>
        <v>1</v>
      </c>
      <c r="F385" s="1769"/>
      <c r="G385" s="1762">
        <f t="shared" si="91"/>
        <v>1</v>
      </c>
      <c r="H385" s="1769"/>
      <c r="I385" s="1762">
        <f t="shared" si="92"/>
        <v>1</v>
      </c>
      <c r="J385" s="1769"/>
      <c r="K385" s="1762">
        <f t="shared" si="93"/>
        <v>1</v>
      </c>
      <c r="L385" s="1769"/>
      <c r="M385" s="1762">
        <f t="shared" si="94"/>
        <v>1</v>
      </c>
      <c r="N385" s="1769"/>
      <c r="O385" s="1762">
        <f t="shared" si="95"/>
        <v>1</v>
      </c>
      <c r="P385" s="1769"/>
      <c r="Q385" s="1762">
        <f t="shared" si="96"/>
        <v>1</v>
      </c>
      <c r="R385" s="1833">
        <f ca="1" t="shared" si="101"/>
        <v>0</v>
      </c>
      <c r="S385" s="1716">
        <f ca="1" t="shared" si="102"/>
        <v>0</v>
      </c>
      <c r="T385" s="1768">
        <f ca="1" t="shared" si="103"/>
        <v>0</v>
      </c>
      <c r="U385" s="1838">
        <f t="shared" si="97"/>
        <v>0</v>
      </c>
      <c r="V385" s="1838">
        <f t="shared" si="98"/>
        <v>0</v>
      </c>
      <c r="W385" s="1840"/>
      <c r="X385" s="1838">
        <f t="shared" si="99"/>
        <v>0</v>
      </c>
      <c r="Y385" s="1838">
        <f t="shared" si="100"/>
        <v>0</v>
      </c>
      <c r="Z385" s="1840"/>
    </row>
    <row r="386" spans="1:26">
      <c r="A386" s="1770"/>
      <c r="B386" s="1771"/>
      <c r="C386" s="1762">
        <f t="shared" si="89"/>
        <v>1</v>
      </c>
      <c r="D386" s="1769"/>
      <c r="E386" s="1762">
        <f t="shared" si="90"/>
        <v>1</v>
      </c>
      <c r="F386" s="1769"/>
      <c r="G386" s="1762">
        <f t="shared" si="91"/>
        <v>1</v>
      </c>
      <c r="H386" s="1769"/>
      <c r="I386" s="1762">
        <f t="shared" si="92"/>
        <v>1</v>
      </c>
      <c r="J386" s="1769"/>
      <c r="K386" s="1762">
        <f t="shared" si="93"/>
        <v>1</v>
      </c>
      <c r="L386" s="1769"/>
      <c r="M386" s="1762">
        <f t="shared" si="94"/>
        <v>1</v>
      </c>
      <c r="N386" s="1769"/>
      <c r="O386" s="1762">
        <f t="shared" si="95"/>
        <v>1</v>
      </c>
      <c r="P386" s="1769"/>
      <c r="Q386" s="1762">
        <f t="shared" si="96"/>
        <v>1</v>
      </c>
      <c r="R386" s="1833">
        <f ca="1" t="shared" si="101"/>
        <v>0</v>
      </c>
      <c r="S386" s="1716">
        <f ca="1" t="shared" si="102"/>
        <v>0</v>
      </c>
      <c r="T386" s="1768">
        <f ca="1" t="shared" si="103"/>
        <v>0</v>
      </c>
      <c r="U386" s="1838">
        <f t="shared" si="97"/>
        <v>0</v>
      </c>
      <c r="V386" s="1838">
        <f t="shared" si="98"/>
        <v>0</v>
      </c>
      <c r="W386" s="1840"/>
      <c r="X386" s="1838">
        <f t="shared" si="99"/>
        <v>0</v>
      </c>
      <c r="Y386" s="1838">
        <f t="shared" si="100"/>
        <v>0</v>
      </c>
      <c r="Z386" s="1840"/>
    </row>
    <row r="387" spans="1:26">
      <c r="A387" s="1770"/>
      <c r="B387" s="1771"/>
      <c r="C387" s="1762">
        <f t="shared" si="89"/>
        <v>1</v>
      </c>
      <c r="D387" s="1769"/>
      <c r="E387" s="1762">
        <f t="shared" si="90"/>
        <v>1</v>
      </c>
      <c r="F387" s="1769"/>
      <c r="G387" s="1762">
        <f t="shared" si="91"/>
        <v>1</v>
      </c>
      <c r="H387" s="1769"/>
      <c r="I387" s="1762">
        <f t="shared" si="92"/>
        <v>1</v>
      </c>
      <c r="J387" s="1769"/>
      <c r="K387" s="1762">
        <f t="shared" si="93"/>
        <v>1</v>
      </c>
      <c r="L387" s="1769"/>
      <c r="M387" s="1762">
        <f t="shared" si="94"/>
        <v>1</v>
      </c>
      <c r="N387" s="1769"/>
      <c r="O387" s="1762">
        <f t="shared" si="95"/>
        <v>1</v>
      </c>
      <c r="P387" s="1769"/>
      <c r="Q387" s="1762">
        <f t="shared" si="96"/>
        <v>1</v>
      </c>
      <c r="R387" s="1833">
        <f ca="1" t="shared" si="101"/>
        <v>0</v>
      </c>
      <c r="S387" s="1716">
        <f ca="1" t="shared" si="102"/>
        <v>0</v>
      </c>
      <c r="T387" s="1768">
        <f ca="1" t="shared" si="103"/>
        <v>0</v>
      </c>
      <c r="U387" s="1838">
        <f t="shared" si="97"/>
        <v>0</v>
      </c>
      <c r="V387" s="1838">
        <f t="shared" si="98"/>
        <v>0</v>
      </c>
      <c r="W387" s="1840"/>
      <c r="X387" s="1838">
        <f t="shared" si="99"/>
        <v>0</v>
      </c>
      <c r="Y387" s="1838">
        <f t="shared" si="100"/>
        <v>0</v>
      </c>
      <c r="Z387" s="1840"/>
    </row>
    <row r="388" spans="1:26">
      <c r="A388" s="1770"/>
      <c r="B388" s="1771"/>
      <c r="C388" s="1762">
        <f t="shared" si="89"/>
        <v>1</v>
      </c>
      <c r="D388" s="1769"/>
      <c r="E388" s="1762">
        <f t="shared" si="90"/>
        <v>1</v>
      </c>
      <c r="F388" s="1769"/>
      <c r="G388" s="1762">
        <f t="shared" si="91"/>
        <v>1</v>
      </c>
      <c r="H388" s="1769"/>
      <c r="I388" s="1762">
        <f t="shared" si="92"/>
        <v>1</v>
      </c>
      <c r="J388" s="1769"/>
      <c r="K388" s="1762">
        <f t="shared" si="93"/>
        <v>1</v>
      </c>
      <c r="L388" s="1769"/>
      <c r="M388" s="1762">
        <f t="shared" si="94"/>
        <v>1</v>
      </c>
      <c r="N388" s="1769"/>
      <c r="O388" s="1762">
        <f t="shared" si="95"/>
        <v>1</v>
      </c>
      <c r="P388" s="1769"/>
      <c r="Q388" s="1762">
        <f t="shared" si="96"/>
        <v>1</v>
      </c>
      <c r="R388" s="1833">
        <f ca="1" t="shared" si="101"/>
        <v>0</v>
      </c>
      <c r="S388" s="1716">
        <f ca="1" t="shared" si="102"/>
        <v>0</v>
      </c>
      <c r="T388" s="1768">
        <f ca="1" t="shared" si="103"/>
        <v>0</v>
      </c>
      <c r="U388" s="1838">
        <f t="shared" si="97"/>
        <v>0</v>
      </c>
      <c r="V388" s="1838">
        <f t="shared" si="98"/>
        <v>0</v>
      </c>
      <c r="W388" s="1840"/>
      <c r="X388" s="1838">
        <f t="shared" si="99"/>
        <v>0</v>
      </c>
      <c r="Y388" s="1838">
        <f t="shared" si="100"/>
        <v>0</v>
      </c>
      <c r="Z388" s="1840"/>
    </row>
    <row r="389" spans="1:26">
      <c r="A389" s="1770"/>
      <c r="B389" s="1771"/>
      <c r="C389" s="1762">
        <f t="shared" si="89"/>
        <v>1</v>
      </c>
      <c r="D389" s="1769"/>
      <c r="E389" s="1762">
        <f t="shared" si="90"/>
        <v>1</v>
      </c>
      <c r="F389" s="1769"/>
      <c r="G389" s="1762">
        <f t="shared" si="91"/>
        <v>1</v>
      </c>
      <c r="H389" s="1769"/>
      <c r="I389" s="1762">
        <f t="shared" si="92"/>
        <v>1</v>
      </c>
      <c r="J389" s="1769"/>
      <c r="K389" s="1762">
        <f t="shared" si="93"/>
        <v>1</v>
      </c>
      <c r="L389" s="1769"/>
      <c r="M389" s="1762">
        <f t="shared" si="94"/>
        <v>1</v>
      </c>
      <c r="N389" s="1769"/>
      <c r="O389" s="1762">
        <f t="shared" si="95"/>
        <v>1</v>
      </c>
      <c r="P389" s="1769"/>
      <c r="Q389" s="1762">
        <f t="shared" si="96"/>
        <v>1</v>
      </c>
      <c r="R389" s="1833">
        <f ca="1" t="shared" si="101"/>
        <v>0</v>
      </c>
      <c r="S389" s="1716">
        <f ca="1" t="shared" si="102"/>
        <v>0</v>
      </c>
      <c r="T389" s="1768">
        <f ca="1" t="shared" si="103"/>
        <v>0</v>
      </c>
      <c r="U389" s="1838">
        <f t="shared" si="97"/>
        <v>0</v>
      </c>
      <c r="V389" s="1838">
        <f t="shared" si="98"/>
        <v>0</v>
      </c>
      <c r="W389" s="1840"/>
      <c r="X389" s="1838">
        <f t="shared" si="99"/>
        <v>0</v>
      </c>
      <c r="Y389" s="1838">
        <f t="shared" si="100"/>
        <v>0</v>
      </c>
      <c r="Z389" s="1840"/>
    </row>
    <row r="390" spans="1:26">
      <c r="A390" s="1770"/>
      <c r="B390" s="1771"/>
      <c r="C390" s="1762">
        <f t="shared" si="89"/>
        <v>1</v>
      </c>
      <c r="D390" s="1769"/>
      <c r="E390" s="1762">
        <f t="shared" si="90"/>
        <v>1</v>
      </c>
      <c r="F390" s="1769"/>
      <c r="G390" s="1762">
        <f t="shared" si="91"/>
        <v>1</v>
      </c>
      <c r="H390" s="1769"/>
      <c r="I390" s="1762">
        <f t="shared" si="92"/>
        <v>1</v>
      </c>
      <c r="J390" s="1769"/>
      <c r="K390" s="1762">
        <f t="shared" si="93"/>
        <v>1</v>
      </c>
      <c r="L390" s="1769"/>
      <c r="M390" s="1762">
        <f t="shared" si="94"/>
        <v>1</v>
      </c>
      <c r="N390" s="1769"/>
      <c r="O390" s="1762">
        <f t="shared" si="95"/>
        <v>1</v>
      </c>
      <c r="P390" s="1769"/>
      <c r="Q390" s="1762">
        <f t="shared" si="96"/>
        <v>1</v>
      </c>
      <c r="R390" s="1833">
        <f ca="1" t="shared" si="101"/>
        <v>0</v>
      </c>
      <c r="S390" s="1716">
        <f ca="1" t="shared" si="102"/>
        <v>0</v>
      </c>
      <c r="T390" s="1768">
        <f ca="1" t="shared" si="103"/>
        <v>0</v>
      </c>
      <c r="U390" s="1838">
        <f t="shared" si="97"/>
        <v>0</v>
      </c>
      <c r="V390" s="1838">
        <f t="shared" si="98"/>
        <v>0</v>
      </c>
      <c r="W390" s="1840"/>
      <c r="X390" s="1838">
        <f t="shared" si="99"/>
        <v>0</v>
      </c>
      <c r="Y390" s="1838">
        <f t="shared" si="100"/>
        <v>0</v>
      </c>
      <c r="Z390" s="1840"/>
    </row>
    <row r="391" spans="1:26">
      <c r="A391" s="1770"/>
      <c r="B391" s="1771"/>
      <c r="C391" s="1762">
        <f t="shared" si="89"/>
        <v>1</v>
      </c>
      <c r="D391" s="1769"/>
      <c r="E391" s="1762">
        <f t="shared" si="90"/>
        <v>1</v>
      </c>
      <c r="F391" s="1769"/>
      <c r="G391" s="1762">
        <f t="shared" si="91"/>
        <v>1</v>
      </c>
      <c r="H391" s="1769"/>
      <c r="I391" s="1762">
        <f t="shared" si="92"/>
        <v>1</v>
      </c>
      <c r="J391" s="1769"/>
      <c r="K391" s="1762">
        <f t="shared" si="93"/>
        <v>1</v>
      </c>
      <c r="L391" s="1769"/>
      <c r="M391" s="1762">
        <f t="shared" si="94"/>
        <v>1</v>
      </c>
      <c r="N391" s="1769"/>
      <c r="O391" s="1762">
        <f t="shared" si="95"/>
        <v>1</v>
      </c>
      <c r="P391" s="1769"/>
      <c r="Q391" s="1762">
        <f t="shared" si="96"/>
        <v>1</v>
      </c>
      <c r="R391" s="1833">
        <f ca="1" t="shared" si="101"/>
        <v>0</v>
      </c>
      <c r="S391" s="1716">
        <f ca="1" t="shared" si="102"/>
        <v>0</v>
      </c>
      <c r="T391" s="1768">
        <f ca="1" t="shared" si="103"/>
        <v>0</v>
      </c>
      <c r="U391" s="1838">
        <f t="shared" si="97"/>
        <v>0</v>
      </c>
      <c r="V391" s="1838">
        <f t="shared" si="98"/>
        <v>0</v>
      </c>
      <c r="W391" s="1840"/>
      <c r="X391" s="1838">
        <f t="shared" si="99"/>
        <v>0</v>
      </c>
      <c r="Y391" s="1838">
        <f t="shared" si="100"/>
        <v>0</v>
      </c>
      <c r="Z391" s="1840"/>
    </row>
    <row r="392" spans="1:26">
      <c r="A392" s="1770"/>
      <c r="B392" s="1771"/>
      <c r="C392" s="1762">
        <f t="shared" si="89"/>
        <v>1</v>
      </c>
      <c r="D392" s="1769"/>
      <c r="E392" s="1762">
        <f t="shared" si="90"/>
        <v>1</v>
      </c>
      <c r="F392" s="1769"/>
      <c r="G392" s="1762">
        <f t="shared" si="91"/>
        <v>1</v>
      </c>
      <c r="H392" s="1769"/>
      <c r="I392" s="1762">
        <f t="shared" si="92"/>
        <v>1</v>
      </c>
      <c r="J392" s="1769"/>
      <c r="K392" s="1762">
        <f t="shared" si="93"/>
        <v>1</v>
      </c>
      <c r="L392" s="1769"/>
      <c r="M392" s="1762">
        <f t="shared" si="94"/>
        <v>1</v>
      </c>
      <c r="N392" s="1769"/>
      <c r="O392" s="1762">
        <f t="shared" si="95"/>
        <v>1</v>
      </c>
      <c r="P392" s="1769"/>
      <c r="Q392" s="1762">
        <f t="shared" si="96"/>
        <v>1</v>
      </c>
      <c r="R392" s="1833">
        <f ca="1" t="shared" si="101"/>
        <v>0</v>
      </c>
      <c r="S392" s="1716">
        <f ca="1" t="shared" si="102"/>
        <v>0</v>
      </c>
      <c r="T392" s="1768">
        <f ca="1" t="shared" si="103"/>
        <v>0</v>
      </c>
      <c r="U392" s="1838">
        <f t="shared" si="97"/>
        <v>0</v>
      </c>
      <c r="V392" s="1838">
        <f t="shared" si="98"/>
        <v>0</v>
      </c>
      <c r="W392" s="1840"/>
      <c r="X392" s="1838">
        <f t="shared" si="99"/>
        <v>0</v>
      </c>
      <c r="Y392" s="1838">
        <f t="shared" si="100"/>
        <v>0</v>
      </c>
      <c r="Z392" s="1840"/>
    </row>
    <row r="393" spans="1:26">
      <c r="A393" s="1770"/>
      <c r="B393" s="1771"/>
      <c r="C393" s="1762">
        <f t="shared" si="89"/>
        <v>1</v>
      </c>
      <c r="D393" s="1769"/>
      <c r="E393" s="1762">
        <f t="shared" si="90"/>
        <v>1</v>
      </c>
      <c r="F393" s="1769"/>
      <c r="G393" s="1762">
        <f t="shared" si="91"/>
        <v>1</v>
      </c>
      <c r="H393" s="1769"/>
      <c r="I393" s="1762">
        <f t="shared" si="92"/>
        <v>1</v>
      </c>
      <c r="J393" s="1769"/>
      <c r="K393" s="1762">
        <f t="shared" si="93"/>
        <v>1</v>
      </c>
      <c r="L393" s="1769"/>
      <c r="M393" s="1762">
        <f t="shared" si="94"/>
        <v>1</v>
      </c>
      <c r="N393" s="1769"/>
      <c r="O393" s="1762">
        <f t="shared" si="95"/>
        <v>1</v>
      </c>
      <c r="P393" s="1769"/>
      <c r="Q393" s="1762">
        <f t="shared" si="96"/>
        <v>1</v>
      </c>
      <c r="R393" s="1833">
        <f ca="1" t="shared" si="101"/>
        <v>0</v>
      </c>
      <c r="S393" s="1716">
        <f ca="1" t="shared" si="102"/>
        <v>0</v>
      </c>
      <c r="T393" s="1768">
        <f ca="1" t="shared" si="103"/>
        <v>0</v>
      </c>
      <c r="U393" s="1838">
        <f t="shared" si="97"/>
        <v>0</v>
      </c>
      <c r="V393" s="1838">
        <f t="shared" si="98"/>
        <v>0</v>
      </c>
      <c r="W393" s="1840"/>
      <c r="X393" s="1838">
        <f t="shared" si="99"/>
        <v>0</v>
      </c>
      <c r="Y393" s="1838">
        <f t="shared" si="100"/>
        <v>0</v>
      </c>
      <c r="Z393" s="1840"/>
    </row>
    <row r="394" spans="1:26">
      <c r="A394" s="1770"/>
      <c r="B394" s="1771"/>
      <c r="C394" s="1762">
        <f t="shared" si="89"/>
        <v>1</v>
      </c>
      <c r="D394" s="1769"/>
      <c r="E394" s="1762">
        <f t="shared" si="90"/>
        <v>1</v>
      </c>
      <c r="F394" s="1769"/>
      <c r="G394" s="1762">
        <f t="shared" si="91"/>
        <v>1</v>
      </c>
      <c r="H394" s="1769"/>
      <c r="I394" s="1762">
        <f t="shared" si="92"/>
        <v>1</v>
      </c>
      <c r="J394" s="1769"/>
      <c r="K394" s="1762">
        <f t="shared" si="93"/>
        <v>1</v>
      </c>
      <c r="L394" s="1769"/>
      <c r="M394" s="1762">
        <f t="shared" si="94"/>
        <v>1</v>
      </c>
      <c r="N394" s="1769"/>
      <c r="O394" s="1762">
        <f t="shared" si="95"/>
        <v>1</v>
      </c>
      <c r="P394" s="1769"/>
      <c r="Q394" s="1762">
        <f t="shared" si="96"/>
        <v>1</v>
      </c>
      <c r="R394" s="1833">
        <f ca="1" t="shared" si="101"/>
        <v>0</v>
      </c>
      <c r="S394" s="1716">
        <f ca="1" t="shared" si="102"/>
        <v>0</v>
      </c>
      <c r="T394" s="1768">
        <f ca="1" t="shared" si="103"/>
        <v>0</v>
      </c>
      <c r="U394" s="1838">
        <f t="shared" si="97"/>
        <v>0</v>
      </c>
      <c r="V394" s="1838">
        <f t="shared" si="98"/>
        <v>0</v>
      </c>
      <c r="W394" s="1840"/>
      <c r="X394" s="1838">
        <f t="shared" si="99"/>
        <v>0</v>
      </c>
      <c r="Y394" s="1838">
        <f t="shared" si="100"/>
        <v>0</v>
      </c>
      <c r="Z394" s="1840"/>
    </row>
    <row r="395" spans="1:26">
      <c r="A395" s="1770"/>
      <c r="B395" s="1771"/>
      <c r="C395" s="1762">
        <f t="shared" si="89"/>
        <v>1</v>
      </c>
      <c r="D395" s="1769"/>
      <c r="E395" s="1762">
        <f t="shared" si="90"/>
        <v>1</v>
      </c>
      <c r="F395" s="1769"/>
      <c r="G395" s="1762">
        <f t="shared" si="91"/>
        <v>1</v>
      </c>
      <c r="H395" s="1769"/>
      <c r="I395" s="1762">
        <f t="shared" si="92"/>
        <v>1</v>
      </c>
      <c r="J395" s="1769"/>
      <c r="K395" s="1762">
        <f t="shared" si="93"/>
        <v>1</v>
      </c>
      <c r="L395" s="1769"/>
      <c r="M395" s="1762">
        <f t="shared" si="94"/>
        <v>1</v>
      </c>
      <c r="N395" s="1769"/>
      <c r="O395" s="1762">
        <f t="shared" si="95"/>
        <v>1</v>
      </c>
      <c r="P395" s="1769"/>
      <c r="Q395" s="1762">
        <f t="shared" si="96"/>
        <v>1</v>
      </c>
      <c r="R395" s="1833">
        <f ca="1" t="shared" si="101"/>
        <v>0</v>
      </c>
      <c r="S395" s="1716">
        <f ca="1" t="shared" si="102"/>
        <v>0</v>
      </c>
      <c r="T395" s="1768">
        <f ca="1" t="shared" si="103"/>
        <v>0</v>
      </c>
      <c r="U395" s="1838">
        <f t="shared" si="97"/>
        <v>0</v>
      </c>
      <c r="V395" s="1838">
        <f t="shared" si="98"/>
        <v>0</v>
      </c>
      <c r="W395" s="1840"/>
      <c r="X395" s="1838">
        <f t="shared" si="99"/>
        <v>0</v>
      </c>
      <c r="Y395" s="1838">
        <f t="shared" si="100"/>
        <v>0</v>
      </c>
      <c r="Z395" s="1840"/>
    </row>
    <row r="396" spans="1:26">
      <c r="A396" s="1770"/>
      <c r="B396" s="1771"/>
      <c r="C396" s="1762">
        <f t="shared" si="89"/>
        <v>1</v>
      </c>
      <c r="D396" s="1769"/>
      <c r="E396" s="1762">
        <f t="shared" si="90"/>
        <v>1</v>
      </c>
      <c r="F396" s="1769"/>
      <c r="G396" s="1762">
        <f t="shared" si="91"/>
        <v>1</v>
      </c>
      <c r="H396" s="1769"/>
      <c r="I396" s="1762">
        <f t="shared" si="92"/>
        <v>1</v>
      </c>
      <c r="J396" s="1769"/>
      <c r="K396" s="1762">
        <f t="shared" si="93"/>
        <v>1</v>
      </c>
      <c r="L396" s="1769"/>
      <c r="M396" s="1762">
        <f t="shared" si="94"/>
        <v>1</v>
      </c>
      <c r="N396" s="1769"/>
      <c r="O396" s="1762">
        <f t="shared" si="95"/>
        <v>1</v>
      </c>
      <c r="P396" s="1769"/>
      <c r="Q396" s="1762">
        <f t="shared" si="96"/>
        <v>1</v>
      </c>
      <c r="R396" s="1833">
        <f ca="1" t="shared" si="101"/>
        <v>0</v>
      </c>
      <c r="S396" s="1716">
        <f ca="1" t="shared" si="102"/>
        <v>0</v>
      </c>
      <c r="T396" s="1768">
        <f ca="1" t="shared" si="103"/>
        <v>0</v>
      </c>
      <c r="U396" s="1838">
        <f t="shared" si="97"/>
        <v>0</v>
      </c>
      <c r="V396" s="1838">
        <f t="shared" si="98"/>
        <v>0</v>
      </c>
      <c r="W396" s="1840"/>
      <c r="X396" s="1838">
        <f t="shared" si="99"/>
        <v>0</v>
      </c>
      <c r="Y396" s="1838">
        <f t="shared" si="100"/>
        <v>0</v>
      </c>
      <c r="Z396" s="1840"/>
    </row>
    <row r="397" spans="1:26">
      <c r="A397" s="1770"/>
      <c r="B397" s="1771"/>
      <c r="C397" s="1762">
        <f t="shared" si="89"/>
        <v>1</v>
      </c>
      <c r="D397" s="1769"/>
      <c r="E397" s="1762">
        <f t="shared" si="90"/>
        <v>1</v>
      </c>
      <c r="F397" s="1769"/>
      <c r="G397" s="1762">
        <f t="shared" si="91"/>
        <v>1</v>
      </c>
      <c r="H397" s="1769"/>
      <c r="I397" s="1762">
        <f t="shared" si="92"/>
        <v>1</v>
      </c>
      <c r="J397" s="1769"/>
      <c r="K397" s="1762">
        <f t="shared" si="93"/>
        <v>1</v>
      </c>
      <c r="L397" s="1769"/>
      <c r="M397" s="1762">
        <f t="shared" si="94"/>
        <v>1</v>
      </c>
      <c r="N397" s="1769"/>
      <c r="O397" s="1762">
        <f t="shared" si="95"/>
        <v>1</v>
      </c>
      <c r="P397" s="1769"/>
      <c r="Q397" s="1762">
        <f t="shared" si="96"/>
        <v>1</v>
      </c>
      <c r="R397" s="1833">
        <f ca="1" t="shared" si="101"/>
        <v>0</v>
      </c>
      <c r="S397" s="1716">
        <f ca="1" t="shared" si="102"/>
        <v>0</v>
      </c>
      <c r="T397" s="1768">
        <f ca="1" t="shared" si="103"/>
        <v>0</v>
      </c>
      <c r="U397" s="1838">
        <f t="shared" si="97"/>
        <v>0</v>
      </c>
      <c r="V397" s="1838">
        <f t="shared" si="98"/>
        <v>0</v>
      </c>
      <c r="W397" s="1840"/>
      <c r="X397" s="1838">
        <f t="shared" si="99"/>
        <v>0</v>
      </c>
      <c r="Y397" s="1838">
        <f t="shared" si="100"/>
        <v>0</v>
      </c>
      <c r="Z397" s="1840"/>
    </row>
    <row r="398" spans="1:26">
      <c r="A398" s="1770"/>
      <c r="B398" s="1771"/>
      <c r="C398" s="1762">
        <f t="shared" si="89"/>
        <v>1</v>
      </c>
      <c r="D398" s="1769"/>
      <c r="E398" s="1762">
        <f t="shared" si="90"/>
        <v>1</v>
      </c>
      <c r="F398" s="1769"/>
      <c r="G398" s="1762">
        <f t="shared" si="91"/>
        <v>1</v>
      </c>
      <c r="H398" s="1769"/>
      <c r="I398" s="1762">
        <f t="shared" si="92"/>
        <v>1</v>
      </c>
      <c r="J398" s="1769"/>
      <c r="K398" s="1762">
        <f t="shared" si="93"/>
        <v>1</v>
      </c>
      <c r="L398" s="1769"/>
      <c r="M398" s="1762">
        <f t="shared" si="94"/>
        <v>1</v>
      </c>
      <c r="N398" s="1769"/>
      <c r="O398" s="1762">
        <f t="shared" si="95"/>
        <v>1</v>
      </c>
      <c r="P398" s="1769"/>
      <c r="Q398" s="1762">
        <f t="shared" si="96"/>
        <v>1</v>
      </c>
      <c r="R398" s="1833">
        <f ca="1" t="shared" si="101"/>
        <v>0</v>
      </c>
      <c r="S398" s="1716">
        <f ca="1" t="shared" si="102"/>
        <v>0</v>
      </c>
      <c r="T398" s="1768">
        <f ca="1" t="shared" si="103"/>
        <v>0</v>
      </c>
      <c r="U398" s="1838">
        <f t="shared" si="97"/>
        <v>0</v>
      </c>
      <c r="V398" s="1838">
        <f t="shared" si="98"/>
        <v>0</v>
      </c>
      <c r="W398" s="1840"/>
      <c r="X398" s="1838">
        <f t="shared" si="99"/>
        <v>0</v>
      </c>
      <c r="Y398" s="1838">
        <f t="shared" si="100"/>
        <v>0</v>
      </c>
      <c r="Z398" s="1840"/>
    </row>
    <row r="399" spans="1:26">
      <c r="A399" s="1770"/>
      <c r="B399" s="1771"/>
      <c r="C399" s="1762">
        <f t="shared" si="89"/>
        <v>1</v>
      </c>
      <c r="D399" s="1769"/>
      <c r="E399" s="1762">
        <f t="shared" si="90"/>
        <v>1</v>
      </c>
      <c r="F399" s="1769"/>
      <c r="G399" s="1762">
        <f t="shared" si="91"/>
        <v>1</v>
      </c>
      <c r="H399" s="1769"/>
      <c r="I399" s="1762">
        <f t="shared" si="92"/>
        <v>1</v>
      </c>
      <c r="J399" s="1769"/>
      <c r="K399" s="1762">
        <f t="shared" si="93"/>
        <v>1</v>
      </c>
      <c r="L399" s="1769"/>
      <c r="M399" s="1762">
        <f t="shared" si="94"/>
        <v>1</v>
      </c>
      <c r="N399" s="1769"/>
      <c r="O399" s="1762">
        <f t="shared" si="95"/>
        <v>1</v>
      </c>
      <c r="P399" s="1769"/>
      <c r="Q399" s="1762">
        <f t="shared" si="96"/>
        <v>1</v>
      </c>
      <c r="R399" s="1833">
        <f ca="1" t="shared" si="101"/>
        <v>0</v>
      </c>
      <c r="S399" s="1716">
        <f ca="1" t="shared" si="102"/>
        <v>0</v>
      </c>
      <c r="T399" s="1768">
        <f ca="1" t="shared" si="103"/>
        <v>0</v>
      </c>
      <c r="U399" s="1838">
        <f t="shared" si="97"/>
        <v>0</v>
      </c>
      <c r="V399" s="1838">
        <f t="shared" si="98"/>
        <v>0</v>
      </c>
      <c r="W399" s="1840"/>
      <c r="X399" s="1838">
        <f t="shared" si="99"/>
        <v>0</v>
      </c>
      <c r="Y399" s="1838">
        <f t="shared" si="100"/>
        <v>0</v>
      </c>
      <c r="Z399" s="1840"/>
    </row>
    <row r="400" spans="1:26">
      <c r="A400" s="1770"/>
      <c r="B400" s="1771"/>
      <c r="C400" s="1762">
        <f t="shared" si="89"/>
        <v>1</v>
      </c>
      <c r="D400" s="1769"/>
      <c r="E400" s="1762">
        <f t="shared" si="90"/>
        <v>1</v>
      </c>
      <c r="F400" s="1769"/>
      <c r="G400" s="1762">
        <f t="shared" si="91"/>
        <v>1</v>
      </c>
      <c r="H400" s="1769"/>
      <c r="I400" s="1762">
        <f t="shared" si="92"/>
        <v>1</v>
      </c>
      <c r="J400" s="1769"/>
      <c r="K400" s="1762">
        <f t="shared" si="93"/>
        <v>1</v>
      </c>
      <c r="L400" s="1769"/>
      <c r="M400" s="1762">
        <f t="shared" si="94"/>
        <v>1</v>
      </c>
      <c r="N400" s="1769"/>
      <c r="O400" s="1762">
        <f t="shared" si="95"/>
        <v>1</v>
      </c>
      <c r="P400" s="1769"/>
      <c r="Q400" s="1762">
        <f t="shared" si="96"/>
        <v>1</v>
      </c>
      <c r="R400" s="1833">
        <f ca="1" t="shared" si="101"/>
        <v>0</v>
      </c>
      <c r="S400" s="1716">
        <f ca="1" t="shared" si="102"/>
        <v>0</v>
      </c>
      <c r="T400" s="1768">
        <f ca="1" t="shared" si="103"/>
        <v>0</v>
      </c>
      <c r="U400" s="1838">
        <f t="shared" si="97"/>
        <v>0</v>
      </c>
      <c r="V400" s="1838">
        <f t="shared" si="98"/>
        <v>0</v>
      </c>
      <c r="W400" s="1840"/>
      <c r="X400" s="1838">
        <f t="shared" si="99"/>
        <v>0</v>
      </c>
      <c r="Y400" s="1838">
        <f t="shared" si="100"/>
        <v>0</v>
      </c>
      <c r="Z400" s="1840"/>
    </row>
    <row r="401" spans="1:26">
      <c r="A401" s="1770"/>
      <c r="B401" s="1771"/>
      <c r="C401" s="1762">
        <f t="shared" si="89"/>
        <v>1</v>
      </c>
      <c r="D401" s="1769"/>
      <c r="E401" s="1762">
        <f t="shared" si="90"/>
        <v>1</v>
      </c>
      <c r="F401" s="1769"/>
      <c r="G401" s="1762">
        <f t="shared" si="91"/>
        <v>1</v>
      </c>
      <c r="H401" s="1769"/>
      <c r="I401" s="1762">
        <f t="shared" si="92"/>
        <v>1</v>
      </c>
      <c r="J401" s="1769"/>
      <c r="K401" s="1762">
        <f t="shared" si="93"/>
        <v>1</v>
      </c>
      <c r="L401" s="1769"/>
      <c r="M401" s="1762">
        <f t="shared" si="94"/>
        <v>1</v>
      </c>
      <c r="N401" s="1769"/>
      <c r="O401" s="1762">
        <f t="shared" si="95"/>
        <v>1</v>
      </c>
      <c r="P401" s="1769"/>
      <c r="Q401" s="1762">
        <f t="shared" si="96"/>
        <v>1</v>
      </c>
      <c r="R401" s="1833">
        <f ca="1" t="shared" si="101"/>
        <v>0</v>
      </c>
      <c r="S401" s="1716">
        <f ca="1" t="shared" si="102"/>
        <v>0</v>
      </c>
      <c r="T401" s="1768">
        <f ca="1" t="shared" si="103"/>
        <v>0</v>
      </c>
      <c r="U401" s="1838">
        <f t="shared" si="97"/>
        <v>0</v>
      </c>
      <c r="V401" s="1838">
        <f t="shared" si="98"/>
        <v>0</v>
      </c>
      <c r="W401" s="1840"/>
      <c r="X401" s="1838">
        <f t="shared" si="99"/>
        <v>0</v>
      </c>
      <c r="Y401" s="1838">
        <f t="shared" si="100"/>
        <v>0</v>
      </c>
      <c r="Z401" s="1840"/>
    </row>
    <row r="402" spans="1:26">
      <c r="A402" s="1770"/>
      <c r="B402" s="1771"/>
      <c r="C402" s="1762">
        <f t="shared" si="89"/>
        <v>1</v>
      </c>
      <c r="D402" s="1769"/>
      <c r="E402" s="1762">
        <f t="shared" si="90"/>
        <v>1</v>
      </c>
      <c r="F402" s="1769"/>
      <c r="G402" s="1762">
        <f t="shared" si="91"/>
        <v>1</v>
      </c>
      <c r="H402" s="1769"/>
      <c r="I402" s="1762">
        <f t="shared" si="92"/>
        <v>1</v>
      </c>
      <c r="J402" s="1769"/>
      <c r="K402" s="1762">
        <f t="shared" si="93"/>
        <v>1</v>
      </c>
      <c r="L402" s="1769"/>
      <c r="M402" s="1762">
        <f t="shared" si="94"/>
        <v>1</v>
      </c>
      <c r="N402" s="1769"/>
      <c r="O402" s="1762">
        <f t="shared" si="95"/>
        <v>1</v>
      </c>
      <c r="P402" s="1769"/>
      <c r="Q402" s="1762">
        <f t="shared" si="96"/>
        <v>1</v>
      </c>
      <c r="R402" s="1833">
        <f ca="1" t="shared" si="101"/>
        <v>0</v>
      </c>
      <c r="S402" s="1716">
        <f ca="1" t="shared" si="102"/>
        <v>0</v>
      </c>
      <c r="T402" s="1768">
        <f ca="1" t="shared" si="103"/>
        <v>0</v>
      </c>
      <c r="U402" s="1838">
        <f t="shared" si="97"/>
        <v>0</v>
      </c>
      <c r="V402" s="1838">
        <f t="shared" si="98"/>
        <v>0</v>
      </c>
      <c r="W402" s="1840"/>
      <c r="X402" s="1838">
        <f t="shared" si="99"/>
        <v>0</v>
      </c>
      <c r="Y402" s="1838">
        <f t="shared" si="100"/>
        <v>0</v>
      </c>
      <c r="Z402" s="1840"/>
    </row>
    <row r="403" spans="1:26">
      <c r="A403" s="1770"/>
      <c r="B403" s="1771"/>
      <c r="C403" s="1762">
        <f t="shared" si="89"/>
        <v>1</v>
      </c>
      <c r="D403" s="1769"/>
      <c r="E403" s="1762">
        <f t="shared" si="90"/>
        <v>1</v>
      </c>
      <c r="F403" s="1769"/>
      <c r="G403" s="1762">
        <f t="shared" si="91"/>
        <v>1</v>
      </c>
      <c r="H403" s="1769"/>
      <c r="I403" s="1762">
        <f t="shared" si="92"/>
        <v>1</v>
      </c>
      <c r="J403" s="1769"/>
      <c r="K403" s="1762">
        <f t="shared" si="93"/>
        <v>1</v>
      </c>
      <c r="L403" s="1769"/>
      <c r="M403" s="1762">
        <f t="shared" si="94"/>
        <v>1</v>
      </c>
      <c r="N403" s="1769"/>
      <c r="O403" s="1762">
        <f t="shared" si="95"/>
        <v>1</v>
      </c>
      <c r="P403" s="1769"/>
      <c r="Q403" s="1762">
        <f t="shared" si="96"/>
        <v>1</v>
      </c>
      <c r="R403" s="1833">
        <f ca="1" t="shared" si="101"/>
        <v>0</v>
      </c>
      <c r="S403" s="1716">
        <f ca="1" t="shared" si="102"/>
        <v>0</v>
      </c>
      <c r="T403" s="1768">
        <f ca="1" t="shared" si="103"/>
        <v>0</v>
      </c>
      <c r="U403" s="1838">
        <f t="shared" si="97"/>
        <v>0</v>
      </c>
      <c r="V403" s="1838">
        <f t="shared" si="98"/>
        <v>0</v>
      </c>
      <c r="W403" s="1840"/>
      <c r="X403" s="1838">
        <f t="shared" si="99"/>
        <v>0</v>
      </c>
      <c r="Y403" s="1838">
        <f t="shared" si="100"/>
        <v>0</v>
      </c>
      <c r="Z403" s="1840"/>
    </row>
    <row r="404" spans="1:26">
      <c r="A404" s="1770"/>
      <c r="B404" s="1771"/>
      <c r="C404" s="1762">
        <f t="shared" si="89"/>
        <v>1</v>
      </c>
      <c r="D404" s="1769"/>
      <c r="E404" s="1762">
        <f t="shared" si="90"/>
        <v>1</v>
      </c>
      <c r="F404" s="1769"/>
      <c r="G404" s="1762">
        <f t="shared" si="91"/>
        <v>1</v>
      </c>
      <c r="H404" s="1769"/>
      <c r="I404" s="1762">
        <f t="shared" si="92"/>
        <v>1</v>
      </c>
      <c r="J404" s="1769"/>
      <c r="K404" s="1762">
        <f t="shared" si="93"/>
        <v>1</v>
      </c>
      <c r="L404" s="1769"/>
      <c r="M404" s="1762">
        <f t="shared" si="94"/>
        <v>1</v>
      </c>
      <c r="N404" s="1769"/>
      <c r="O404" s="1762">
        <f t="shared" si="95"/>
        <v>1</v>
      </c>
      <c r="P404" s="1769"/>
      <c r="Q404" s="1762">
        <f t="shared" si="96"/>
        <v>1</v>
      </c>
      <c r="R404" s="1833">
        <f ca="1" t="shared" si="101"/>
        <v>0</v>
      </c>
      <c r="S404" s="1716">
        <f ca="1" t="shared" si="102"/>
        <v>0</v>
      </c>
      <c r="T404" s="1768">
        <f ca="1" t="shared" si="103"/>
        <v>0</v>
      </c>
      <c r="U404" s="1838">
        <f t="shared" si="97"/>
        <v>0</v>
      </c>
      <c r="V404" s="1838">
        <f t="shared" si="98"/>
        <v>0</v>
      </c>
      <c r="W404" s="1840"/>
      <c r="X404" s="1838">
        <f t="shared" si="99"/>
        <v>0</v>
      </c>
      <c r="Y404" s="1838">
        <f t="shared" si="100"/>
        <v>0</v>
      </c>
      <c r="Z404" s="1840"/>
    </row>
    <row r="405" spans="1:26">
      <c r="A405" s="1770"/>
      <c r="B405" s="1771"/>
      <c r="C405" s="1762">
        <f t="shared" si="89"/>
        <v>1</v>
      </c>
      <c r="D405" s="1769"/>
      <c r="E405" s="1762">
        <f t="shared" si="90"/>
        <v>1</v>
      </c>
      <c r="F405" s="1769"/>
      <c r="G405" s="1762">
        <f t="shared" si="91"/>
        <v>1</v>
      </c>
      <c r="H405" s="1769"/>
      <c r="I405" s="1762">
        <f t="shared" si="92"/>
        <v>1</v>
      </c>
      <c r="J405" s="1769"/>
      <c r="K405" s="1762">
        <f t="shared" si="93"/>
        <v>1</v>
      </c>
      <c r="L405" s="1769"/>
      <c r="M405" s="1762">
        <f t="shared" si="94"/>
        <v>1</v>
      </c>
      <c r="N405" s="1769"/>
      <c r="O405" s="1762">
        <f t="shared" si="95"/>
        <v>1</v>
      </c>
      <c r="P405" s="1769"/>
      <c r="Q405" s="1762">
        <f t="shared" si="96"/>
        <v>1</v>
      </c>
      <c r="R405" s="1833">
        <f ca="1" t="shared" si="101"/>
        <v>0</v>
      </c>
      <c r="S405" s="1716">
        <f ca="1" t="shared" si="102"/>
        <v>0</v>
      </c>
      <c r="T405" s="1768">
        <f ca="1" t="shared" si="103"/>
        <v>0</v>
      </c>
      <c r="U405" s="1838">
        <f t="shared" si="97"/>
        <v>0</v>
      </c>
      <c r="V405" s="1838">
        <f t="shared" si="98"/>
        <v>0</v>
      </c>
      <c r="W405" s="1840"/>
      <c r="X405" s="1838">
        <f t="shared" si="99"/>
        <v>0</v>
      </c>
      <c r="Y405" s="1838">
        <f t="shared" si="100"/>
        <v>0</v>
      </c>
      <c r="Z405" s="1840"/>
    </row>
    <row r="406" spans="1:26">
      <c r="A406" s="1770"/>
      <c r="B406" s="1771"/>
      <c r="C406" s="1762">
        <f t="shared" si="89"/>
        <v>1</v>
      </c>
      <c r="D406" s="1769"/>
      <c r="E406" s="1762">
        <f t="shared" si="90"/>
        <v>1</v>
      </c>
      <c r="F406" s="1769"/>
      <c r="G406" s="1762">
        <f t="shared" si="91"/>
        <v>1</v>
      </c>
      <c r="H406" s="1769"/>
      <c r="I406" s="1762">
        <f t="shared" si="92"/>
        <v>1</v>
      </c>
      <c r="J406" s="1769"/>
      <c r="K406" s="1762">
        <f t="shared" si="93"/>
        <v>1</v>
      </c>
      <c r="L406" s="1769"/>
      <c r="M406" s="1762">
        <f t="shared" si="94"/>
        <v>1</v>
      </c>
      <c r="N406" s="1769"/>
      <c r="O406" s="1762">
        <f t="shared" si="95"/>
        <v>1</v>
      </c>
      <c r="P406" s="1769"/>
      <c r="Q406" s="1762">
        <f t="shared" si="96"/>
        <v>1</v>
      </c>
      <c r="R406" s="1833">
        <f ca="1" t="shared" si="101"/>
        <v>0</v>
      </c>
      <c r="S406" s="1716">
        <f ca="1" t="shared" si="102"/>
        <v>0</v>
      </c>
      <c r="T406" s="1768">
        <f ca="1" t="shared" si="103"/>
        <v>0</v>
      </c>
      <c r="U406" s="1838">
        <f t="shared" si="97"/>
        <v>0</v>
      </c>
      <c r="V406" s="1838">
        <f t="shared" si="98"/>
        <v>0</v>
      </c>
      <c r="W406" s="1840"/>
      <c r="X406" s="1838">
        <f t="shared" si="99"/>
        <v>0</v>
      </c>
      <c r="Y406" s="1838">
        <f t="shared" si="100"/>
        <v>0</v>
      </c>
      <c r="Z406" s="1840"/>
    </row>
    <row r="407" spans="1:26">
      <c r="A407" s="1770"/>
      <c r="B407" s="1771"/>
      <c r="C407" s="1762">
        <f t="shared" si="89"/>
        <v>1</v>
      </c>
      <c r="D407" s="1769"/>
      <c r="E407" s="1762">
        <f t="shared" si="90"/>
        <v>1</v>
      </c>
      <c r="F407" s="1769"/>
      <c r="G407" s="1762">
        <f t="shared" si="91"/>
        <v>1</v>
      </c>
      <c r="H407" s="1769"/>
      <c r="I407" s="1762">
        <f t="shared" si="92"/>
        <v>1</v>
      </c>
      <c r="J407" s="1769"/>
      <c r="K407" s="1762">
        <f t="shared" si="93"/>
        <v>1</v>
      </c>
      <c r="L407" s="1769"/>
      <c r="M407" s="1762">
        <f t="shared" si="94"/>
        <v>1</v>
      </c>
      <c r="N407" s="1769"/>
      <c r="O407" s="1762">
        <f t="shared" si="95"/>
        <v>1</v>
      </c>
      <c r="P407" s="1769"/>
      <c r="Q407" s="1762">
        <f t="shared" si="96"/>
        <v>1</v>
      </c>
      <c r="R407" s="1833">
        <f ca="1" t="shared" si="101"/>
        <v>0</v>
      </c>
      <c r="S407" s="1716">
        <f ca="1" t="shared" si="102"/>
        <v>0</v>
      </c>
      <c r="T407" s="1768">
        <f ca="1" t="shared" si="103"/>
        <v>0</v>
      </c>
      <c r="U407" s="1838">
        <f t="shared" si="97"/>
        <v>0</v>
      </c>
      <c r="V407" s="1838">
        <f t="shared" si="98"/>
        <v>0</v>
      </c>
      <c r="W407" s="1840"/>
      <c r="X407" s="1838">
        <f t="shared" si="99"/>
        <v>0</v>
      </c>
      <c r="Y407" s="1838">
        <f t="shared" si="100"/>
        <v>0</v>
      </c>
      <c r="Z407" s="1840"/>
    </row>
    <row r="408" spans="1:26">
      <c r="A408" s="1770"/>
      <c r="B408" s="1771"/>
      <c r="C408" s="1762">
        <f t="shared" si="89"/>
        <v>1</v>
      </c>
      <c r="D408" s="1769"/>
      <c r="E408" s="1762">
        <f t="shared" si="90"/>
        <v>1</v>
      </c>
      <c r="F408" s="1769"/>
      <c r="G408" s="1762">
        <f t="shared" si="91"/>
        <v>1</v>
      </c>
      <c r="H408" s="1769"/>
      <c r="I408" s="1762">
        <f t="shared" si="92"/>
        <v>1</v>
      </c>
      <c r="J408" s="1769"/>
      <c r="K408" s="1762">
        <f t="shared" si="93"/>
        <v>1</v>
      </c>
      <c r="L408" s="1769"/>
      <c r="M408" s="1762">
        <f t="shared" si="94"/>
        <v>1</v>
      </c>
      <c r="N408" s="1769"/>
      <c r="O408" s="1762">
        <f t="shared" si="95"/>
        <v>1</v>
      </c>
      <c r="P408" s="1769"/>
      <c r="Q408" s="1762">
        <f t="shared" si="96"/>
        <v>1</v>
      </c>
      <c r="R408" s="1833">
        <f ca="1" t="shared" si="101"/>
        <v>0</v>
      </c>
      <c r="S408" s="1716">
        <f ca="1" t="shared" si="102"/>
        <v>0</v>
      </c>
      <c r="T408" s="1768">
        <f ca="1" t="shared" si="103"/>
        <v>0</v>
      </c>
      <c r="U408" s="1838">
        <f t="shared" si="97"/>
        <v>0</v>
      </c>
      <c r="V408" s="1838">
        <f t="shared" si="98"/>
        <v>0</v>
      </c>
      <c r="W408" s="1840"/>
      <c r="X408" s="1838">
        <f t="shared" si="99"/>
        <v>0</v>
      </c>
      <c r="Y408" s="1838">
        <f t="shared" si="100"/>
        <v>0</v>
      </c>
      <c r="Z408" s="1840"/>
    </row>
    <row r="409" spans="1:26">
      <c r="A409" s="1770"/>
      <c r="B409" s="1771"/>
      <c r="C409" s="1762">
        <f t="shared" si="89"/>
        <v>1</v>
      </c>
      <c r="D409" s="1769"/>
      <c r="E409" s="1762">
        <f t="shared" si="90"/>
        <v>1</v>
      </c>
      <c r="F409" s="1769"/>
      <c r="G409" s="1762">
        <f t="shared" si="91"/>
        <v>1</v>
      </c>
      <c r="H409" s="1769"/>
      <c r="I409" s="1762">
        <f t="shared" si="92"/>
        <v>1</v>
      </c>
      <c r="J409" s="1769"/>
      <c r="K409" s="1762">
        <f t="shared" si="93"/>
        <v>1</v>
      </c>
      <c r="L409" s="1769"/>
      <c r="M409" s="1762">
        <f t="shared" si="94"/>
        <v>1</v>
      </c>
      <c r="N409" s="1769"/>
      <c r="O409" s="1762">
        <f t="shared" si="95"/>
        <v>1</v>
      </c>
      <c r="P409" s="1769"/>
      <c r="Q409" s="1762">
        <f t="shared" si="96"/>
        <v>1</v>
      </c>
      <c r="R409" s="1833">
        <f ca="1" t="shared" si="101"/>
        <v>0</v>
      </c>
      <c r="S409" s="1716">
        <f ca="1" t="shared" si="102"/>
        <v>0</v>
      </c>
      <c r="T409" s="1768">
        <f ca="1" t="shared" si="103"/>
        <v>0</v>
      </c>
      <c r="U409" s="1838">
        <f t="shared" si="97"/>
        <v>0</v>
      </c>
      <c r="V409" s="1838">
        <f t="shared" si="98"/>
        <v>0</v>
      </c>
      <c r="W409" s="1840"/>
      <c r="X409" s="1838">
        <f t="shared" si="99"/>
        <v>0</v>
      </c>
      <c r="Y409" s="1838">
        <f t="shared" si="100"/>
        <v>0</v>
      </c>
      <c r="Z409" s="1840"/>
    </row>
    <row r="410" spans="1:26">
      <c r="A410" s="1770"/>
      <c r="B410" s="1771"/>
      <c r="C410" s="1762">
        <f t="shared" si="89"/>
        <v>1</v>
      </c>
      <c r="D410" s="1769"/>
      <c r="E410" s="1762">
        <f t="shared" si="90"/>
        <v>1</v>
      </c>
      <c r="F410" s="1769"/>
      <c r="G410" s="1762">
        <f t="shared" si="91"/>
        <v>1</v>
      </c>
      <c r="H410" s="1769"/>
      <c r="I410" s="1762">
        <f t="shared" si="92"/>
        <v>1</v>
      </c>
      <c r="J410" s="1769"/>
      <c r="K410" s="1762">
        <f t="shared" si="93"/>
        <v>1</v>
      </c>
      <c r="L410" s="1769"/>
      <c r="M410" s="1762">
        <f t="shared" si="94"/>
        <v>1</v>
      </c>
      <c r="N410" s="1769"/>
      <c r="O410" s="1762">
        <f t="shared" si="95"/>
        <v>1</v>
      </c>
      <c r="P410" s="1769"/>
      <c r="Q410" s="1762">
        <f t="shared" si="96"/>
        <v>1</v>
      </c>
      <c r="R410" s="1833">
        <f ca="1" t="shared" si="101"/>
        <v>0</v>
      </c>
      <c r="S410" s="1716">
        <f ca="1" t="shared" si="102"/>
        <v>0</v>
      </c>
      <c r="T410" s="1768">
        <f ca="1" t="shared" si="103"/>
        <v>0</v>
      </c>
      <c r="U410" s="1838">
        <f t="shared" si="97"/>
        <v>0</v>
      </c>
      <c r="V410" s="1838">
        <f t="shared" si="98"/>
        <v>0</v>
      </c>
      <c r="W410" s="1840"/>
      <c r="X410" s="1838">
        <f t="shared" si="99"/>
        <v>0</v>
      </c>
      <c r="Y410" s="1838">
        <f t="shared" si="100"/>
        <v>0</v>
      </c>
      <c r="Z410" s="1840"/>
    </row>
    <row r="411" spans="1:26">
      <c r="A411" s="1770"/>
      <c r="B411" s="1771"/>
      <c r="C411" s="1762">
        <f t="shared" si="89"/>
        <v>1</v>
      </c>
      <c r="D411" s="1769"/>
      <c r="E411" s="1762">
        <f t="shared" si="90"/>
        <v>1</v>
      </c>
      <c r="F411" s="1769"/>
      <c r="G411" s="1762">
        <f t="shared" si="91"/>
        <v>1</v>
      </c>
      <c r="H411" s="1769"/>
      <c r="I411" s="1762">
        <f t="shared" si="92"/>
        <v>1</v>
      </c>
      <c r="J411" s="1769"/>
      <c r="K411" s="1762">
        <f t="shared" si="93"/>
        <v>1</v>
      </c>
      <c r="L411" s="1769"/>
      <c r="M411" s="1762">
        <f t="shared" si="94"/>
        <v>1</v>
      </c>
      <c r="N411" s="1769"/>
      <c r="O411" s="1762">
        <f t="shared" si="95"/>
        <v>1</v>
      </c>
      <c r="P411" s="1769"/>
      <c r="Q411" s="1762">
        <f t="shared" si="96"/>
        <v>1</v>
      </c>
      <c r="R411" s="1833">
        <f ca="1" t="shared" si="101"/>
        <v>0</v>
      </c>
      <c r="S411" s="1716">
        <f ca="1" t="shared" si="102"/>
        <v>0</v>
      </c>
      <c r="T411" s="1768">
        <f ca="1" t="shared" si="103"/>
        <v>0</v>
      </c>
      <c r="U411" s="1838">
        <f t="shared" si="97"/>
        <v>0</v>
      </c>
      <c r="V411" s="1838">
        <f t="shared" si="98"/>
        <v>0</v>
      </c>
      <c r="W411" s="1840"/>
      <c r="X411" s="1838">
        <f t="shared" si="99"/>
        <v>0</v>
      </c>
      <c r="Y411" s="1838">
        <f t="shared" si="100"/>
        <v>0</v>
      </c>
      <c r="Z411" s="1840"/>
    </row>
    <row r="412" spans="1:26">
      <c r="A412" s="1770"/>
      <c r="B412" s="1771"/>
      <c r="C412" s="1762">
        <f t="shared" ref="C412:C475" si="104">IF(B412="",1,(LOOKUP(B412,$6:$6,$7:$7)-LOOKUP($B$27,$6:$6,$7:$7)+100)/100)</f>
        <v>1</v>
      </c>
      <c r="D412" s="1769"/>
      <c r="E412" s="1762">
        <f t="shared" ref="E412:E475" si="105">(SUMIF($8:$8,D412,$9:$9)-SUMIF($8:$8,$D$27,$9:$9)+100)/100</f>
        <v>1</v>
      </c>
      <c r="F412" s="1769"/>
      <c r="G412" s="1762">
        <f t="shared" ref="G412:G475" si="106">(SUMIF($10:$10,F412,$11:$11)-SUMIF($10:$10,$F$27,$11:$11)+100)/100</f>
        <v>1</v>
      </c>
      <c r="H412" s="1769"/>
      <c r="I412" s="1762">
        <f t="shared" ref="I412:I475" si="107">(SUMIF($12:$12,H412,$13:$13)-SUMIF($12:$12,$H$27,$13:$13)+100)/100</f>
        <v>1</v>
      </c>
      <c r="J412" s="1769"/>
      <c r="K412" s="1762">
        <f t="shared" ref="K412:K475" si="108">(SUMIF($14:$14,J412,$15:$15)-SUMIF($14:$14,$J$27,$15:$15)+100)/100</f>
        <v>1</v>
      </c>
      <c r="L412" s="1769"/>
      <c r="M412" s="1762">
        <f t="shared" ref="M412:M475" si="109">(SUMIF($16:$16,L412,$17:$17)-SUMIF($16:$16,$L$27,$17:$17)+100)/100</f>
        <v>1</v>
      </c>
      <c r="N412" s="1769"/>
      <c r="O412" s="1762">
        <f t="shared" ref="O412:O475" si="110">(SUMIF($18:$18,N412,$19:$19)-SUMIF($18:$18,$N$27,$19:$19)+100)/100</f>
        <v>1</v>
      </c>
      <c r="P412" s="1769"/>
      <c r="Q412" s="1762">
        <f t="shared" ref="Q412:Q475" si="111">(SUMIF($20:$20,P412,$21:$21)-SUMIF($20:$20,$P$27,$21:$21)+100)/100</f>
        <v>1</v>
      </c>
      <c r="R412" s="1833">
        <f ca="1" t="shared" si="101"/>
        <v>0</v>
      </c>
      <c r="S412" s="1716">
        <f ca="1" t="shared" si="102"/>
        <v>0</v>
      </c>
      <c r="T412" s="1768">
        <f ca="1" t="shared" si="103"/>
        <v>0</v>
      </c>
      <c r="U412" s="1838">
        <f t="shared" ref="U412:U475" si="112">ROUND(W412*B412,0)</f>
        <v>0</v>
      </c>
      <c r="V412" s="1838">
        <f t="shared" ref="V412:V475" si="113">ROUND(W412*B412/10000,0)</f>
        <v>0</v>
      </c>
      <c r="W412" s="1840"/>
      <c r="X412" s="1838">
        <f t="shared" ref="X412:X475" si="114">ROUND(Z412*B412,0)</f>
        <v>0</v>
      </c>
      <c r="Y412" s="1838">
        <f t="shared" ref="Y412:Y475" si="115">ROUND(Z412*B412/10000,0)</f>
        <v>0</v>
      </c>
      <c r="Z412" s="1840"/>
    </row>
    <row r="413" spans="1:26">
      <c r="A413" s="1770"/>
      <c r="B413" s="1771"/>
      <c r="C413" s="1762">
        <f t="shared" si="104"/>
        <v>1</v>
      </c>
      <c r="D413" s="1769"/>
      <c r="E413" s="1762">
        <f t="shared" si="105"/>
        <v>1</v>
      </c>
      <c r="F413" s="1769"/>
      <c r="G413" s="1762">
        <f t="shared" si="106"/>
        <v>1</v>
      </c>
      <c r="H413" s="1769"/>
      <c r="I413" s="1762">
        <f t="shared" si="107"/>
        <v>1</v>
      </c>
      <c r="J413" s="1769"/>
      <c r="K413" s="1762">
        <f t="shared" si="108"/>
        <v>1</v>
      </c>
      <c r="L413" s="1769"/>
      <c r="M413" s="1762">
        <f t="shared" si="109"/>
        <v>1</v>
      </c>
      <c r="N413" s="1769"/>
      <c r="O413" s="1762">
        <f t="shared" si="110"/>
        <v>1</v>
      </c>
      <c r="P413" s="1769"/>
      <c r="Q413" s="1762">
        <f t="shared" si="111"/>
        <v>1</v>
      </c>
      <c r="R413" s="1833">
        <f ca="1" t="shared" ref="R413:R476" si="116">IF(B413="",0,ROUND($R$27*C413*E413*G413*I413*K413*M413*O413*Q413,0))</f>
        <v>0</v>
      </c>
      <c r="S413" s="1716">
        <f ca="1" t="shared" ref="S413:S476" si="117">ROUND(R413*B413,0)</f>
        <v>0</v>
      </c>
      <c r="T413" s="1768">
        <f ca="1" t="shared" ref="T413:T476" si="118">ROUND(R413*B413/10000,0)</f>
        <v>0</v>
      </c>
      <c r="U413" s="1838">
        <f t="shared" si="112"/>
        <v>0</v>
      </c>
      <c r="V413" s="1838">
        <f t="shared" si="113"/>
        <v>0</v>
      </c>
      <c r="W413" s="1840"/>
      <c r="X413" s="1838">
        <f t="shared" si="114"/>
        <v>0</v>
      </c>
      <c r="Y413" s="1838">
        <f t="shared" si="115"/>
        <v>0</v>
      </c>
      <c r="Z413" s="1840"/>
    </row>
    <row r="414" spans="1:26">
      <c r="A414" s="1770"/>
      <c r="B414" s="1771"/>
      <c r="C414" s="1762">
        <f t="shared" si="104"/>
        <v>1</v>
      </c>
      <c r="D414" s="1769"/>
      <c r="E414" s="1762">
        <f t="shared" si="105"/>
        <v>1</v>
      </c>
      <c r="F414" s="1769"/>
      <c r="G414" s="1762">
        <f t="shared" si="106"/>
        <v>1</v>
      </c>
      <c r="H414" s="1769"/>
      <c r="I414" s="1762">
        <f t="shared" si="107"/>
        <v>1</v>
      </c>
      <c r="J414" s="1769"/>
      <c r="K414" s="1762">
        <f t="shared" si="108"/>
        <v>1</v>
      </c>
      <c r="L414" s="1769"/>
      <c r="M414" s="1762">
        <f t="shared" si="109"/>
        <v>1</v>
      </c>
      <c r="N414" s="1769"/>
      <c r="O414" s="1762">
        <f t="shared" si="110"/>
        <v>1</v>
      </c>
      <c r="P414" s="1769"/>
      <c r="Q414" s="1762">
        <f t="shared" si="111"/>
        <v>1</v>
      </c>
      <c r="R414" s="1833">
        <f ca="1" t="shared" si="116"/>
        <v>0</v>
      </c>
      <c r="S414" s="1716">
        <f ca="1" t="shared" si="117"/>
        <v>0</v>
      </c>
      <c r="T414" s="1768">
        <f ca="1" t="shared" si="118"/>
        <v>0</v>
      </c>
      <c r="U414" s="1838">
        <f t="shared" si="112"/>
        <v>0</v>
      </c>
      <c r="V414" s="1838">
        <f t="shared" si="113"/>
        <v>0</v>
      </c>
      <c r="W414" s="1840"/>
      <c r="X414" s="1838">
        <f t="shared" si="114"/>
        <v>0</v>
      </c>
      <c r="Y414" s="1838">
        <f t="shared" si="115"/>
        <v>0</v>
      </c>
      <c r="Z414" s="1840"/>
    </row>
    <row r="415" spans="1:26">
      <c r="A415" s="1770"/>
      <c r="B415" s="1771"/>
      <c r="C415" s="1762">
        <f t="shared" si="104"/>
        <v>1</v>
      </c>
      <c r="D415" s="1769"/>
      <c r="E415" s="1762">
        <f t="shared" si="105"/>
        <v>1</v>
      </c>
      <c r="F415" s="1769"/>
      <c r="G415" s="1762">
        <f t="shared" si="106"/>
        <v>1</v>
      </c>
      <c r="H415" s="1769"/>
      <c r="I415" s="1762">
        <f t="shared" si="107"/>
        <v>1</v>
      </c>
      <c r="J415" s="1769"/>
      <c r="K415" s="1762">
        <f t="shared" si="108"/>
        <v>1</v>
      </c>
      <c r="L415" s="1769"/>
      <c r="M415" s="1762">
        <f t="shared" si="109"/>
        <v>1</v>
      </c>
      <c r="N415" s="1769"/>
      <c r="O415" s="1762">
        <f t="shared" si="110"/>
        <v>1</v>
      </c>
      <c r="P415" s="1769"/>
      <c r="Q415" s="1762">
        <f t="shared" si="111"/>
        <v>1</v>
      </c>
      <c r="R415" s="1833">
        <f ca="1" t="shared" si="116"/>
        <v>0</v>
      </c>
      <c r="S415" s="1716">
        <f ca="1" t="shared" si="117"/>
        <v>0</v>
      </c>
      <c r="T415" s="1768">
        <f ca="1" t="shared" si="118"/>
        <v>0</v>
      </c>
      <c r="U415" s="1838">
        <f t="shared" si="112"/>
        <v>0</v>
      </c>
      <c r="V415" s="1838">
        <f t="shared" si="113"/>
        <v>0</v>
      </c>
      <c r="W415" s="1840"/>
      <c r="X415" s="1838">
        <f t="shared" si="114"/>
        <v>0</v>
      </c>
      <c r="Y415" s="1838">
        <f t="shared" si="115"/>
        <v>0</v>
      </c>
      <c r="Z415" s="1840"/>
    </row>
    <row r="416" spans="1:26">
      <c r="A416" s="1770"/>
      <c r="B416" s="1771"/>
      <c r="C416" s="1762">
        <f t="shared" si="104"/>
        <v>1</v>
      </c>
      <c r="D416" s="1769"/>
      <c r="E416" s="1762">
        <f t="shared" si="105"/>
        <v>1</v>
      </c>
      <c r="F416" s="1769"/>
      <c r="G416" s="1762">
        <f t="shared" si="106"/>
        <v>1</v>
      </c>
      <c r="H416" s="1769"/>
      <c r="I416" s="1762">
        <f t="shared" si="107"/>
        <v>1</v>
      </c>
      <c r="J416" s="1769"/>
      <c r="K416" s="1762">
        <f t="shared" si="108"/>
        <v>1</v>
      </c>
      <c r="L416" s="1769"/>
      <c r="M416" s="1762">
        <f t="shared" si="109"/>
        <v>1</v>
      </c>
      <c r="N416" s="1769"/>
      <c r="O416" s="1762">
        <f t="shared" si="110"/>
        <v>1</v>
      </c>
      <c r="P416" s="1769"/>
      <c r="Q416" s="1762">
        <f t="shared" si="111"/>
        <v>1</v>
      </c>
      <c r="R416" s="1833">
        <f ca="1" t="shared" si="116"/>
        <v>0</v>
      </c>
      <c r="S416" s="1716">
        <f ca="1" t="shared" si="117"/>
        <v>0</v>
      </c>
      <c r="T416" s="1768">
        <f ca="1" t="shared" si="118"/>
        <v>0</v>
      </c>
      <c r="U416" s="1838">
        <f t="shared" si="112"/>
        <v>0</v>
      </c>
      <c r="V416" s="1838">
        <f t="shared" si="113"/>
        <v>0</v>
      </c>
      <c r="W416" s="1840"/>
      <c r="X416" s="1838">
        <f t="shared" si="114"/>
        <v>0</v>
      </c>
      <c r="Y416" s="1838">
        <f t="shared" si="115"/>
        <v>0</v>
      </c>
      <c r="Z416" s="1840"/>
    </row>
    <row r="417" spans="1:26">
      <c r="A417" s="1770"/>
      <c r="B417" s="1771"/>
      <c r="C417" s="1762">
        <f t="shared" si="104"/>
        <v>1</v>
      </c>
      <c r="D417" s="1769"/>
      <c r="E417" s="1762">
        <f t="shared" si="105"/>
        <v>1</v>
      </c>
      <c r="F417" s="1769"/>
      <c r="G417" s="1762">
        <f t="shared" si="106"/>
        <v>1</v>
      </c>
      <c r="H417" s="1769"/>
      <c r="I417" s="1762">
        <f t="shared" si="107"/>
        <v>1</v>
      </c>
      <c r="J417" s="1769"/>
      <c r="K417" s="1762">
        <f t="shared" si="108"/>
        <v>1</v>
      </c>
      <c r="L417" s="1769"/>
      <c r="M417" s="1762">
        <f t="shared" si="109"/>
        <v>1</v>
      </c>
      <c r="N417" s="1769"/>
      <c r="O417" s="1762">
        <f t="shared" si="110"/>
        <v>1</v>
      </c>
      <c r="P417" s="1769"/>
      <c r="Q417" s="1762">
        <f t="shared" si="111"/>
        <v>1</v>
      </c>
      <c r="R417" s="1833">
        <f ca="1" t="shared" si="116"/>
        <v>0</v>
      </c>
      <c r="S417" s="1716">
        <f ca="1" t="shared" si="117"/>
        <v>0</v>
      </c>
      <c r="T417" s="1768">
        <f ca="1" t="shared" si="118"/>
        <v>0</v>
      </c>
      <c r="U417" s="1838">
        <f t="shared" si="112"/>
        <v>0</v>
      </c>
      <c r="V417" s="1838">
        <f t="shared" si="113"/>
        <v>0</v>
      </c>
      <c r="W417" s="1840"/>
      <c r="X417" s="1838">
        <f t="shared" si="114"/>
        <v>0</v>
      </c>
      <c r="Y417" s="1838">
        <f t="shared" si="115"/>
        <v>0</v>
      </c>
      <c r="Z417" s="1840"/>
    </row>
    <row r="418" spans="1:26">
      <c r="A418" s="1770"/>
      <c r="B418" s="1771"/>
      <c r="C418" s="1762">
        <f t="shared" si="104"/>
        <v>1</v>
      </c>
      <c r="D418" s="1769"/>
      <c r="E418" s="1762">
        <f t="shared" si="105"/>
        <v>1</v>
      </c>
      <c r="F418" s="1769"/>
      <c r="G418" s="1762">
        <f t="shared" si="106"/>
        <v>1</v>
      </c>
      <c r="H418" s="1769"/>
      <c r="I418" s="1762">
        <f t="shared" si="107"/>
        <v>1</v>
      </c>
      <c r="J418" s="1769"/>
      <c r="K418" s="1762">
        <f t="shared" si="108"/>
        <v>1</v>
      </c>
      <c r="L418" s="1769"/>
      <c r="M418" s="1762">
        <f t="shared" si="109"/>
        <v>1</v>
      </c>
      <c r="N418" s="1769"/>
      <c r="O418" s="1762">
        <f t="shared" si="110"/>
        <v>1</v>
      </c>
      <c r="P418" s="1769"/>
      <c r="Q418" s="1762">
        <f t="shared" si="111"/>
        <v>1</v>
      </c>
      <c r="R418" s="1833">
        <f ca="1" t="shared" si="116"/>
        <v>0</v>
      </c>
      <c r="S418" s="1716">
        <f ca="1" t="shared" si="117"/>
        <v>0</v>
      </c>
      <c r="T418" s="1768">
        <f ca="1" t="shared" si="118"/>
        <v>0</v>
      </c>
      <c r="U418" s="1838">
        <f t="shared" si="112"/>
        <v>0</v>
      </c>
      <c r="V418" s="1838">
        <f t="shared" si="113"/>
        <v>0</v>
      </c>
      <c r="W418" s="1840"/>
      <c r="X418" s="1838">
        <f t="shared" si="114"/>
        <v>0</v>
      </c>
      <c r="Y418" s="1838">
        <f t="shared" si="115"/>
        <v>0</v>
      </c>
      <c r="Z418" s="1840"/>
    </row>
    <row r="419" spans="1:26">
      <c r="A419" s="1770"/>
      <c r="B419" s="1771"/>
      <c r="C419" s="1762">
        <f t="shared" si="104"/>
        <v>1</v>
      </c>
      <c r="D419" s="1769"/>
      <c r="E419" s="1762">
        <f t="shared" si="105"/>
        <v>1</v>
      </c>
      <c r="F419" s="1769"/>
      <c r="G419" s="1762">
        <f t="shared" si="106"/>
        <v>1</v>
      </c>
      <c r="H419" s="1769"/>
      <c r="I419" s="1762">
        <f t="shared" si="107"/>
        <v>1</v>
      </c>
      <c r="J419" s="1769"/>
      <c r="K419" s="1762">
        <f t="shared" si="108"/>
        <v>1</v>
      </c>
      <c r="L419" s="1769"/>
      <c r="M419" s="1762">
        <f t="shared" si="109"/>
        <v>1</v>
      </c>
      <c r="N419" s="1769"/>
      <c r="O419" s="1762">
        <f t="shared" si="110"/>
        <v>1</v>
      </c>
      <c r="P419" s="1769"/>
      <c r="Q419" s="1762">
        <f t="shared" si="111"/>
        <v>1</v>
      </c>
      <c r="R419" s="1833">
        <f ca="1" t="shared" si="116"/>
        <v>0</v>
      </c>
      <c r="S419" s="1716">
        <f ca="1" t="shared" si="117"/>
        <v>0</v>
      </c>
      <c r="T419" s="1768">
        <f ca="1" t="shared" si="118"/>
        <v>0</v>
      </c>
      <c r="U419" s="1838">
        <f t="shared" si="112"/>
        <v>0</v>
      </c>
      <c r="V419" s="1838">
        <f t="shared" si="113"/>
        <v>0</v>
      </c>
      <c r="W419" s="1840"/>
      <c r="X419" s="1838">
        <f t="shared" si="114"/>
        <v>0</v>
      </c>
      <c r="Y419" s="1838">
        <f t="shared" si="115"/>
        <v>0</v>
      </c>
      <c r="Z419" s="1840"/>
    </row>
    <row r="420" spans="1:26">
      <c r="A420" s="1770"/>
      <c r="B420" s="1771"/>
      <c r="C420" s="1762">
        <f t="shared" si="104"/>
        <v>1</v>
      </c>
      <c r="D420" s="1769"/>
      <c r="E420" s="1762">
        <f t="shared" si="105"/>
        <v>1</v>
      </c>
      <c r="F420" s="1769"/>
      <c r="G420" s="1762">
        <f t="shared" si="106"/>
        <v>1</v>
      </c>
      <c r="H420" s="1769"/>
      <c r="I420" s="1762">
        <f t="shared" si="107"/>
        <v>1</v>
      </c>
      <c r="J420" s="1769"/>
      <c r="K420" s="1762">
        <f t="shared" si="108"/>
        <v>1</v>
      </c>
      <c r="L420" s="1769"/>
      <c r="M420" s="1762">
        <f t="shared" si="109"/>
        <v>1</v>
      </c>
      <c r="N420" s="1769"/>
      <c r="O420" s="1762">
        <f t="shared" si="110"/>
        <v>1</v>
      </c>
      <c r="P420" s="1769"/>
      <c r="Q420" s="1762">
        <f t="shared" si="111"/>
        <v>1</v>
      </c>
      <c r="R420" s="1833">
        <f ca="1" t="shared" si="116"/>
        <v>0</v>
      </c>
      <c r="S420" s="1716">
        <f ca="1" t="shared" si="117"/>
        <v>0</v>
      </c>
      <c r="T420" s="1768">
        <f ca="1" t="shared" si="118"/>
        <v>0</v>
      </c>
      <c r="U420" s="1838">
        <f t="shared" si="112"/>
        <v>0</v>
      </c>
      <c r="V420" s="1838">
        <f t="shared" si="113"/>
        <v>0</v>
      </c>
      <c r="W420" s="1840"/>
      <c r="X420" s="1838">
        <f t="shared" si="114"/>
        <v>0</v>
      </c>
      <c r="Y420" s="1838">
        <f t="shared" si="115"/>
        <v>0</v>
      </c>
      <c r="Z420" s="1840"/>
    </row>
    <row r="421" spans="1:26">
      <c r="A421" s="1770"/>
      <c r="B421" s="1771"/>
      <c r="C421" s="1762">
        <f t="shared" si="104"/>
        <v>1</v>
      </c>
      <c r="D421" s="1769"/>
      <c r="E421" s="1762">
        <f t="shared" si="105"/>
        <v>1</v>
      </c>
      <c r="F421" s="1769"/>
      <c r="G421" s="1762">
        <f t="shared" si="106"/>
        <v>1</v>
      </c>
      <c r="H421" s="1769"/>
      <c r="I421" s="1762">
        <f t="shared" si="107"/>
        <v>1</v>
      </c>
      <c r="J421" s="1769"/>
      <c r="K421" s="1762">
        <f t="shared" si="108"/>
        <v>1</v>
      </c>
      <c r="L421" s="1769"/>
      <c r="M421" s="1762">
        <f t="shared" si="109"/>
        <v>1</v>
      </c>
      <c r="N421" s="1769"/>
      <c r="O421" s="1762">
        <f t="shared" si="110"/>
        <v>1</v>
      </c>
      <c r="P421" s="1769"/>
      <c r="Q421" s="1762">
        <f t="shared" si="111"/>
        <v>1</v>
      </c>
      <c r="R421" s="1833">
        <f ca="1" t="shared" si="116"/>
        <v>0</v>
      </c>
      <c r="S421" s="1716">
        <f ca="1" t="shared" si="117"/>
        <v>0</v>
      </c>
      <c r="T421" s="1768">
        <f ca="1" t="shared" si="118"/>
        <v>0</v>
      </c>
      <c r="U421" s="1838">
        <f t="shared" si="112"/>
        <v>0</v>
      </c>
      <c r="V421" s="1838">
        <f t="shared" si="113"/>
        <v>0</v>
      </c>
      <c r="W421" s="1840"/>
      <c r="X421" s="1838">
        <f t="shared" si="114"/>
        <v>0</v>
      </c>
      <c r="Y421" s="1838">
        <f t="shared" si="115"/>
        <v>0</v>
      </c>
      <c r="Z421" s="1840"/>
    </row>
    <row r="422" spans="1:26">
      <c r="A422" s="1770"/>
      <c r="B422" s="1771"/>
      <c r="C422" s="1762">
        <f t="shared" si="104"/>
        <v>1</v>
      </c>
      <c r="D422" s="1769"/>
      <c r="E422" s="1762">
        <f t="shared" si="105"/>
        <v>1</v>
      </c>
      <c r="F422" s="1769"/>
      <c r="G422" s="1762">
        <f t="shared" si="106"/>
        <v>1</v>
      </c>
      <c r="H422" s="1769"/>
      <c r="I422" s="1762">
        <f t="shared" si="107"/>
        <v>1</v>
      </c>
      <c r="J422" s="1769"/>
      <c r="K422" s="1762">
        <f t="shared" si="108"/>
        <v>1</v>
      </c>
      <c r="L422" s="1769"/>
      <c r="M422" s="1762">
        <f t="shared" si="109"/>
        <v>1</v>
      </c>
      <c r="N422" s="1769"/>
      <c r="O422" s="1762">
        <f t="shared" si="110"/>
        <v>1</v>
      </c>
      <c r="P422" s="1769"/>
      <c r="Q422" s="1762">
        <f t="shared" si="111"/>
        <v>1</v>
      </c>
      <c r="R422" s="1833">
        <f ca="1" t="shared" si="116"/>
        <v>0</v>
      </c>
      <c r="S422" s="1716">
        <f ca="1" t="shared" si="117"/>
        <v>0</v>
      </c>
      <c r="T422" s="1768">
        <f ca="1" t="shared" si="118"/>
        <v>0</v>
      </c>
      <c r="U422" s="1838">
        <f t="shared" si="112"/>
        <v>0</v>
      </c>
      <c r="V422" s="1838">
        <f t="shared" si="113"/>
        <v>0</v>
      </c>
      <c r="W422" s="1840"/>
      <c r="X422" s="1838">
        <f t="shared" si="114"/>
        <v>0</v>
      </c>
      <c r="Y422" s="1838">
        <f t="shared" si="115"/>
        <v>0</v>
      </c>
      <c r="Z422" s="1840"/>
    </row>
    <row r="423" spans="1:26">
      <c r="A423" s="1770"/>
      <c r="B423" s="1771"/>
      <c r="C423" s="1762">
        <f t="shared" si="104"/>
        <v>1</v>
      </c>
      <c r="D423" s="1769"/>
      <c r="E423" s="1762">
        <f t="shared" si="105"/>
        <v>1</v>
      </c>
      <c r="F423" s="1769"/>
      <c r="G423" s="1762">
        <f t="shared" si="106"/>
        <v>1</v>
      </c>
      <c r="H423" s="1769"/>
      <c r="I423" s="1762">
        <f t="shared" si="107"/>
        <v>1</v>
      </c>
      <c r="J423" s="1769"/>
      <c r="K423" s="1762">
        <f t="shared" si="108"/>
        <v>1</v>
      </c>
      <c r="L423" s="1769"/>
      <c r="M423" s="1762">
        <f t="shared" si="109"/>
        <v>1</v>
      </c>
      <c r="N423" s="1769"/>
      <c r="O423" s="1762">
        <f t="shared" si="110"/>
        <v>1</v>
      </c>
      <c r="P423" s="1769"/>
      <c r="Q423" s="1762">
        <f t="shared" si="111"/>
        <v>1</v>
      </c>
      <c r="R423" s="1833">
        <f ca="1" t="shared" si="116"/>
        <v>0</v>
      </c>
      <c r="S423" s="1716">
        <f ca="1" t="shared" si="117"/>
        <v>0</v>
      </c>
      <c r="T423" s="1768">
        <f ca="1" t="shared" si="118"/>
        <v>0</v>
      </c>
      <c r="U423" s="1838">
        <f t="shared" si="112"/>
        <v>0</v>
      </c>
      <c r="V423" s="1838">
        <f t="shared" si="113"/>
        <v>0</v>
      </c>
      <c r="W423" s="1840"/>
      <c r="X423" s="1838">
        <f t="shared" si="114"/>
        <v>0</v>
      </c>
      <c r="Y423" s="1838">
        <f t="shared" si="115"/>
        <v>0</v>
      </c>
      <c r="Z423" s="1840"/>
    </row>
    <row r="424" spans="1:26">
      <c r="A424" s="1770"/>
      <c r="B424" s="1771"/>
      <c r="C424" s="1762">
        <f t="shared" si="104"/>
        <v>1</v>
      </c>
      <c r="D424" s="1769"/>
      <c r="E424" s="1762">
        <f t="shared" si="105"/>
        <v>1</v>
      </c>
      <c r="F424" s="1769"/>
      <c r="G424" s="1762">
        <f t="shared" si="106"/>
        <v>1</v>
      </c>
      <c r="H424" s="1769"/>
      <c r="I424" s="1762">
        <f t="shared" si="107"/>
        <v>1</v>
      </c>
      <c r="J424" s="1769"/>
      <c r="K424" s="1762">
        <f t="shared" si="108"/>
        <v>1</v>
      </c>
      <c r="L424" s="1769"/>
      <c r="M424" s="1762">
        <f t="shared" si="109"/>
        <v>1</v>
      </c>
      <c r="N424" s="1769"/>
      <c r="O424" s="1762">
        <f t="shared" si="110"/>
        <v>1</v>
      </c>
      <c r="P424" s="1769"/>
      <c r="Q424" s="1762">
        <f t="shared" si="111"/>
        <v>1</v>
      </c>
      <c r="R424" s="1833">
        <f ca="1" t="shared" si="116"/>
        <v>0</v>
      </c>
      <c r="S424" s="1716">
        <f ca="1" t="shared" si="117"/>
        <v>0</v>
      </c>
      <c r="T424" s="1768">
        <f ca="1" t="shared" si="118"/>
        <v>0</v>
      </c>
      <c r="U424" s="1838">
        <f t="shared" si="112"/>
        <v>0</v>
      </c>
      <c r="V424" s="1838">
        <f t="shared" si="113"/>
        <v>0</v>
      </c>
      <c r="W424" s="1840"/>
      <c r="X424" s="1838">
        <f t="shared" si="114"/>
        <v>0</v>
      </c>
      <c r="Y424" s="1838">
        <f t="shared" si="115"/>
        <v>0</v>
      </c>
      <c r="Z424" s="1840"/>
    </row>
    <row r="425" spans="1:26">
      <c r="A425" s="1770"/>
      <c r="B425" s="1771"/>
      <c r="C425" s="1762">
        <f t="shared" si="104"/>
        <v>1</v>
      </c>
      <c r="D425" s="1769"/>
      <c r="E425" s="1762">
        <f t="shared" si="105"/>
        <v>1</v>
      </c>
      <c r="F425" s="1769"/>
      <c r="G425" s="1762">
        <f t="shared" si="106"/>
        <v>1</v>
      </c>
      <c r="H425" s="1769"/>
      <c r="I425" s="1762">
        <f t="shared" si="107"/>
        <v>1</v>
      </c>
      <c r="J425" s="1769"/>
      <c r="K425" s="1762">
        <f t="shared" si="108"/>
        <v>1</v>
      </c>
      <c r="L425" s="1769"/>
      <c r="M425" s="1762">
        <f t="shared" si="109"/>
        <v>1</v>
      </c>
      <c r="N425" s="1769"/>
      <c r="O425" s="1762">
        <f t="shared" si="110"/>
        <v>1</v>
      </c>
      <c r="P425" s="1769"/>
      <c r="Q425" s="1762">
        <f t="shared" si="111"/>
        <v>1</v>
      </c>
      <c r="R425" s="1833">
        <f ca="1" t="shared" si="116"/>
        <v>0</v>
      </c>
      <c r="S425" s="1716">
        <f ca="1" t="shared" si="117"/>
        <v>0</v>
      </c>
      <c r="T425" s="1768">
        <f ca="1" t="shared" si="118"/>
        <v>0</v>
      </c>
      <c r="U425" s="1838">
        <f t="shared" si="112"/>
        <v>0</v>
      </c>
      <c r="V425" s="1838">
        <f t="shared" si="113"/>
        <v>0</v>
      </c>
      <c r="W425" s="1840"/>
      <c r="X425" s="1838">
        <f t="shared" si="114"/>
        <v>0</v>
      </c>
      <c r="Y425" s="1838">
        <f t="shared" si="115"/>
        <v>0</v>
      </c>
      <c r="Z425" s="1840"/>
    </row>
    <row r="426" spans="1:26">
      <c r="A426" s="1770"/>
      <c r="B426" s="1771"/>
      <c r="C426" s="1762">
        <f t="shared" si="104"/>
        <v>1</v>
      </c>
      <c r="D426" s="1769"/>
      <c r="E426" s="1762">
        <f t="shared" si="105"/>
        <v>1</v>
      </c>
      <c r="F426" s="1769"/>
      <c r="G426" s="1762">
        <f t="shared" si="106"/>
        <v>1</v>
      </c>
      <c r="H426" s="1769"/>
      <c r="I426" s="1762">
        <f t="shared" si="107"/>
        <v>1</v>
      </c>
      <c r="J426" s="1769"/>
      <c r="K426" s="1762">
        <f t="shared" si="108"/>
        <v>1</v>
      </c>
      <c r="L426" s="1769"/>
      <c r="M426" s="1762">
        <f t="shared" si="109"/>
        <v>1</v>
      </c>
      <c r="N426" s="1769"/>
      <c r="O426" s="1762">
        <f t="shared" si="110"/>
        <v>1</v>
      </c>
      <c r="P426" s="1769"/>
      <c r="Q426" s="1762">
        <f t="shared" si="111"/>
        <v>1</v>
      </c>
      <c r="R426" s="1833">
        <f ca="1" t="shared" si="116"/>
        <v>0</v>
      </c>
      <c r="S426" s="1716">
        <f ca="1" t="shared" si="117"/>
        <v>0</v>
      </c>
      <c r="T426" s="1768">
        <f ca="1" t="shared" si="118"/>
        <v>0</v>
      </c>
      <c r="U426" s="1838">
        <f t="shared" si="112"/>
        <v>0</v>
      </c>
      <c r="V426" s="1838">
        <f t="shared" si="113"/>
        <v>0</v>
      </c>
      <c r="W426" s="1840"/>
      <c r="X426" s="1838">
        <f t="shared" si="114"/>
        <v>0</v>
      </c>
      <c r="Y426" s="1838">
        <f t="shared" si="115"/>
        <v>0</v>
      </c>
      <c r="Z426" s="1840"/>
    </row>
    <row r="427" spans="1:26">
      <c r="A427" s="1770"/>
      <c r="B427" s="1771"/>
      <c r="C427" s="1762">
        <f t="shared" si="104"/>
        <v>1</v>
      </c>
      <c r="D427" s="1769"/>
      <c r="E427" s="1762">
        <f t="shared" si="105"/>
        <v>1</v>
      </c>
      <c r="F427" s="1769"/>
      <c r="G427" s="1762">
        <f t="shared" si="106"/>
        <v>1</v>
      </c>
      <c r="H427" s="1769"/>
      <c r="I427" s="1762">
        <f t="shared" si="107"/>
        <v>1</v>
      </c>
      <c r="J427" s="1769"/>
      <c r="K427" s="1762">
        <f t="shared" si="108"/>
        <v>1</v>
      </c>
      <c r="L427" s="1769"/>
      <c r="M427" s="1762">
        <f t="shared" si="109"/>
        <v>1</v>
      </c>
      <c r="N427" s="1769"/>
      <c r="O427" s="1762">
        <f t="shared" si="110"/>
        <v>1</v>
      </c>
      <c r="P427" s="1769"/>
      <c r="Q427" s="1762">
        <f t="shared" si="111"/>
        <v>1</v>
      </c>
      <c r="R427" s="1833">
        <f ca="1" t="shared" si="116"/>
        <v>0</v>
      </c>
      <c r="S427" s="1716">
        <f ca="1" t="shared" si="117"/>
        <v>0</v>
      </c>
      <c r="T427" s="1768">
        <f ca="1" t="shared" si="118"/>
        <v>0</v>
      </c>
      <c r="U427" s="1838">
        <f t="shared" si="112"/>
        <v>0</v>
      </c>
      <c r="V427" s="1838">
        <f t="shared" si="113"/>
        <v>0</v>
      </c>
      <c r="W427" s="1840"/>
      <c r="X427" s="1838">
        <f t="shared" si="114"/>
        <v>0</v>
      </c>
      <c r="Y427" s="1838">
        <f t="shared" si="115"/>
        <v>0</v>
      </c>
      <c r="Z427" s="1840"/>
    </row>
    <row r="428" spans="1:26">
      <c r="A428" s="1770"/>
      <c r="B428" s="1771"/>
      <c r="C428" s="1762">
        <f t="shared" si="104"/>
        <v>1</v>
      </c>
      <c r="D428" s="1769"/>
      <c r="E428" s="1762">
        <f t="shared" si="105"/>
        <v>1</v>
      </c>
      <c r="F428" s="1769"/>
      <c r="G428" s="1762">
        <f t="shared" si="106"/>
        <v>1</v>
      </c>
      <c r="H428" s="1769"/>
      <c r="I428" s="1762">
        <f t="shared" si="107"/>
        <v>1</v>
      </c>
      <c r="J428" s="1769"/>
      <c r="K428" s="1762">
        <f t="shared" si="108"/>
        <v>1</v>
      </c>
      <c r="L428" s="1769"/>
      <c r="M428" s="1762">
        <f t="shared" si="109"/>
        <v>1</v>
      </c>
      <c r="N428" s="1769"/>
      <c r="O428" s="1762">
        <f t="shared" si="110"/>
        <v>1</v>
      </c>
      <c r="P428" s="1769"/>
      <c r="Q428" s="1762">
        <f t="shared" si="111"/>
        <v>1</v>
      </c>
      <c r="R428" s="1833">
        <f ca="1" t="shared" si="116"/>
        <v>0</v>
      </c>
      <c r="S428" s="1716">
        <f ca="1" t="shared" si="117"/>
        <v>0</v>
      </c>
      <c r="T428" s="1768">
        <f ca="1" t="shared" si="118"/>
        <v>0</v>
      </c>
      <c r="U428" s="1838">
        <f t="shared" si="112"/>
        <v>0</v>
      </c>
      <c r="V428" s="1838">
        <f t="shared" si="113"/>
        <v>0</v>
      </c>
      <c r="W428" s="1840"/>
      <c r="X428" s="1838">
        <f t="shared" si="114"/>
        <v>0</v>
      </c>
      <c r="Y428" s="1838">
        <f t="shared" si="115"/>
        <v>0</v>
      </c>
      <c r="Z428" s="1840"/>
    </row>
    <row r="429" spans="1:26">
      <c r="A429" s="1770"/>
      <c r="B429" s="1771"/>
      <c r="C429" s="1762">
        <f t="shared" si="104"/>
        <v>1</v>
      </c>
      <c r="D429" s="1769"/>
      <c r="E429" s="1762">
        <f t="shared" si="105"/>
        <v>1</v>
      </c>
      <c r="F429" s="1769"/>
      <c r="G429" s="1762">
        <f t="shared" si="106"/>
        <v>1</v>
      </c>
      <c r="H429" s="1769"/>
      <c r="I429" s="1762">
        <f t="shared" si="107"/>
        <v>1</v>
      </c>
      <c r="J429" s="1769"/>
      <c r="K429" s="1762">
        <f t="shared" si="108"/>
        <v>1</v>
      </c>
      <c r="L429" s="1769"/>
      <c r="M429" s="1762">
        <f t="shared" si="109"/>
        <v>1</v>
      </c>
      <c r="N429" s="1769"/>
      <c r="O429" s="1762">
        <f t="shared" si="110"/>
        <v>1</v>
      </c>
      <c r="P429" s="1769"/>
      <c r="Q429" s="1762">
        <f t="shared" si="111"/>
        <v>1</v>
      </c>
      <c r="R429" s="1833">
        <f ca="1" t="shared" si="116"/>
        <v>0</v>
      </c>
      <c r="S429" s="1716">
        <f ca="1" t="shared" si="117"/>
        <v>0</v>
      </c>
      <c r="T429" s="1768">
        <f ca="1" t="shared" si="118"/>
        <v>0</v>
      </c>
      <c r="U429" s="1838">
        <f t="shared" si="112"/>
        <v>0</v>
      </c>
      <c r="V429" s="1838">
        <f t="shared" si="113"/>
        <v>0</v>
      </c>
      <c r="W429" s="1840"/>
      <c r="X429" s="1838">
        <f t="shared" si="114"/>
        <v>0</v>
      </c>
      <c r="Y429" s="1838">
        <f t="shared" si="115"/>
        <v>0</v>
      </c>
      <c r="Z429" s="1840"/>
    </row>
    <row r="430" spans="1:26">
      <c r="A430" s="1770"/>
      <c r="B430" s="1771"/>
      <c r="C430" s="1762">
        <f t="shared" si="104"/>
        <v>1</v>
      </c>
      <c r="D430" s="1769"/>
      <c r="E430" s="1762">
        <f t="shared" si="105"/>
        <v>1</v>
      </c>
      <c r="F430" s="1769"/>
      <c r="G430" s="1762">
        <f t="shared" si="106"/>
        <v>1</v>
      </c>
      <c r="H430" s="1769"/>
      <c r="I430" s="1762">
        <f t="shared" si="107"/>
        <v>1</v>
      </c>
      <c r="J430" s="1769"/>
      <c r="K430" s="1762">
        <f t="shared" si="108"/>
        <v>1</v>
      </c>
      <c r="L430" s="1769"/>
      <c r="M430" s="1762">
        <f t="shared" si="109"/>
        <v>1</v>
      </c>
      <c r="N430" s="1769"/>
      <c r="O430" s="1762">
        <f t="shared" si="110"/>
        <v>1</v>
      </c>
      <c r="P430" s="1769"/>
      <c r="Q430" s="1762">
        <f t="shared" si="111"/>
        <v>1</v>
      </c>
      <c r="R430" s="1833">
        <f ca="1" t="shared" si="116"/>
        <v>0</v>
      </c>
      <c r="S430" s="1716">
        <f ca="1" t="shared" si="117"/>
        <v>0</v>
      </c>
      <c r="T430" s="1768">
        <f ca="1" t="shared" si="118"/>
        <v>0</v>
      </c>
      <c r="U430" s="1838">
        <f t="shared" si="112"/>
        <v>0</v>
      </c>
      <c r="V430" s="1838">
        <f t="shared" si="113"/>
        <v>0</v>
      </c>
      <c r="W430" s="1840"/>
      <c r="X430" s="1838">
        <f t="shared" si="114"/>
        <v>0</v>
      </c>
      <c r="Y430" s="1838">
        <f t="shared" si="115"/>
        <v>0</v>
      </c>
      <c r="Z430" s="1840"/>
    </row>
    <row r="431" spans="1:26">
      <c r="A431" s="1770"/>
      <c r="B431" s="1771"/>
      <c r="C431" s="1762">
        <f t="shared" si="104"/>
        <v>1</v>
      </c>
      <c r="D431" s="1769"/>
      <c r="E431" s="1762">
        <f t="shared" si="105"/>
        <v>1</v>
      </c>
      <c r="F431" s="1769"/>
      <c r="G431" s="1762">
        <f t="shared" si="106"/>
        <v>1</v>
      </c>
      <c r="H431" s="1769"/>
      <c r="I431" s="1762">
        <f t="shared" si="107"/>
        <v>1</v>
      </c>
      <c r="J431" s="1769"/>
      <c r="K431" s="1762">
        <f t="shared" si="108"/>
        <v>1</v>
      </c>
      <c r="L431" s="1769"/>
      <c r="M431" s="1762">
        <f t="shared" si="109"/>
        <v>1</v>
      </c>
      <c r="N431" s="1769"/>
      <c r="O431" s="1762">
        <f t="shared" si="110"/>
        <v>1</v>
      </c>
      <c r="P431" s="1769"/>
      <c r="Q431" s="1762">
        <f t="shared" si="111"/>
        <v>1</v>
      </c>
      <c r="R431" s="1833">
        <f ca="1" t="shared" si="116"/>
        <v>0</v>
      </c>
      <c r="S431" s="1716">
        <f ca="1" t="shared" si="117"/>
        <v>0</v>
      </c>
      <c r="T431" s="1768">
        <f ca="1" t="shared" si="118"/>
        <v>0</v>
      </c>
      <c r="U431" s="1838">
        <f t="shared" si="112"/>
        <v>0</v>
      </c>
      <c r="V431" s="1838">
        <f t="shared" si="113"/>
        <v>0</v>
      </c>
      <c r="W431" s="1840"/>
      <c r="X431" s="1838">
        <f t="shared" si="114"/>
        <v>0</v>
      </c>
      <c r="Y431" s="1838">
        <f t="shared" si="115"/>
        <v>0</v>
      </c>
      <c r="Z431" s="1840"/>
    </row>
    <row r="432" spans="1:26">
      <c r="A432" s="1770"/>
      <c r="B432" s="1771"/>
      <c r="C432" s="1762">
        <f t="shared" si="104"/>
        <v>1</v>
      </c>
      <c r="D432" s="1769"/>
      <c r="E432" s="1762">
        <f t="shared" si="105"/>
        <v>1</v>
      </c>
      <c r="F432" s="1769"/>
      <c r="G432" s="1762">
        <f t="shared" si="106"/>
        <v>1</v>
      </c>
      <c r="H432" s="1769"/>
      <c r="I432" s="1762">
        <f t="shared" si="107"/>
        <v>1</v>
      </c>
      <c r="J432" s="1769"/>
      <c r="K432" s="1762">
        <f t="shared" si="108"/>
        <v>1</v>
      </c>
      <c r="L432" s="1769"/>
      <c r="M432" s="1762">
        <f t="shared" si="109"/>
        <v>1</v>
      </c>
      <c r="N432" s="1769"/>
      <c r="O432" s="1762">
        <f t="shared" si="110"/>
        <v>1</v>
      </c>
      <c r="P432" s="1769"/>
      <c r="Q432" s="1762">
        <f t="shared" si="111"/>
        <v>1</v>
      </c>
      <c r="R432" s="1833">
        <f ca="1" t="shared" si="116"/>
        <v>0</v>
      </c>
      <c r="S432" s="1716">
        <f ca="1" t="shared" si="117"/>
        <v>0</v>
      </c>
      <c r="T432" s="1768">
        <f ca="1" t="shared" si="118"/>
        <v>0</v>
      </c>
      <c r="U432" s="1838">
        <f t="shared" si="112"/>
        <v>0</v>
      </c>
      <c r="V432" s="1838">
        <f t="shared" si="113"/>
        <v>0</v>
      </c>
      <c r="W432" s="1840"/>
      <c r="X432" s="1838">
        <f t="shared" si="114"/>
        <v>0</v>
      </c>
      <c r="Y432" s="1838">
        <f t="shared" si="115"/>
        <v>0</v>
      </c>
      <c r="Z432" s="1840"/>
    </row>
    <row r="433" spans="1:26">
      <c r="A433" s="1770"/>
      <c r="B433" s="1771"/>
      <c r="C433" s="1762">
        <f t="shared" si="104"/>
        <v>1</v>
      </c>
      <c r="D433" s="1769"/>
      <c r="E433" s="1762">
        <f t="shared" si="105"/>
        <v>1</v>
      </c>
      <c r="F433" s="1769"/>
      <c r="G433" s="1762">
        <f t="shared" si="106"/>
        <v>1</v>
      </c>
      <c r="H433" s="1769"/>
      <c r="I433" s="1762">
        <f t="shared" si="107"/>
        <v>1</v>
      </c>
      <c r="J433" s="1769"/>
      <c r="K433" s="1762">
        <f t="shared" si="108"/>
        <v>1</v>
      </c>
      <c r="L433" s="1769"/>
      <c r="M433" s="1762">
        <f t="shared" si="109"/>
        <v>1</v>
      </c>
      <c r="N433" s="1769"/>
      <c r="O433" s="1762">
        <f t="shared" si="110"/>
        <v>1</v>
      </c>
      <c r="P433" s="1769"/>
      <c r="Q433" s="1762">
        <f t="shared" si="111"/>
        <v>1</v>
      </c>
      <c r="R433" s="1833">
        <f ca="1" t="shared" si="116"/>
        <v>0</v>
      </c>
      <c r="S433" s="1716">
        <f ca="1" t="shared" si="117"/>
        <v>0</v>
      </c>
      <c r="T433" s="1768">
        <f ca="1" t="shared" si="118"/>
        <v>0</v>
      </c>
      <c r="U433" s="1838">
        <f t="shared" si="112"/>
        <v>0</v>
      </c>
      <c r="V433" s="1838">
        <f t="shared" si="113"/>
        <v>0</v>
      </c>
      <c r="W433" s="1840"/>
      <c r="X433" s="1838">
        <f t="shared" si="114"/>
        <v>0</v>
      </c>
      <c r="Y433" s="1838">
        <f t="shared" si="115"/>
        <v>0</v>
      </c>
      <c r="Z433" s="1840"/>
    </row>
    <row r="434" spans="1:26">
      <c r="A434" s="1770"/>
      <c r="B434" s="1771"/>
      <c r="C434" s="1762">
        <f t="shared" si="104"/>
        <v>1</v>
      </c>
      <c r="D434" s="1769"/>
      <c r="E434" s="1762">
        <f t="shared" si="105"/>
        <v>1</v>
      </c>
      <c r="F434" s="1769"/>
      <c r="G434" s="1762">
        <f t="shared" si="106"/>
        <v>1</v>
      </c>
      <c r="H434" s="1769"/>
      <c r="I434" s="1762">
        <f t="shared" si="107"/>
        <v>1</v>
      </c>
      <c r="J434" s="1769"/>
      <c r="K434" s="1762">
        <f t="shared" si="108"/>
        <v>1</v>
      </c>
      <c r="L434" s="1769"/>
      <c r="M434" s="1762">
        <f t="shared" si="109"/>
        <v>1</v>
      </c>
      <c r="N434" s="1769"/>
      <c r="O434" s="1762">
        <f t="shared" si="110"/>
        <v>1</v>
      </c>
      <c r="P434" s="1769"/>
      <c r="Q434" s="1762">
        <f t="shared" si="111"/>
        <v>1</v>
      </c>
      <c r="R434" s="1833">
        <f ca="1" t="shared" si="116"/>
        <v>0</v>
      </c>
      <c r="S434" s="1716">
        <f ca="1" t="shared" si="117"/>
        <v>0</v>
      </c>
      <c r="T434" s="1768">
        <f ca="1" t="shared" si="118"/>
        <v>0</v>
      </c>
      <c r="U434" s="1838">
        <f t="shared" si="112"/>
        <v>0</v>
      </c>
      <c r="V434" s="1838">
        <f t="shared" si="113"/>
        <v>0</v>
      </c>
      <c r="W434" s="1840"/>
      <c r="X434" s="1838">
        <f t="shared" si="114"/>
        <v>0</v>
      </c>
      <c r="Y434" s="1838">
        <f t="shared" si="115"/>
        <v>0</v>
      </c>
      <c r="Z434" s="1840"/>
    </row>
    <row r="435" spans="1:26">
      <c r="A435" s="1770"/>
      <c r="B435" s="1771"/>
      <c r="C435" s="1762">
        <f t="shared" si="104"/>
        <v>1</v>
      </c>
      <c r="D435" s="1769"/>
      <c r="E435" s="1762">
        <f t="shared" si="105"/>
        <v>1</v>
      </c>
      <c r="F435" s="1769"/>
      <c r="G435" s="1762">
        <f t="shared" si="106"/>
        <v>1</v>
      </c>
      <c r="H435" s="1769"/>
      <c r="I435" s="1762">
        <f t="shared" si="107"/>
        <v>1</v>
      </c>
      <c r="J435" s="1769"/>
      <c r="K435" s="1762">
        <f t="shared" si="108"/>
        <v>1</v>
      </c>
      <c r="L435" s="1769"/>
      <c r="M435" s="1762">
        <f t="shared" si="109"/>
        <v>1</v>
      </c>
      <c r="N435" s="1769"/>
      <c r="O435" s="1762">
        <f t="shared" si="110"/>
        <v>1</v>
      </c>
      <c r="P435" s="1769"/>
      <c r="Q435" s="1762">
        <f t="shared" si="111"/>
        <v>1</v>
      </c>
      <c r="R435" s="1833">
        <f ca="1" t="shared" si="116"/>
        <v>0</v>
      </c>
      <c r="S435" s="1716">
        <f ca="1" t="shared" si="117"/>
        <v>0</v>
      </c>
      <c r="T435" s="1768">
        <f ca="1" t="shared" si="118"/>
        <v>0</v>
      </c>
      <c r="U435" s="1838">
        <f t="shared" si="112"/>
        <v>0</v>
      </c>
      <c r="V435" s="1838">
        <f t="shared" si="113"/>
        <v>0</v>
      </c>
      <c r="W435" s="1840"/>
      <c r="X435" s="1838">
        <f t="shared" si="114"/>
        <v>0</v>
      </c>
      <c r="Y435" s="1838">
        <f t="shared" si="115"/>
        <v>0</v>
      </c>
      <c r="Z435" s="1840"/>
    </row>
    <row r="436" spans="1:26">
      <c r="A436" s="1770"/>
      <c r="B436" s="1771"/>
      <c r="C436" s="1762">
        <f t="shared" si="104"/>
        <v>1</v>
      </c>
      <c r="D436" s="1769"/>
      <c r="E436" s="1762">
        <f t="shared" si="105"/>
        <v>1</v>
      </c>
      <c r="F436" s="1769"/>
      <c r="G436" s="1762">
        <f t="shared" si="106"/>
        <v>1</v>
      </c>
      <c r="H436" s="1769"/>
      <c r="I436" s="1762">
        <f t="shared" si="107"/>
        <v>1</v>
      </c>
      <c r="J436" s="1769"/>
      <c r="K436" s="1762">
        <f t="shared" si="108"/>
        <v>1</v>
      </c>
      <c r="L436" s="1769"/>
      <c r="M436" s="1762">
        <f t="shared" si="109"/>
        <v>1</v>
      </c>
      <c r="N436" s="1769"/>
      <c r="O436" s="1762">
        <f t="shared" si="110"/>
        <v>1</v>
      </c>
      <c r="P436" s="1769"/>
      <c r="Q436" s="1762">
        <f t="shared" si="111"/>
        <v>1</v>
      </c>
      <c r="R436" s="1833">
        <f ca="1" t="shared" si="116"/>
        <v>0</v>
      </c>
      <c r="S436" s="1716">
        <f ca="1" t="shared" si="117"/>
        <v>0</v>
      </c>
      <c r="T436" s="1768">
        <f ca="1" t="shared" si="118"/>
        <v>0</v>
      </c>
      <c r="U436" s="1838">
        <f t="shared" si="112"/>
        <v>0</v>
      </c>
      <c r="V436" s="1838">
        <f t="shared" si="113"/>
        <v>0</v>
      </c>
      <c r="W436" s="1840"/>
      <c r="X436" s="1838">
        <f t="shared" si="114"/>
        <v>0</v>
      </c>
      <c r="Y436" s="1838">
        <f t="shared" si="115"/>
        <v>0</v>
      </c>
      <c r="Z436" s="1840"/>
    </row>
    <row r="437" spans="1:26">
      <c r="A437" s="1770"/>
      <c r="B437" s="1771"/>
      <c r="C437" s="1762">
        <f t="shared" si="104"/>
        <v>1</v>
      </c>
      <c r="D437" s="1769"/>
      <c r="E437" s="1762">
        <f t="shared" si="105"/>
        <v>1</v>
      </c>
      <c r="F437" s="1769"/>
      <c r="G437" s="1762">
        <f t="shared" si="106"/>
        <v>1</v>
      </c>
      <c r="H437" s="1769"/>
      <c r="I437" s="1762">
        <f t="shared" si="107"/>
        <v>1</v>
      </c>
      <c r="J437" s="1769"/>
      <c r="K437" s="1762">
        <f t="shared" si="108"/>
        <v>1</v>
      </c>
      <c r="L437" s="1769"/>
      <c r="M437" s="1762">
        <f t="shared" si="109"/>
        <v>1</v>
      </c>
      <c r="N437" s="1769"/>
      <c r="O437" s="1762">
        <f t="shared" si="110"/>
        <v>1</v>
      </c>
      <c r="P437" s="1769"/>
      <c r="Q437" s="1762">
        <f t="shared" si="111"/>
        <v>1</v>
      </c>
      <c r="R437" s="1833">
        <f ca="1" t="shared" si="116"/>
        <v>0</v>
      </c>
      <c r="S437" s="1716">
        <f ca="1" t="shared" si="117"/>
        <v>0</v>
      </c>
      <c r="T437" s="1768">
        <f ca="1" t="shared" si="118"/>
        <v>0</v>
      </c>
      <c r="U437" s="1838">
        <f t="shared" si="112"/>
        <v>0</v>
      </c>
      <c r="V437" s="1838">
        <f t="shared" si="113"/>
        <v>0</v>
      </c>
      <c r="W437" s="1840"/>
      <c r="X437" s="1838">
        <f t="shared" si="114"/>
        <v>0</v>
      </c>
      <c r="Y437" s="1838">
        <f t="shared" si="115"/>
        <v>0</v>
      </c>
      <c r="Z437" s="1840"/>
    </row>
    <row r="438" spans="1:26">
      <c r="A438" s="1770"/>
      <c r="B438" s="1771"/>
      <c r="C438" s="1762">
        <f t="shared" si="104"/>
        <v>1</v>
      </c>
      <c r="D438" s="1769"/>
      <c r="E438" s="1762">
        <f t="shared" si="105"/>
        <v>1</v>
      </c>
      <c r="F438" s="1769"/>
      <c r="G438" s="1762">
        <f t="shared" si="106"/>
        <v>1</v>
      </c>
      <c r="H438" s="1769"/>
      <c r="I438" s="1762">
        <f t="shared" si="107"/>
        <v>1</v>
      </c>
      <c r="J438" s="1769"/>
      <c r="K438" s="1762">
        <f t="shared" si="108"/>
        <v>1</v>
      </c>
      <c r="L438" s="1769"/>
      <c r="M438" s="1762">
        <f t="shared" si="109"/>
        <v>1</v>
      </c>
      <c r="N438" s="1769"/>
      <c r="O438" s="1762">
        <f t="shared" si="110"/>
        <v>1</v>
      </c>
      <c r="P438" s="1769"/>
      <c r="Q438" s="1762">
        <f t="shared" si="111"/>
        <v>1</v>
      </c>
      <c r="R438" s="1833">
        <f ca="1" t="shared" si="116"/>
        <v>0</v>
      </c>
      <c r="S438" s="1716">
        <f ca="1" t="shared" si="117"/>
        <v>0</v>
      </c>
      <c r="T438" s="1768">
        <f ca="1" t="shared" si="118"/>
        <v>0</v>
      </c>
      <c r="U438" s="1838">
        <f t="shared" si="112"/>
        <v>0</v>
      </c>
      <c r="V438" s="1838">
        <f t="shared" si="113"/>
        <v>0</v>
      </c>
      <c r="W438" s="1840"/>
      <c r="X438" s="1838">
        <f t="shared" si="114"/>
        <v>0</v>
      </c>
      <c r="Y438" s="1838">
        <f t="shared" si="115"/>
        <v>0</v>
      </c>
      <c r="Z438" s="1840"/>
    </row>
    <row r="439" spans="1:26">
      <c r="A439" s="1770"/>
      <c r="B439" s="1771"/>
      <c r="C439" s="1762">
        <f t="shared" si="104"/>
        <v>1</v>
      </c>
      <c r="D439" s="1769"/>
      <c r="E439" s="1762">
        <f t="shared" si="105"/>
        <v>1</v>
      </c>
      <c r="F439" s="1769"/>
      <c r="G439" s="1762">
        <f t="shared" si="106"/>
        <v>1</v>
      </c>
      <c r="H439" s="1769"/>
      <c r="I439" s="1762">
        <f t="shared" si="107"/>
        <v>1</v>
      </c>
      <c r="J439" s="1769"/>
      <c r="K439" s="1762">
        <f t="shared" si="108"/>
        <v>1</v>
      </c>
      <c r="L439" s="1769"/>
      <c r="M439" s="1762">
        <f t="shared" si="109"/>
        <v>1</v>
      </c>
      <c r="N439" s="1769"/>
      <c r="O439" s="1762">
        <f t="shared" si="110"/>
        <v>1</v>
      </c>
      <c r="P439" s="1769"/>
      <c r="Q439" s="1762">
        <f t="shared" si="111"/>
        <v>1</v>
      </c>
      <c r="R439" s="1833">
        <f ca="1" t="shared" si="116"/>
        <v>0</v>
      </c>
      <c r="S439" s="1716">
        <f ca="1" t="shared" si="117"/>
        <v>0</v>
      </c>
      <c r="T439" s="1768">
        <f ca="1" t="shared" si="118"/>
        <v>0</v>
      </c>
      <c r="U439" s="1838">
        <f t="shared" si="112"/>
        <v>0</v>
      </c>
      <c r="V439" s="1838">
        <f t="shared" si="113"/>
        <v>0</v>
      </c>
      <c r="W439" s="1840"/>
      <c r="X439" s="1838">
        <f t="shared" si="114"/>
        <v>0</v>
      </c>
      <c r="Y439" s="1838">
        <f t="shared" si="115"/>
        <v>0</v>
      </c>
      <c r="Z439" s="1840"/>
    </row>
    <row r="440" spans="1:26">
      <c r="A440" s="1770"/>
      <c r="B440" s="1771"/>
      <c r="C440" s="1762">
        <f t="shared" si="104"/>
        <v>1</v>
      </c>
      <c r="D440" s="1769"/>
      <c r="E440" s="1762">
        <f t="shared" si="105"/>
        <v>1</v>
      </c>
      <c r="F440" s="1769"/>
      <c r="G440" s="1762">
        <f t="shared" si="106"/>
        <v>1</v>
      </c>
      <c r="H440" s="1769"/>
      <c r="I440" s="1762">
        <f t="shared" si="107"/>
        <v>1</v>
      </c>
      <c r="J440" s="1769"/>
      <c r="K440" s="1762">
        <f t="shared" si="108"/>
        <v>1</v>
      </c>
      <c r="L440" s="1769"/>
      <c r="M440" s="1762">
        <f t="shared" si="109"/>
        <v>1</v>
      </c>
      <c r="N440" s="1769"/>
      <c r="O440" s="1762">
        <f t="shared" si="110"/>
        <v>1</v>
      </c>
      <c r="P440" s="1769"/>
      <c r="Q440" s="1762">
        <f t="shared" si="111"/>
        <v>1</v>
      </c>
      <c r="R440" s="1833">
        <f ca="1" t="shared" si="116"/>
        <v>0</v>
      </c>
      <c r="S440" s="1716">
        <f ca="1" t="shared" si="117"/>
        <v>0</v>
      </c>
      <c r="T440" s="1768">
        <f ca="1" t="shared" si="118"/>
        <v>0</v>
      </c>
      <c r="U440" s="1838">
        <f t="shared" si="112"/>
        <v>0</v>
      </c>
      <c r="V440" s="1838">
        <f t="shared" si="113"/>
        <v>0</v>
      </c>
      <c r="W440" s="1840"/>
      <c r="X440" s="1838">
        <f t="shared" si="114"/>
        <v>0</v>
      </c>
      <c r="Y440" s="1838">
        <f t="shared" si="115"/>
        <v>0</v>
      </c>
      <c r="Z440" s="1840"/>
    </row>
    <row r="441" spans="1:26">
      <c r="A441" s="1770"/>
      <c r="B441" s="1771"/>
      <c r="C441" s="1762">
        <f t="shared" si="104"/>
        <v>1</v>
      </c>
      <c r="D441" s="1769"/>
      <c r="E441" s="1762">
        <f t="shared" si="105"/>
        <v>1</v>
      </c>
      <c r="F441" s="1769"/>
      <c r="G441" s="1762">
        <f t="shared" si="106"/>
        <v>1</v>
      </c>
      <c r="H441" s="1769"/>
      <c r="I441" s="1762">
        <f t="shared" si="107"/>
        <v>1</v>
      </c>
      <c r="J441" s="1769"/>
      <c r="K441" s="1762">
        <f t="shared" si="108"/>
        <v>1</v>
      </c>
      <c r="L441" s="1769"/>
      <c r="M441" s="1762">
        <f t="shared" si="109"/>
        <v>1</v>
      </c>
      <c r="N441" s="1769"/>
      <c r="O441" s="1762">
        <f t="shared" si="110"/>
        <v>1</v>
      </c>
      <c r="P441" s="1769"/>
      <c r="Q441" s="1762">
        <f t="shared" si="111"/>
        <v>1</v>
      </c>
      <c r="R441" s="1833">
        <f ca="1" t="shared" si="116"/>
        <v>0</v>
      </c>
      <c r="S441" s="1716">
        <f ca="1" t="shared" si="117"/>
        <v>0</v>
      </c>
      <c r="T441" s="1768">
        <f ca="1" t="shared" si="118"/>
        <v>0</v>
      </c>
      <c r="U441" s="1838">
        <f t="shared" si="112"/>
        <v>0</v>
      </c>
      <c r="V441" s="1838">
        <f t="shared" si="113"/>
        <v>0</v>
      </c>
      <c r="W441" s="1840"/>
      <c r="X441" s="1838">
        <f t="shared" si="114"/>
        <v>0</v>
      </c>
      <c r="Y441" s="1838">
        <f t="shared" si="115"/>
        <v>0</v>
      </c>
      <c r="Z441" s="1840"/>
    </row>
    <row r="442" spans="1:26">
      <c r="A442" s="1770"/>
      <c r="B442" s="1771"/>
      <c r="C442" s="1762">
        <f t="shared" si="104"/>
        <v>1</v>
      </c>
      <c r="D442" s="1769"/>
      <c r="E442" s="1762">
        <f t="shared" si="105"/>
        <v>1</v>
      </c>
      <c r="F442" s="1769"/>
      <c r="G442" s="1762">
        <f t="shared" si="106"/>
        <v>1</v>
      </c>
      <c r="H442" s="1769"/>
      <c r="I442" s="1762">
        <f t="shared" si="107"/>
        <v>1</v>
      </c>
      <c r="J442" s="1769"/>
      <c r="K442" s="1762">
        <f t="shared" si="108"/>
        <v>1</v>
      </c>
      <c r="L442" s="1769"/>
      <c r="M442" s="1762">
        <f t="shared" si="109"/>
        <v>1</v>
      </c>
      <c r="N442" s="1769"/>
      <c r="O442" s="1762">
        <f t="shared" si="110"/>
        <v>1</v>
      </c>
      <c r="P442" s="1769"/>
      <c r="Q442" s="1762">
        <f t="shared" si="111"/>
        <v>1</v>
      </c>
      <c r="R442" s="1833">
        <f ca="1" t="shared" si="116"/>
        <v>0</v>
      </c>
      <c r="S442" s="1716">
        <f ca="1" t="shared" si="117"/>
        <v>0</v>
      </c>
      <c r="T442" s="1768">
        <f ca="1" t="shared" si="118"/>
        <v>0</v>
      </c>
      <c r="U442" s="1838">
        <f t="shared" si="112"/>
        <v>0</v>
      </c>
      <c r="V442" s="1838">
        <f t="shared" si="113"/>
        <v>0</v>
      </c>
      <c r="W442" s="1840"/>
      <c r="X442" s="1838">
        <f t="shared" si="114"/>
        <v>0</v>
      </c>
      <c r="Y442" s="1838">
        <f t="shared" si="115"/>
        <v>0</v>
      </c>
      <c r="Z442" s="1840"/>
    </row>
    <row r="443" spans="1:26">
      <c r="A443" s="1770"/>
      <c r="B443" s="1771"/>
      <c r="C443" s="1762">
        <f t="shared" si="104"/>
        <v>1</v>
      </c>
      <c r="D443" s="1769"/>
      <c r="E443" s="1762">
        <f t="shared" si="105"/>
        <v>1</v>
      </c>
      <c r="F443" s="1769"/>
      <c r="G443" s="1762">
        <f t="shared" si="106"/>
        <v>1</v>
      </c>
      <c r="H443" s="1769"/>
      <c r="I443" s="1762">
        <f t="shared" si="107"/>
        <v>1</v>
      </c>
      <c r="J443" s="1769"/>
      <c r="K443" s="1762">
        <f t="shared" si="108"/>
        <v>1</v>
      </c>
      <c r="L443" s="1769"/>
      <c r="M443" s="1762">
        <f t="shared" si="109"/>
        <v>1</v>
      </c>
      <c r="N443" s="1769"/>
      <c r="O443" s="1762">
        <f t="shared" si="110"/>
        <v>1</v>
      </c>
      <c r="P443" s="1769"/>
      <c r="Q443" s="1762">
        <f t="shared" si="111"/>
        <v>1</v>
      </c>
      <c r="R443" s="1833">
        <f ca="1" t="shared" si="116"/>
        <v>0</v>
      </c>
      <c r="S443" s="1716">
        <f ca="1" t="shared" si="117"/>
        <v>0</v>
      </c>
      <c r="T443" s="1768">
        <f ca="1" t="shared" si="118"/>
        <v>0</v>
      </c>
      <c r="U443" s="1838">
        <f t="shared" si="112"/>
        <v>0</v>
      </c>
      <c r="V443" s="1838">
        <f t="shared" si="113"/>
        <v>0</v>
      </c>
      <c r="W443" s="1840"/>
      <c r="X443" s="1838">
        <f t="shared" si="114"/>
        <v>0</v>
      </c>
      <c r="Y443" s="1838">
        <f t="shared" si="115"/>
        <v>0</v>
      </c>
      <c r="Z443" s="1840"/>
    </row>
    <row r="444" spans="1:26">
      <c r="A444" s="1770"/>
      <c r="B444" s="1771"/>
      <c r="C444" s="1762">
        <f t="shared" si="104"/>
        <v>1</v>
      </c>
      <c r="D444" s="1769"/>
      <c r="E444" s="1762">
        <f t="shared" si="105"/>
        <v>1</v>
      </c>
      <c r="F444" s="1769"/>
      <c r="G444" s="1762">
        <f t="shared" si="106"/>
        <v>1</v>
      </c>
      <c r="H444" s="1769"/>
      <c r="I444" s="1762">
        <f t="shared" si="107"/>
        <v>1</v>
      </c>
      <c r="J444" s="1769"/>
      <c r="K444" s="1762">
        <f t="shared" si="108"/>
        <v>1</v>
      </c>
      <c r="L444" s="1769"/>
      <c r="M444" s="1762">
        <f t="shared" si="109"/>
        <v>1</v>
      </c>
      <c r="N444" s="1769"/>
      <c r="O444" s="1762">
        <f t="shared" si="110"/>
        <v>1</v>
      </c>
      <c r="P444" s="1769"/>
      <c r="Q444" s="1762">
        <f t="shared" si="111"/>
        <v>1</v>
      </c>
      <c r="R444" s="1833">
        <f ca="1" t="shared" si="116"/>
        <v>0</v>
      </c>
      <c r="S444" s="1716">
        <f ca="1" t="shared" si="117"/>
        <v>0</v>
      </c>
      <c r="T444" s="1768">
        <f ca="1" t="shared" si="118"/>
        <v>0</v>
      </c>
      <c r="U444" s="1838">
        <f t="shared" si="112"/>
        <v>0</v>
      </c>
      <c r="V444" s="1838">
        <f t="shared" si="113"/>
        <v>0</v>
      </c>
      <c r="W444" s="1840"/>
      <c r="X444" s="1838">
        <f t="shared" si="114"/>
        <v>0</v>
      </c>
      <c r="Y444" s="1838">
        <f t="shared" si="115"/>
        <v>0</v>
      </c>
      <c r="Z444" s="1840"/>
    </row>
    <row r="445" spans="1:26">
      <c r="A445" s="1770"/>
      <c r="B445" s="1771"/>
      <c r="C445" s="1762">
        <f t="shared" si="104"/>
        <v>1</v>
      </c>
      <c r="D445" s="1769"/>
      <c r="E445" s="1762">
        <f t="shared" si="105"/>
        <v>1</v>
      </c>
      <c r="F445" s="1769"/>
      <c r="G445" s="1762">
        <f t="shared" si="106"/>
        <v>1</v>
      </c>
      <c r="H445" s="1769"/>
      <c r="I445" s="1762">
        <f t="shared" si="107"/>
        <v>1</v>
      </c>
      <c r="J445" s="1769"/>
      <c r="K445" s="1762">
        <f t="shared" si="108"/>
        <v>1</v>
      </c>
      <c r="L445" s="1769"/>
      <c r="M445" s="1762">
        <f t="shared" si="109"/>
        <v>1</v>
      </c>
      <c r="N445" s="1769"/>
      <c r="O445" s="1762">
        <f t="shared" si="110"/>
        <v>1</v>
      </c>
      <c r="P445" s="1769"/>
      <c r="Q445" s="1762">
        <f t="shared" si="111"/>
        <v>1</v>
      </c>
      <c r="R445" s="1833">
        <f ca="1" t="shared" si="116"/>
        <v>0</v>
      </c>
      <c r="S445" s="1716">
        <f ca="1" t="shared" si="117"/>
        <v>0</v>
      </c>
      <c r="T445" s="1768">
        <f ca="1" t="shared" si="118"/>
        <v>0</v>
      </c>
      <c r="U445" s="1838">
        <f t="shared" si="112"/>
        <v>0</v>
      </c>
      <c r="V445" s="1838">
        <f t="shared" si="113"/>
        <v>0</v>
      </c>
      <c r="W445" s="1840"/>
      <c r="X445" s="1838">
        <f t="shared" si="114"/>
        <v>0</v>
      </c>
      <c r="Y445" s="1838">
        <f t="shared" si="115"/>
        <v>0</v>
      </c>
      <c r="Z445" s="1840"/>
    </row>
    <row r="446" spans="1:26">
      <c r="A446" s="1770"/>
      <c r="B446" s="1771"/>
      <c r="C446" s="1762">
        <f t="shared" si="104"/>
        <v>1</v>
      </c>
      <c r="D446" s="1769"/>
      <c r="E446" s="1762">
        <f t="shared" si="105"/>
        <v>1</v>
      </c>
      <c r="F446" s="1769"/>
      <c r="G446" s="1762">
        <f t="shared" si="106"/>
        <v>1</v>
      </c>
      <c r="H446" s="1769"/>
      <c r="I446" s="1762">
        <f t="shared" si="107"/>
        <v>1</v>
      </c>
      <c r="J446" s="1769"/>
      <c r="K446" s="1762">
        <f t="shared" si="108"/>
        <v>1</v>
      </c>
      <c r="L446" s="1769"/>
      <c r="M446" s="1762">
        <f t="shared" si="109"/>
        <v>1</v>
      </c>
      <c r="N446" s="1769"/>
      <c r="O446" s="1762">
        <f t="shared" si="110"/>
        <v>1</v>
      </c>
      <c r="P446" s="1769"/>
      <c r="Q446" s="1762">
        <f t="shared" si="111"/>
        <v>1</v>
      </c>
      <c r="R446" s="1833">
        <f ca="1" t="shared" si="116"/>
        <v>0</v>
      </c>
      <c r="S446" s="1716">
        <f ca="1" t="shared" si="117"/>
        <v>0</v>
      </c>
      <c r="T446" s="1768">
        <f ca="1" t="shared" si="118"/>
        <v>0</v>
      </c>
      <c r="U446" s="1838">
        <f t="shared" si="112"/>
        <v>0</v>
      </c>
      <c r="V446" s="1838">
        <f t="shared" si="113"/>
        <v>0</v>
      </c>
      <c r="W446" s="1840"/>
      <c r="X446" s="1838">
        <f t="shared" si="114"/>
        <v>0</v>
      </c>
      <c r="Y446" s="1838">
        <f t="shared" si="115"/>
        <v>0</v>
      </c>
      <c r="Z446" s="1840"/>
    </row>
    <row r="447" spans="1:26">
      <c r="A447" s="1770"/>
      <c r="B447" s="1771"/>
      <c r="C447" s="1762">
        <f t="shared" si="104"/>
        <v>1</v>
      </c>
      <c r="D447" s="1769"/>
      <c r="E447" s="1762">
        <f t="shared" si="105"/>
        <v>1</v>
      </c>
      <c r="F447" s="1769"/>
      <c r="G447" s="1762">
        <f t="shared" si="106"/>
        <v>1</v>
      </c>
      <c r="H447" s="1769"/>
      <c r="I447" s="1762">
        <f t="shared" si="107"/>
        <v>1</v>
      </c>
      <c r="J447" s="1769"/>
      <c r="K447" s="1762">
        <f t="shared" si="108"/>
        <v>1</v>
      </c>
      <c r="L447" s="1769"/>
      <c r="M447" s="1762">
        <f t="shared" si="109"/>
        <v>1</v>
      </c>
      <c r="N447" s="1769"/>
      <c r="O447" s="1762">
        <f t="shared" si="110"/>
        <v>1</v>
      </c>
      <c r="P447" s="1769"/>
      <c r="Q447" s="1762">
        <f t="shared" si="111"/>
        <v>1</v>
      </c>
      <c r="R447" s="1833">
        <f ca="1" t="shared" si="116"/>
        <v>0</v>
      </c>
      <c r="S447" s="1716">
        <f ca="1" t="shared" si="117"/>
        <v>0</v>
      </c>
      <c r="T447" s="1768">
        <f ca="1" t="shared" si="118"/>
        <v>0</v>
      </c>
      <c r="U447" s="1838">
        <f t="shared" si="112"/>
        <v>0</v>
      </c>
      <c r="V447" s="1838">
        <f t="shared" si="113"/>
        <v>0</v>
      </c>
      <c r="W447" s="1840"/>
      <c r="X447" s="1838">
        <f t="shared" si="114"/>
        <v>0</v>
      </c>
      <c r="Y447" s="1838">
        <f t="shared" si="115"/>
        <v>0</v>
      </c>
      <c r="Z447" s="1840"/>
    </row>
    <row r="448" spans="1:26">
      <c r="A448" s="1770"/>
      <c r="B448" s="1771"/>
      <c r="C448" s="1762">
        <f t="shared" si="104"/>
        <v>1</v>
      </c>
      <c r="D448" s="1769"/>
      <c r="E448" s="1762">
        <f t="shared" si="105"/>
        <v>1</v>
      </c>
      <c r="F448" s="1769"/>
      <c r="G448" s="1762">
        <f t="shared" si="106"/>
        <v>1</v>
      </c>
      <c r="H448" s="1769"/>
      <c r="I448" s="1762">
        <f t="shared" si="107"/>
        <v>1</v>
      </c>
      <c r="J448" s="1769"/>
      <c r="K448" s="1762">
        <f t="shared" si="108"/>
        <v>1</v>
      </c>
      <c r="L448" s="1769"/>
      <c r="M448" s="1762">
        <f t="shared" si="109"/>
        <v>1</v>
      </c>
      <c r="N448" s="1769"/>
      <c r="O448" s="1762">
        <f t="shared" si="110"/>
        <v>1</v>
      </c>
      <c r="P448" s="1769"/>
      <c r="Q448" s="1762">
        <f t="shared" si="111"/>
        <v>1</v>
      </c>
      <c r="R448" s="1833">
        <f ca="1" t="shared" si="116"/>
        <v>0</v>
      </c>
      <c r="S448" s="1716">
        <f ca="1" t="shared" si="117"/>
        <v>0</v>
      </c>
      <c r="T448" s="1768">
        <f ca="1" t="shared" si="118"/>
        <v>0</v>
      </c>
      <c r="U448" s="1838">
        <f t="shared" si="112"/>
        <v>0</v>
      </c>
      <c r="V448" s="1838">
        <f t="shared" si="113"/>
        <v>0</v>
      </c>
      <c r="W448" s="1840"/>
      <c r="X448" s="1838">
        <f t="shared" si="114"/>
        <v>0</v>
      </c>
      <c r="Y448" s="1838">
        <f t="shared" si="115"/>
        <v>0</v>
      </c>
      <c r="Z448" s="1840"/>
    </row>
    <row r="449" spans="1:26">
      <c r="A449" s="1770"/>
      <c r="B449" s="1771"/>
      <c r="C449" s="1762">
        <f t="shared" si="104"/>
        <v>1</v>
      </c>
      <c r="D449" s="1769"/>
      <c r="E449" s="1762">
        <f t="shared" si="105"/>
        <v>1</v>
      </c>
      <c r="F449" s="1769"/>
      <c r="G449" s="1762">
        <f t="shared" si="106"/>
        <v>1</v>
      </c>
      <c r="H449" s="1769"/>
      <c r="I449" s="1762">
        <f t="shared" si="107"/>
        <v>1</v>
      </c>
      <c r="J449" s="1769"/>
      <c r="K449" s="1762">
        <f t="shared" si="108"/>
        <v>1</v>
      </c>
      <c r="L449" s="1769"/>
      <c r="M449" s="1762">
        <f t="shared" si="109"/>
        <v>1</v>
      </c>
      <c r="N449" s="1769"/>
      <c r="O449" s="1762">
        <f t="shared" si="110"/>
        <v>1</v>
      </c>
      <c r="P449" s="1769"/>
      <c r="Q449" s="1762">
        <f t="shared" si="111"/>
        <v>1</v>
      </c>
      <c r="R449" s="1833">
        <f ca="1" t="shared" si="116"/>
        <v>0</v>
      </c>
      <c r="S449" s="1716">
        <f ca="1" t="shared" si="117"/>
        <v>0</v>
      </c>
      <c r="T449" s="1768">
        <f ca="1" t="shared" si="118"/>
        <v>0</v>
      </c>
      <c r="U449" s="1838">
        <f t="shared" si="112"/>
        <v>0</v>
      </c>
      <c r="V449" s="1838">
        <f t="shared" si="113"/>
        <v>0</v>
      </c>
      <c r="W449" s="1840"/>
      <c r="X449" s="1838">
        <f t="shared" si="114"/>
        <v>0</v>
      </c>
      <c r="Y449" s="1838">
        <f t="shared" si="115"/>
        <v>0</v>
      </c>
      <c r="Z449" s="1840"/>
    </row>
    <row r="450" spans="1:26">
      <c r="A450" s="1770"/>
      <c r="B450" s="1771"/>
      <c r="C450" s="1762">
        <f t="shared" si="104"/>
        <v>1</v>
      </c>
      <c r="D450" s="1769"/>
      <c r="E450" s="1762">
        <f t="shared" si="105"/>
        <v>1</v>
      </c>
      <c r="F450" s="1769"/>
      <c r="G450" s="1762">
        <f t="shared" si="106"/>
        <v>1</v>
      </c>
      <c r="H450" s="1769"/>
      <c r="I450" s="1762">
        <f t="shared" si="107"/>
        <v>1</v>
      </c>
      <c r="J450" s="1769"/>
      <c r="K450" s="1762">
        <f t="shared" si="108"/>
        <v>1</v>
      </c>
      <c r="L450" s="1769"/>
      <c r="M450" s="1762">
        <f t="shared" si="109"/>
        <v>1</v>
      </c>
      <c r="N450" s="1769"/>
      <c r="O450" s="1762">
        <f t="shared" si="110"/>
        <v>1</v>
      </c>
      <c r="P450" s="1769"/>
      <c r="Q450" s="1762">
        <f t="shared" si="111"/>
        <v>1</v>
      </c>
      <c r="R450" s="1833">
        <f ca="1" t="shared" si="116"/>
        <v>0</v>
      </c>
      <c r="S450" s="1716">
        <f ca="1" t="shared" si="117"/>
        <v>0</v>
      </c>
      <c r="T450" s="1768">
        <f ca="1" t="shared" si="118"/>
        <v>0</v>
      </c>
      <c r="U450" s="1838">
        <f t="shared" si="112"/>
        <v>0</v>
      </c>
      <c r="V450" s="1838">
        <f t="shared" si="113"/>
        <v>0</v>
      </c>
      <c r="W450" s="1840"/>
      <c r="X450" s="1838">
        <f t="shared" si="114"/>
        <v>0</v>
      </c>
      <c r="Y450" s="1838">
        <f t="shared" si="115"/>
        <v>0</v>
      </c>
      <c r="Z450" s="1840"/>
    </row>
    <row r="451" spans="1:26">
      <c r="A451" s="1770"/>
      <c r="B451" s="1771"/>
      <c r="C451" s="1762">
        <f t="shared" si="104"/>
        <v>1</v>
      </c>
      <c r="D451" s="1769"/>
      <c r="E451" s="1762">
        <f t="shared" si="105"/>
        <v>1</v>
      </c>
      <c r="F451" s="1769"/>
      <c r="G451" s="1762">
        <f t="shared" si="106"/>
        <v>1</v>
      </c>
      <c r="H451" s="1769"/>
      <c r="I451" s="1762">
        <f t="shared" si="107"/>
        <v>1</v>
      </c>
      <c r="J451" s="1769"/>
      <c r="K451" s="1762">
        <f t="shared" si="108"/>
        <v>1</v>
      </c>
      <c r="L451" s="1769"/>
      <c r="M451" s="1762">
        <f t="shared" si="109"/>
        <v>1</v>
      </c>
      <c r="N451" s="1769"/>
      <c r="O451" s="1762">
        <f t="shared" si="110"/>
        <v>1</v>
      </c>
      <c r="P451" s="1769"/>
      <c r="Q451" s="1762">
        <f t="shared" si="111"/>
        <v>1</v>
      </c>
      <c r="R451" s="1833">
        <f ca="1" t="shared" si="116"/>
        <v>0</v>
      </c>
      <c r="S451" s="1716">
        <f ca="1" t="shared" si="117"/>
        <v>0</v>
      </c>
      <c r="T451" s="1768">
        <f ca="1" t="shared" si="118"/>
        <v>0</v>
      </c>
      <c r="U451" s="1838">
        <f t="shared" si="112"/>
        <v>0</v>
      </c>
      <c r="V451" s="1838">
        <f t="shared" si="113"/>
        <v>0</v>
      </c>
      <c r="W451" s="1840"/>
      <c r="X451" s="1838">
        <f t="shared" si="114"/>
        <v>0</v>
      </c>
      <c r="Y451" s="1838">
        <f t="shared" si="115"/>
        <v>0</v>
      </c>
      <c r="Z451" s="1840"/>
    </row>
    <row r="452" spans="1:26">
      <c r="A452" s="1770"/>
      <c r="B452" s="1771"/>
      <c r="C452" s="1762">
        <f t="shared" si="104"/>
        <v>1</v>
      </c>
      <c r="D452" s="1769"/>
      <c r="E452" s="1762">
        <f t="shared" si="105"/>
        <v>1</v>
      </c>
      <c r="F452" s="1769"/>
      <c r="G452" s="1762">
        <f t="shared" si="106"/>
        <v>1</v>
      </c>
      <c r="H452" s="1769"/>
      <c r="I452" s="1762">
        <f t="shared" si="107"/>
        <v>1</v>
      </c>
      <c r="J452" s="1769"/>
      <c r="K452" s="1762">
        <f t="shared" si="108"/>
        <v>1</v>
      </c>
      <c r="L452" s="1769"/>
      <c r="M452" s="1762">
        <f t="shared" si="109"/>
        <v>1</v>
      </c>
      <c r="N452" s="1769"/>
      <c r="O452" s="1762">
        <f t="shared" si="110"/>
        <v>1</v>
      </c>
      <c r="P452" s="1769"/>
      <c r="Q452" s="1762">
        <f t="shared" si="111"/>
        <v>1</v>
      </c>
      <c r="R452" s="1833">
        <f ca="1" t="shared" si="116"/>
        <v>0</v>
      </c>
      <c r="S452" s="1716">
        <f ca="1" t="shared" si="117"/>
        <v>0</v>
      </c>
      <c r="T452" s="1768">
        <f ca="1" t="shared" si="118"/>
        <v>0</v>
      </c>
      <c r="U452" s="1838">
        <f t="shared" si="112"/>
        <v>0</v>
      </c>
      <c r="V452" s="1838">
        <f t="shared" si="113"/>
        <v>0</v>
      </c>
      <c r="W452" s="1840"/>
      <c r="X452" s="1838">
        <f t="shared" si="114"/>
        <v>0</v>
      </c>
      <c r="Y452" s="1838">
        <f t="shared" si="115"/>
        <v>0</v>
      </c>
      <c r="Z452" s="1840"/>
    </row>
    <row r="453" spans="1:26">
      <c r="A453" s="1770"/>
      <c r="B453" s="1771"/>
      <c r="C453" s="1762">
        <f t="shared" si="104"/>
        <v>1</v>
      </c>
      <c r="D453" s="1769"/>
      <c r="E453" s="1762">
        <f t="shared" si="105"/>
        <v>1</v>
      </c>
      <c r="F453" s="1769"/>
      <c r="G453" s="1762">
        <f t="shared" si="106"/>
        <v>1</v>
      </c>
      <c r="H453" s="1769"/>
      <c r="I453" s="1762">
        <f t="shared" si="107"/>
        <v>1</v>
      </c>
      <c r="J453" s="1769"/>
      <c r="K453" s="1762">
        <f t="shared" si="108"/>
        <v>1</v>
      </c>
      <c r="L453" s="1769"/>
      <c r="M453" s="1762">
        <f t="shared" si="109"/>
        <v>1</v>
      </c>
      <c r="N453" s="1769"/>
      <c r="O453" s="1762">
        <f t="shared" si="110"/>
        <v>1</v>
      </c>
      <c r="P453" s="1769"/>
      <c r="Q453" s="1762">
        <f t="shared" si="111"/>
        <v>1</v>
      </c>
      <c r="R453" s="1833">
        <f ca="1" t="shared" si="116"/>
        <v>0</v>
      </c>
      <c r="S453" s="1716">
        <f ca="1" t="shared" si="117"/>
        <v>0</v>
      </c>
      <c r="T453" s="1768">
        <f ca="1" t="shared" si="118"/>
        <v>0</v>
      </c>
      <c r="U453" s="1838">
        <f t="shared" si="112"/>
        <v>0</v>
      </c>
      <c r="V453" s="1838">
        <f t="shared" si="113"/>
        <v>0</v>
      </c>
      <c r="W453" s="1840"/>
      <c r="X453" s="1838">
        <f t="shared" si="114"/>
        <v>0</v>
      </c>
      <c r="Y453" s="1838">
        <f t="shared" si="115"/>
        <v>0</v>
      </c>
      <c r="Z453" s="1840"/>
    </row>
    <row r="454" spans="1:26">
      <c r="A454" s="1770"/>
      <c r="B454" s="1771"/>
      <c r="C454" s="1762">
        <f t="shared" si="104"/>
        <v>1</v>
      </c>
      <c r="D454" s="1769"/>
      <c r="E454" s="1762">
        <f t="shared" si="105"/>
        <v>1</v>
      </c>
      <c r="F454" s="1769"/>
      <c r="G454" s="1762">
        <f t="shared" si="106"/>
        <v>1</v>
      </c>
      <c r="H454" s="1769"/>
      <c r="I454" s="1762">
        <f t="shared" si="107"/>
        <v>1</v>
      </c>
      <c r="J454" s="1769"/>
      <c r="K454" s="1762">
        <f t="shared" si="108"/>
        <v>1</v>
      </c>
      <c r="L454" s="1769"/>
      <c r="M454" s="1762">
        <f t="shared" si="109"/>
        <v>1</v>
      </c>
      <c r="N454" s="1769"/>
      <c r="O454" s="1762">
        <f t="shared" si="110"/>
        <v>1</v>
      </c>
      <c r="P454" s="1769"/>
      <c r="Q454" s="1762">
        <f t="shared" si="111"/>
        <v>1</v>
      </c>
      <c r="R454" s="1833">
        <f ca="1" t="shared" si="116"/>
        <v>0</v>
      </c>
      <c r="S454" s="1716">
        <f ca="1" t="shared" si="117"/>
        <v>0</v>
      </c>
      <c r="T454" s="1768">
        <f ca="1" t="shared" si="118"/>
        <v>0</v>
      </c>
      <c r="U454" s="1838">
        <f t="shared" si="112"/>
        <v>0</v>
      </c>
      <c r="V454" s="1838">
        <f t="shared" si="113"/>
        <v>0</v>
      </c>
      <c r="W454" s="1840"/>
      <c r="X454" s="1838">
        <f t="shared" si="114"/>
        <v>0</v>
      </c>
      <c r="Y454" s="1838">
        <f t="shared" si="115"/>
        <v>0</v>
      </c>
      <c r="Z454" s="1840"/>
    </row>
    <row r="455" spans="1:26">
      <c r="A455" s="1770"/>
      <c r="B455" s="1771"/>
      <c r="C455" s="1762">
        <f t="shared" si="104"/>
        <v>1</v>
      </c>
      <c r="D455" s="1769"/>
      <c r="E455" s="1762">
        <f t="shared" si="105"/>
        <v>1</v>
      </c>
      <c r="F455" s="1769"/>
      <c r="G455" s="1762">
        <f t="shared" si="106"/>
        <v>1</v>
      </c>
      <c r="H455" s="1769"/>
      <c r="I455" s="1762">
        <f t="shared" si="107"/>
        <v>1</v>
      </c>
      <c r="J455" s="1769"/>
      <c r="K455" s="1762">
        <f t="shared" si="108"/>
        <v>1</v>
      </c>
      <c r="L455" s="1769"/>
      <c r="M455" s="1762">
        <f t="shared" si="109"/>
        <v>1</v>
      </c>
      <c r="N455" s="1769"/>
      <c r="O455" s="1762">
        <f t="shared" si="110"/>
        <v>1</v>
      </c>
      <c r="P455" s="1769"/>
      <c r="Q455" s="1762">
        <f t="shared" si="111"/>
        <v>1</v>
      </c>
      <c r="R455" s="1833">
        <f ca="1" t="shared" si="116"/>
        <v>0</v>
      </c>
      <c r="S455" s="1716">
        <f ca="1" t="shared" si="117"/>
        <v>0</v>
      </c>
      <c r="T455" s="1768">
        <f ca="1" t="shared" si="118"/>
        <v>0</v>
      </c>
      <c r="U455" s="1838">
        <f t="shared" si="112"/>
        <v>0</v>
      </c>
      <c r="V455" s="1838">
        <f t="shared" si="113"/>
        <v>0</v>
      </c>
      <c r="W455" s="1840"/>
      <c r="X455" s="1838">
        <f t="shared" si="114"/>
        <v>0</v>
      </c>
      <c r="Y455" s="1838">
        <f t="shared" si="115"/>
        <v>0</v>
      </c>
      <c r="Z455" s="1840"/>
    </row>
    <row r="456" spans="1:26">
      <c r="A456" s="1770"/>
      <c r="B456" s="1771"/>
      <c r="C456" s="1762">
        <f t="shared" si="104"/>
        <v>1</v>
      </c>
      <c r="D456" s="1769"/>
      <c r="E456" s="1762">
        <f t="shared" si="105"/>
        <v>1</v>
      </c>
      <c r="F456" s="1769"/>
      <c r="G456" s="1762">
        <f t="shared" si="106"/>
        <v>1</v>
      </c>
      <c r="H456" s="1769"/>
      <c r="I456" s="1762">
        <f t="shared" si="107"/>
        <v>1</v>
      </c>
      <c r="J456" s="1769"/>
      <c r="K456" s="1762">
        <f t="shared" si="108"/>
        <v>1</v>
      </c>
      <c r="L456" s="1769"/>
      <c r="M456" s="1762">
        <f t="shared" si="109"/>
        <v>1</v>
      </c>
      <c r="N456" s="1769"/>
      <c r="O456" s="1762">
        <f t="shared" si="110"/>
        <v>1</v>
      </c>
      <c r="P456" s="1769"/>
      <c r="Q456" s="1762">
        <f t="shared" si="111"/>
        <v>1</v>
      </c>
      <c r="R456" s="1833">
        <f ca="1" t="shared" si="116"/>
        <v>0</v>
      </c>
      <c r="S456" s="1716">
        <f ca="1" t="shared" si="117"/>
        <v>0</v>
      </c>
      <c r="T456" s="1768">
        <f ca="1" t="shared" si="118"/>
        <v>0</v>
      </c>
      <c r="U456" s="1838">
        <f t="shared" si="112"/>
        <v>0</v>
      </c>
      <c r="V456" s="1838">
        <f t="shared" si="113"/>
        <v>0</v>
      </c>
      <c r="W456" s="1840"/>
      <c r="X456" s="1838">
        <f t="shared" si="114"/>
        <v>0</v>
      </c>
      <c r="Y456" s="1838">
        <f t="shared" si="115"/>
        <v>0</v>
      </c>
      <c r="Z456" s="1840"/>
    </row>
    <row r="457" spans="1:26">
      <c r="A457" s="1770"/>
      <c r="B457" s="1771"/>
      <c r="C457" s="1762">
        <f t="shared" si="104"/>
        <v>1</v>
      </c>
      <c r="D457" s="1769"/>
      <c r="E457" s="1762">
        <f t="shared" si="105"/>
        <v>1</v>
      </c>
      <c r="F457" s="1769"/>
      <c r="G457" s="1762">
        <f t="shared" si="106"/>
        <v>1</v>
      </c>
      <c r="H457" s="1769"/>
      <c r="I457" s="1762">
        <f t="shared" si="107"/>
        <v>1</v>
      </c>
      <c r="J457" s="1769"/>
      <c r="K457" s="1762">
        <f t="shared" si="108"/>
        <v>1</v>
      </c>
      <c r="L457" s="1769"/>
      <c r="M457" s="1762">
        <f t="shared" si="109"/>
        <v>1</v>
      </c>
      <c r="N457" s="1769"/>
      <c r="O457" s="1762">
        <f t="shared" si="110"/>
        <v>1</v>
      </c>
      <c r="P457" s="1769"/>
      <c r="Q457" s="1762">
        <f t="shared" si="111"/>
        <v>1</v>
      </c>
      <c r="R457" s="1833">
        <f ca="1" t="shared" si="116"/>
        <v>0</v>
      </c>
      <c r="S457" s="1716">
        <f ca="1" t="shared" si="117"/>
        <v>0</v>
      </c>
      <c r="T457" s="1768">
        <f ca="1" t="shared" si="118"/>
        <v>0</v>
      </c>
      <c r="U457" s="1838">
        <f t="shared" si="112"/>
        <v>0</v>
      </c>
      <c r="V457" s="1838">
        <f t="shared" si="113"/>
        <v>0</v>
      </c>
      <c r="W457" s="1840"/>
      <c r="X457" s="1838">
        <f t="shared" si="114"/>
        <v>0</v>
      </c>
      <c r="Y457" s="1838">
        <f t="shared" si="115"/>
        <v>0</v>
      </c>
      <c r="Z457" s="1840"/>
    </row>
    <row r="458" spans="1:26">
      <c r="A458" s="1770"/>
      <c r="B458" s="1771"/>
      <c r="C458" s="1762">
        <f t="shared" si="104"/>
        <v>1</v>
      </c>
      <c r="D458" s="1769"/>
      <c r="E458" s="1762">
        <f t="shared" si="105"/>
        <v>1</v>
      </c>
      <c r="F458" s="1769"/>
      <c r="G458" s="1762">
        <f t="shared" si="106"/>
        <v>1</v>
      </c>
      <c r="H458" s="1769"/>
      <c r="I458" s="1762">
        <f t="shared" si="107"/>
        <v>1</v>
      </c>
      <c r="J458" s="1769"/>
      <c r="K458" s="1762">
        <f t="shared" si="108"/>
        <v>1</v>
      </c>
      <c r="L458" s="1769"/>
      <c r="M458" s="1762">
        <f t="shared" si="109"/>
        <v>1</v>
      </c>
      <c r="N458" s="1769"/>
      <c r="O458" s="1762">
        <f t="shared" si="110"/>
        <v>1</v>
      </c>
      <c r="P458" s="1769"/>
      <c r="Q458" s="1762">
        <f t="shared" si="111"/>
        <v>1</v>
      </c>
      <c r="R458" s="1833">
        <f ca="1" t="shared" si="116"/>
        <v>0</v>
      </c>
      <c r="S458" s="1716">
        <f ca="1" t="shared" si="117"/>
        <v>0</v>
      </c>
      <c r="T458" s="1768">
        <f ca="1" t="shared" si="118"/>
        <v>0</v>
      </c>
      <c r="U458" s="1838">
        <f t="shared" si="112"/>
        <v>0</v>
      </c>
      <c r="V458" s="1838">
        <f t="shared" si="113"/>
        <v>0</v>
      </c>
      <c r="W458" s="1840"/>
      <c r="X458" s="1838">
        <f t="shared" si="114"/>
        <v>0</v>
      </c>
      <c r="Y458" s="1838">
        <f t="shared" si="115"/>
        <v>0</v>
      </c>
      <c r="Z458" s="1840"/>
    </row>
    <row r="459" spans="1:26">
      <c r="A459" s="1770"/>
      <c r="B459" s="1771"/>
      <c r="C459" s="1762">
        <f t="shared" si="104"/>
        <v>1</v>
      </c>
      <c r="D459" s="1769"/>
      <c r="E459" s="1762">
        <f t="shared" si="105"/>
        <v>1</v>
      </c>
      <c r="F459" s="1769"/>
      <c r="G459" s="1762">
        <f t="shared" si="106"/>
        <v>1</v>
      </c>
      <c r="H459" s="1769"/>
      <c r="I459" s="1762">
        <f t="shared" si="107"/>
        <v>1</v>
      </c>
      <c r="J459" s="1769"/>
      <c r="K459" s="1762">
        <f t="shared" si="108"/>
        <v>1</v>
      </c>
      <c r="L459" s="1769"/>
      <c r="M459" s="1762">
        <f t="shared" si="109"/>
        <v>1</v>
      </c>
      <c r="N459" s="1769"/>
      <c r="O459" s="1762">
        <f t="shared" si="110"/>
        <v>1</v>
      </c>
      <c r="P459" s="1769"/>
      <c r="Q459" s="1762">
        <f t="shared" si="111"/>
        <v>1</v>
      </c>
      <c r="R459" s="1833">
        <f ca="1" t="shared" si="116"/>
        <v>0</v>
      </c>
      <c r="S459" s="1716">
        <f ca="1" t="shared" si="117"/>
        <v>0</v>
      </c>
      <c r="T459" s="1768">
        <f ca="1" t="shared" si="118"/>
        <v>0</v>
      </c>
      <c r="U459" s="1838">
        <f t="shared" si="112"/>
        <v>0</v>
      </c>
      <c r="V459" s="1838">
        <f t="shared" si="113"/>
        <v>0</v>
      </c>
      <c r="W459" s="1840"/>
      <c r="X459" s="1838">
        <f t="shared" si="114"/>
        <v>0</v>
      </c>
      <c r="Y459" s="1838">
        <f t="shared" si="115"/>
        <v>0</v>
      </c>
      <c r="Z459" s="1840"/>
    </row>
    <row r="460" spans="1:26">
      <c r="A460" s="1770"/>
      <c r="B460" s="1771"/>
      <c r="C460" s="1762">
        <f t="shared" si="104"/>
        <v>1</v>
      </c>
      <c r="D460" s="1769"/>
      <c r="E460" s="1762">
        <f t="shared" si="105"/>
        <v>1</v>
      </c>
      <c r="F460" s="1769"/>
      <c r="G460" s="1762">
        <f t="shared" si="106"/>
        <v>1</v>
      </c>
      <c r="H460" s="1769"/>
      <c r="I460" s="1762">
        <f t="shared" si="107"/>
        <v>1</v>
      </c>
      <c r="J460" s="1769"/>
      <c r="K460" s="1762">
        <f t="shared" si="108"/>
        <v>1</v>
      </c>
      <c r="L460" s="1769"/>
      <c r="M460" s="1762">
        <f t="shared" si="109"/>
        <v>1</v>
      </c>
      <c r="N460" s="1769"/>
      <c r="O460" s="1762">
        <f t="shared" si="110"/>
        <v>1</v>
      </c>
      <c r="P460" s="1769"/>
      <c r="Q460" s="1762">
        <f t="shared" si="111"/>
        <v>1</v>
      </c>
      <c r="R460" s="1833">
        <f ca="1" t="shared" si="116"/>
        <v>0</v>
      </c>
      <c r="S460" s="1716">
        <f ca="1" t="shared" si="117"/>
        <v>0</v>
      </c>
      <c r="T460" s="1768">
        <f ca="1" t="shared" si="118"/>
        <v>0</v>
      </c>
      <c r="U460" s="1838">
        <f t="shared" si="112"/>
        <v>0</v>
      </c>
      <c r="V460" s="1838">
        <f t="shared" si="113"/>
        <v>0</v>
      </c>
      <c r="W460" s="1840"/>
      <c r="X460" s="1838">
        <f t="shared" si="114"/>
        <v>0</v>
      </c>
      <c r="Y460" s="1838">
        <f t="shared" si="115"/>
        <v>0</v>
      </c>
      <c r="Z460" s="1840"/>
    </row>
    <row r="461" spans="1:26">
      <c r="A461" s="1770"/>
      <c r="B461" s="1771"/>
      <c r="C461" s="1762">
        <f t="shared" si="104"/>
        <v>1</v>
      </c>
      <c r="D461" s="1769"/>
      <c r="E461" s="1762">
        <f t="shared" si="105"/>
        <v>1</v>
      </c>
      <c r="F461" s="1769"/>
      <c r="G461" s="1762">
        <f t="shared" si="106"/>
        <v>1</v>
      </c>
      <c r="H461" s="1769"/>
      <c r="I461" s="1762">
        <f t="shared" si="107"/>
        <v>1</v>
      </c>
      <c r="J461" s="1769"/>
      <c r="K461" s="1762">
        <f t="shared" si="108"/>
        <v>1</v>
      </c>
      <c r="L461" s="1769"/>
      <c r="M461" s="1762">
        <f t="shared" si="109"/>
        <v>1</v>
      </c>
      <c r="N461" s="1769"/>
      <c r="O461" s="1762">
        <f t="shared" si="110"/>
        <v>1</v>
      </c>
      <c r="P461" s="1769"/>
      <c r="Q461" s="1762">
        <f t="shared" si="111"/>
        <v>1</v>
      </c>
      <c r="R461" s="1833">
        <f ca="1" t="shared" si="116"/>
        <v>0</v>
      </c>
      <c r="S461" s="1716">
        <f ca="1" t="shared" si="117"/>
        <v>0</v>
      </c>
      <c r="T461" s="1768">
        <f ca="1" t="shared" si="118"/>
        <v>0</v>
      </c>
      <c r="U461" s="1838">
        <f t="shared" si="112"/>
        <v>0</v>
      </c>
      <c r="V461" s="1838">
        <f t="shared" si="113"/>
        <v>0</v>
      </c>
      <c r="W461" s="1840"/>
      <c r="X461" s="1838">
        <f t="shared" si="114"/>
        <v>0</v>
      </c>
      <c r="Y461" s="1838">
        <f t="shared" si="115"/>
        <v>0</v>
      </c>
      <c r="Z461" s="1840"/>
    </row>
    <row r="462" spans="1:26">
      <c r="A462" s="1770"/>
      <c r="B462" s="1771"/>
      <c r="C462" s="1762">
        <f t="shared" si="104"/>
        <v>1</v>
      </c>
      <c r="D462" s="1769"/>
      <c r="E462" s="1762">
        <f t="shared" si="105"/>
        <v>1</v>
      </c>
      <c r="F462" s="1769"/>
      <c r="G462" s="1762">
        <f t="shared" si="106"/>
        <v>1</v>
      </c>
      <c r="H462" s="1769"/>
      <c r="I462" s="1762">
        <f t="shared" si="107"/>
        <v>1</v>
      </c>
      <c r="J462" s="1769"/>
      <c r="K462" s="1762">
        <f t="shared" si="108"/>
        <v>1</v>
      </c>
      <c r="L462" s="1769"/>
      <c r="M462" s="1762">
        <f t="shared" si="109"/>
        <v>1</v>
      </c>
      <c r="N462" s="1769"/>
      <c r="O462" s="1762">
        <f t="shared" si="110"/>
        <v>1</v>
      </c>
      <c r="P462" s="1769"/>
      <c r="Q462" s="1762">
        <f t="shared" si="111"/>
        <v>1</v>
      </c>
      <c r="R462" s="1833">
        <f ca="1" t="shared" si="116"/>
        <v>0</v>
      </c>
      <c r="S462" s="1716">
        <f ca="1" t="shared" si="117"/>
        <v>0</v>
      </c>
      <c r="T462" s="1768">
        <f ca="1" t="shared" si="118"/>
        <v>0</v>
      </c>
      <c r="U462" s="1838">
        <f t="shared" si="112"/>
        <v>0</v>
      </c>
      <c r="V462" s="1838">
        <f t="shared" si="113"/>
        <v>0</v>
      </c>
      <c r="W462" s="1840"/>
      <c r="X462" s="1838">
        <f t="shared" si="114"/>
        <v>0</v>
      </c>
      <c r="Y462" s="1838">
        <f t="shared" si="115"/>
        <v>0</v>
      </c>
      <c r="Z462" s="1840"/>
    </row>
    <row r="463" spans="1:26">
      <c r="A463" s="1770"/>
      <c r="B463" s="1771"/>
      <c r="C463" s="1762">
        <f t="shared" si="104"/>
        <v>1</v>
      </c>
      <c r="D463" s="1769"/>
      <c r="E463" s="1762">
        <f t="shared" si="105"/>
        <v>1</v>
      </c>
      <c r="F463" s="1769"/>
      <c r="G463" s="1762">
        <f t="shared" si="106"/>
        <v>1</v>
      </c>
      <c r="H463" s="1769"/>
      <c r="I463" s="1762">
        <f t="shared" si="107"/>
        <v>1</v>
      </c>
      <c r="J463" s="1769"/>
      <c r="K463" s="1762">
        <f t="shared" si="108"/>
        <v>1</v>
      </c>
      <c r="L463" s="1769"/>
      <c r="M463" s="1762">
        <f t="shared" si="109"/>
        <v>1</v>
      </c>
      <c r="N463" s="1769"/>
      <c r="O463" s="1762">
        <f t="shared" si="110"/>
        <v>1</v>
      </c>
      <c r="P463" s="1769"/>
      <c r="Q463" s="1762">
        <f t="shared" si="111"/>
        <v>1</v>
      </c>
      <c r="R463" s="1833">
        <f ca="1" t="shared" si="116"/>
        <v>0</v>
      </c>
      <c r="S463" s="1716">
        <f ca="1" t="shared" si="117"/>
        <v>0</v>
      </c>
      <c r="T463" s="1768">
        <f ca="1" t="shared" si="118"/>
        <v>0</v>
      </c>
      <c r="U463" s="1838">
        <f t="shared" si="112"/>
        <v>0</v>
      </c>
      <c r="V463" s="1838">
        <f t="shared" si="113"/>
        <v>0</v>
      </c>
      <c r="W463" s="1840"/>
      <c r="X463" s="1838">
        <f t="shared" si="114"/>
        <v>0</v>
      </c>
      <c r="Y463" s="1838">
        <f t="shared" si="115"/>
        <v>0</v>
      </c>
      <c r="Z463" s="1840"/>
    </row>
    <row r="464" spans="1:26">
      <c r="A464" s="1770"/>
      <c r="B464" s="1771"/>
      <c r="C464" s="1762">
        <f t="shared" si="104"/>
        <v>1</v>
      </c>
      <c r="D464" s="1769"/>
      <c r="E464" s="1762">
        <f t="shared" si="105"/>
        <v>1</v>
      </c>
      <c r="F464" s="1769"/>
      <c r="G464" s="1762">
        <f t="shared" si="106"/>
        <v>1</v>
      </c>
      <c r="H464" s="1769"/>
      <c r="I464" s="1762">
        <f t="shared" si="107"/>
        <v>1</v>
      </c>
      <c r="J464" s="1769"/>
      <c r="K464" s="1762">
        <f t="shared" si="108"/>
        <v>1</v>
      </c>
      <c r="L464" s="1769"/>
      <c r="M464" s="1762">
        <f t="shared" si="109"/>
        <v>1</v>
      </c>
      <c r="N464" s="1769"/>
      <c r="O464" s="1762">
        <f t="shared" si="110"/>
        <v>1</v>
      </c>
      <c r="P464" s="1769"/>
      <c r="Q464" s="1762">
        <f t="shared" si="111"/>
        <v>1</v>
      </c>
      <c r="R464" s="1833">
        <f ca="1" t="shared" si="116"/>
        <v>0</v>
      </c>
      <c r="S464" s="1716">
        <f ca="1" t="shared" si="117"/>
        <v>0</v>
      </c>
      <c r="T464" s="1768">
        <f ca="1" t="shared" si="118"/>
        <v>0</v>
      </c>
      <c r="U464" s="1838">
        <f t="shared" si="112"/>
        <v>0</v>
      </c>
      <c r="V464" s="1838">
        <f t="shared" si="113"/>
        <v>0</v>
      </c>
      <c r="W464" s="1840"/>
      <c r="X464" s="1838">
        <f t="shared" si="114"/>
        <v>0</v>
      </c>
      <c r="Y464" s="1838">
        <f t="shared" si="115"/>
        <v>0</v>
      </c>
      <c r="Z464" s="1840"/>
    </row>
    <row r="465" spans="1:26">
      <c r="A465" s="1770"/>
      <c r="B465" s="1771"/>
      <c r="C465" s="1762">
        <f t="shared" si="104"/>
        <v>1</v>
      </c>
      <c r="D465" s="1769"/>
      <c r="E465" s="1762">
        <f t="shared" si="105"/>
        <v>1</v>
      </c>
      <c r="F465" s="1769"/>
      <c r="G465" s="1762">
        <f t="shared" si="106"/>
        <v>1</v>
      </c>
      <c r="H465" s="1769"/>
      <c r="I465" s="1762">
        <f t="shared" si="107"/>
        <v>1</v>
      </c>
      <c r="J465" s="1769"/>
      <c r="K465" s="1762">
        <f t="shared" si="108"/>
        <v>1</v>
      </c>
      <c r="L465" s="1769"/>
      <c r="M465" s="1762">
        <f t="shared" si="109"/>
        <v>1</v>
      </c>
      <c r="N465" s="1769"/>
      <c r="O465" s="1762">
        <f t="shared" si="110"/>
        <v>1</v>
      </c>
      <c r="P465" s="1769"/>
      <c r="Q465" s="1762">
        <f t="shared" si="111"/>
        <v>1</v>
      </c>
      <c r="R465" s="1833">
        <f ca="1" t="shared" si="116"/>
        <v>0</v>
      </c>
      <c r="S465" s="1716">
        <f ca="1" t="shared" si="117"/>
        <v>0</v>
      </c>
      <c r="T465" s="1768">
        <f ca="1" t="shared" si="118"/>
        <v>0</v>
      </c>
      <c r="U465" s="1838">
        <f t="shared" si="112"/>
        <v>0</v>
      </c>
      <c r="V465" s="1838">
        <f t="shared" si="113"/>
        <v>0</v>
      </c>
      <c r="W465" s="1840"/>
      <c r="X465" s="1838">
        <f t="shared" si="114"/>
        <v>0</v>
      </c>
      <c r="Y465" s="1838">
        <f t="shared" si="115"/>
        <v>0</v>
      </c>
      <c r="Z465" s="1840"/>
    </row>
    <row r="466" spans="1:26">
      <c r="A466" s="1770"/>
      <c r="B466" s="1771"/>
      <c r="C466" s="1762">
        <f t="shared" si="104"/>
        <v>1</v>
      </c>
      <c r="D466" s="1769"/>
      <c r="E466" s="1762">
        <f t="shared" si="105"/>
        <v>1</v>
      </c>
      <c r="F466" s="1769"/>
      <c r="G466" s="1762">
        <f t="shared" si="106"/>
        <v>1</v>
      </c>
      <c r="H466" s="1769"/>
      <c r="I466" s="1762">
        <f t="shared" si="107"/>
        <v>1</v>
      </c>
      <c r="J466" s="1769"/>
      <c r="K466" s="1762">
        <f t="shared" si="108"/>
        <v>1</v>
      </c>
      <c r="L466" s="1769"/>
      <c r="M466" s="1762">
        <f t="shared" si="109"/>
        <v>1</v>
      </c>
      <c r="N466" s="1769"/>
      <c r="O466" s="1762">
        <f t="shared" si="110"/>
        <v>1</v>
      </c>
      <c r="P466" s="1769"/>
      <c r="Q466" s="1762">
        <f t="shared" si="111"/>
        <v>1</v>
      </c>
      <c r="R466" s="1833">
        <f ca="1" t="shared" si="116"/>
        <v>0</v>
      </c>
      <c r="S466" s="1716">
        <f ca="1" t="shared" si="117"/>
        <v>0</v>
      </c>
      <c r="T466" s="1768">
        <f ca="1" t="shared" si="118"/>
        <v>0</v>
      </c>
      <c r="U466" s="1838">
        <f t="shared" si="112"/>
        <v>0</v>
      </c>
      <c r="V466" s="1838">
        <f t="shared" si="113"/>
        <v>0</v>
      </c>
      <c r="W466" s="1840"/>
      <c r="X466" s="1838">
        <f t="shared" si="114"/>
        <v>0</v>
      </c>
      <c r="Y466" s="1838">
        <f t="shared" si="115"/>
        <v>0</v>
      </c>
      <c r="Z466" s="1840"/>
    </row>
    <row r="467" spans="1:26">
      <c r="A467" s="1770"/>
      <c r="B467" s="1771"/>
      <c r="C467" s="1762">
        <f t="shared" si="104"/>
        <v>1</v>
      </c>
      <c r="D467" s="1769"/>
      <c r="E467" s="1762">
        <f t="shared" si="105"/>
        <v>1</v>
      </c>
      <c r="F467" s="1769"/>
      <c r="G467" s="1762">
        <f t="shared" si="106"/>
        <v>1</v>
      </c>
      <c r="H467" s="1769"/>
      <c r="I467" s="1762">
        <f t="shared" si="107"/>
        <v>1</v>
      </c>
      <c r="J467" s="1769"/>
      <c r="K467" s="1762">
        <f t="shared" si="108"/>
        <v>1</v>
      </c>
      <c r="L467" s="1769"/>
      <c r="M467" s="1762">
        <f t="shared" si="109"/>
        <v>1</v>
      </c>
      <c r="N467" s="1769"/>
      <c r="O467" s="1762">
        <f t="shared" si="110"/>
        <v>1</v>
      </c>
      <c r="P467" s="1769"/>
      <c r="Q467" s="1762">
        <f t="shared" si="111"/>
        <v>1</v>
      </c>
      <c r="R467" s="1833">
        <f ca="1" t="shared" si="116"/>
        <v>0</v>
      </c>
      <c r="S467" s="1716">
        <f ca="1" t="shared" si="117"/>
        <v>0</v>
      </c>
      <c r="T467" s="1768">
        <f ca="1" t="shared" si="118"/>
        <v>0</v>
      </c>
      <c r="U467" s="1838">
        <f t="shared" si="112"/>
        <v>0</v>
      </c>
      <c r="V467" s="1838">
        <f t="shared" si="113"/>
        <v>0</v>
      </c>
      <c r="W467" s="1840"/>
      <c r="X467" s="1838">
        <f t="shared" si="114"/>
        <v>0</v>
      </c>
      <c r="Y467" s="1838">
        <f t="shared" si="115"/>
        <v>0</v>
      </c>
      <c r="Z467" s="1840"/>
    </row>
    <row r="468" spans="1:26">
      <c r="A468" s="1770"/>
      <c r="B468" s="1771"/>
      <c r="C468" s="1762">
        <f t="shared" si="104"/>
        <v>1</v>
      </c>
      <c r="D468" s="1769"/>
      <c r="E468" s="1762">
        <f t="shared" si="105"/>
        <v>1</v>
      </c>
      <c r="F468" s="1769"/>
      <c r="G468" s="1762">
        <f t="shared" si="106"/>
        <v>1</v>
      </c>
      <c r="H468" s="1769"/>
      <c r="I468" s="1762">
        <f t="shared" si="107"/>
        <v>1</v>
      </c>
      <c r="J468" s="1769"/>
      <c r="K468" s="1762">
        <f t="shared" si="108"/>
        <v>1</v>
      </c>
      <c r="L468" s="1769"/>
      <c r="M468" s="1762">
        <f t="shared" si="109"/>
        <v>1</v>
      </c>
      <c r="N468" s="1769"/>
      <c r="O468" s="1762">
        <f t="shared" si="110"/>
        <v>1</v>
      </c>
      <c r="P468" s="1769"/>
      <c r="Q468" s="1762">
        <f t="shared" si="111"/>
        <v>1</v>
      </c>
      <c r="R468" s="1833">
        <f ca="1" t="shared" si="116"/>
        <v>0</v>
      </c>
      <c r="S468" s="1716">
        <f ca="1" t="shared" si="117"/>
        <v>0</v>
      </c>
      <c r="T468" s="1768">
        <f ca="1" t="shared" si="118"/>
        <v>0</v>
      </c>
      <c r="U468" s="1838">
        <f t="shared" si="112"/>
        <v>0</v>
      </c>
      <c r="V468" s="1838">
        <f t="shared" si="113"/>
        <v>0</v>
      </c>
      <c r="W468" s="1840"/>
      <c r="X468" s="1838">
        <f t="shared" si="114"/>
        <v>0</v>
      </c>
      <c r="Y468" s="1838">
        <f t="shared" si="115"/>
        <v>0</v>
      </c>
      <c r="Z468" s="1840"/>
    </row>
    <row r="469" spans="1:26">
      <c r="A469" s="1770"/>
      <c r="B469" s="1771"/>
      <c r="C469" s="1762">
        <f t="shared" si="104"/>
        <v>1</v>
      </c>
      <c r="D469" s="1769"/>
      <c r="E469" s="1762">
        <f t="shared" si="105"/>
        <v>1</v>
      </c>
      <c r="F469" s="1769"/>
      <c r="G469" s="1762">
        <f t="shared" si="106"/>
        <v>1</v>
      </c>
      <c r="H469" s="1769"/>
      <c r="I469" s="1762">
        <f t="shared" si="107"/>
        <v>1</v>
      </c>
      <c r="J469" s="1769"/>
      <c r="K469" s="1762">
        <f t="shared" si="108"/>
        <v>1</v>
      </c>
      <c r="L469" s="1769"/>
      <c r="M469" s="1762">
        <f t="shared" si="109"/>
        <v>1</v>
      </c>
      <c r="N469" s="1769"/>
      <c r="O469" s="1762">
        <f t="shared" si="110"/>
        <v>1</v>
      </c>
      <c r="P469" s="1769"/>
      <c r="Q469" s="1762">
        <f t="shared" si="111"/>
        <v>1</v>
      </c>
      <c r="R469" s="1833">
        <f ca="1" t="shared" si="116"/>
        <v>0</v>
      </c>
      <c r="S469" s="1716">
        <f ca="1" t="shared" si="117"/>
        <v>0</v>
      </c>
      <c r="T469" s="1768">
        <f ca="1" t="shared" si="118"/>
        <v>0</v>
      </c>
      <c r="U469" s="1838">
        <f t="shared" si="112"/>
        <v>0</v>
      </c>
      <c r="V469" s="1838">
        <f t="shared" si="113"/>
        <v>0</v>
      </c>
      <c r="W469" s="1840"/>
      <c r="X469" s="1838">
        <f t="shared" si="114"/>
        <v>0</v>
      </c>
      <c r="Y469" s="1838">
        <f t="shared" si="115"/>
        <v>0</v>
      </c>
      <c r="Z469" s="1840"/>
    </row>
    <row r="470" spans="1:26">
      <c r="A470" s="1770"/>
      <c r="B470" s="1771"/>
      <c r="C470" s="1762">
        <f t="shared" si="104"/>
        <v>1</v>
      </c>
      <c r="D470" s="1769"/>
      <c r="E470" s="1762">
        <f t="shared" si="105"/>
        <v>1</v>
      </c>
      <c r="F470" s="1769"/>
      <c r="G470" s="1762">
        <f t="shared" si="106"/>
        <v>1</v>
      </c>
      <c r="H470" s="1769"/>
      <c r="I470" s="1762">
        <f t="shared" si="107"/>
        <v>1</v>
      </c>
      <c r="J470" s="1769"/>
      <c r="K470" s="1762">
        <f t="shared" si="108"/>
        <v>1</v>
      </c>
      <c r="L470" s="1769"/>
      <c r="M470" s="1762">
        <f t="shared" si="109"/>
        <v>1</v>
      </c>
      <c r="N470" s="1769"/>
      <c r="O470" s="1762">
        <f t="shared" si="110"/>
        <v>1</v>
      </c>
      <c r="P470" s="1769"/>
      <c r="Q470" s="1762">
        <f t="shared" si="111"/>
        <v>1</v>
      </c>
      <c r="R470" s="1833">
        <f ca="1" t="shared" si="116"/>
        <v>0</v>
      </c>
      <c r="S470" s="1716">
        <f ca="1" t="shared" si="117"/>
        <v>0</v>
      </c>
      <c r="T470" s="1768">
        <f ca="1" t="shared" si="118"/>
        <v>0</v>
      </c>
      <c r="U470" s="1838">
        <f t="shared" si="112"/>
        <v>0</v>
      </c>
      <c r="V470" s="1838">
        <f t="shared" si="113"/>
        <v>0</v>
      </c>
      <c r="W470" s="1840"/>
      <c r="X470" s="1838">
        <f t="shared" si="114"/>
        <v>0</v>
      </c>
      <c r="Y470" s="1838">
        <f t="shared" si="115"/>
        <v>0</v>
      </c>
      <c r="Z470" s="1840"/>
    </row>
    <row r="471" spans="1:26">
      <c r="A471" s="1770"/>
      <c r="B471" s="1771"/>
      <c r="C471" s="1762">
        <f t="shared" si="104"/>
        <v>1</v>
      </c>
      <c r="D471" s="1769"/>
      <c r="E471" s="1762">
        <f t="shared" si="105"/>
        <v>1</v>
      </c>
      <c r="F471" s="1769"/>
      <c r="G471" s="1762">
        <f t="shared" si="106"/>
        <v>1</v>
      </c>
      <c r="H471" s="1769"/>
      <c r="I471" s="1762">
        <f t="shared" si="107"/>
        <v>1</v>
      </c>
      <c r="J471" s="1769"/>
      <c r="K471" s="1762">
        <f t="shared" si="108"/>
        <v>1</v>
      </c>
      <c r="L471" s="1769"/>
      <c r="M471" s="1762">
        <f t="shared" si="109"/>
        <v>1</v>
      </c>
      <c r="N471" s="1769"/>
      <c r="O471" s="1762">
        <f t="shared" si="110"/>
        <v>1</v>
      </c>
      <c r="P471" s="1769"/>
      <c r="Q471" s="1762">
        <f t="shared" si="111"/>
        <v>1</v>
      </c>
      <c r="R471" s="1833">
        <f ca="1" t="shared" si="116"/>
        <v>0</v>
      </c>
      <c r="S471" s="1716">
        <f ca="1" t="shared" si="117"/>
        <v>0</v>
      </c>
      <c r="T471" s="1768">
        <f ca="1" t="shared" si="118"/>
        <v>0</v>
      </c>
      <c r="U471" s="1838">
        <f t="shared" si="112"/>
        <v>0</v>
      </c>
      <c r="V471" s="1838">
        <f t="shared" si="113"/>
        <v>0</v>
      </c>
      <c r="W471" s="1840"/>
      <c r="X471" s="1838">
        <f t="shared" si="114"/>
        <v>0</v>
      </c>
      <c r="Y471" s="1838">
        <f t="shared" si="115"/>
        <v>0</v>
      </c>
      <c r="Z471" s="1840"/>
    </row>
    <row r="472" spans="1:26">
      <c r="A472" s="1770"/>
      <c r="B472" s="1771"/>
      <c r="C472" s="1762">
        <f t="shared" si="104"/>
        <v>1</v>
      </c>
      <c r="D472" s="1769"/>
      <c r="E472" s="1762">
        <f t="shared" si="105"/>
        <v>1</v>
      </c>
      <c r="F472" s="1769"/>
      <c r="G472" s="1762">
        <f t="shared" si="106"/>
        <v>1</v>
      </c>
      <c r="H472" s="1769"/>
      <c r="I472" s="1762">
        <f t="shared" si="107"/>
        <v>1</v>
      </c>
      <c r="J472" s="1769"/>
      <c r="K472" s="1762">
        <f t="shared" si="108"/>
        <v>1</v>
      </c>
      <c r="L472" s="1769"/>
      <c r="M472" s="1762">
        <f t="shared" si="109"/>
        <v>1</v>
      </c>
      <c r="N472" s="1769"/>
      <c r="O472" s="1762">
        <f t="shared" si="110"/>
        <v>1</v>
      </c>
      <c r="P472" s="1769"/>
      <c r="Q472" s="1762">
        <f t="shared" si="111"/>
        <v>1</v>
      </c>
      <c r="R472" s="1833">
        <f ca="1" t="shared" si="116"/>
        <v>0</v>
      </c>
      <c r="S472" s="1716">
        <f ca="1" t="shared" si="117"/>
        <v>0</v>
      </c>
      <c r="T472" s="1768">
        <f ca="1" t="shared" si="118"/>
        <v>0</v>
      </c>
      <c r="U472" s="1838">
        <f t="shared" si="112"/>
        <v>0</v>
      </c>
      <c r="V472" s="1838">
        <f t="shared" si="113"/>
        <v>0</v>
      </c>
      <c r="W472" s="1840"/>
      <c r="X472" s="1838">
        <f t="shared" si="114"/>
        <v>0</v>
      </c>
      <c r="Y472" s="1838">
        <f t="shared" si="115"/>
        <v>0</v>
      </c>
      <c r="Z472" s="1840"/>
    </row>
    <row r="473" spans="1:26">
      <c r="A473" s="1770"/>
      <c r="B473" s="1771"/>
      <c r="C473" s="1762">
        <f t="shared" si="104"/>
        <v>1</v>
      </c>
      <c r="D473" s="1769"/>
      <c r="E473" s="1762">
        <f t="shared" si="105"/>
        <v>1</v>
      </c>
      <c r="F473" s="1769"/>
      <c r="G473" s="1762">
        <f t="shared" si="106"/>
        <v>1</v>
      </c>
      <c r="H473" s="1769"/>
      <c r="I473" s="1762">
        <f t="shared" si="107"/>
        <v>1</v>
      </c>
      <c r="J473" s="1769"/>
      <c r="K473" s="1762">
        <f t="shared" si="108"/>
        <v>1</v>
      </c>
      <c r="L473" s="1769"/>
      <c r="M473" s="1762">
        <f t="shared" si="109"/>
        <v>1</v>
      </c>
      <c r="N473" s="1769"/>
      <c r="O473" s="1762">
        <f t="shared" si="110"/>
        <v>1</v>
      </c>
      <c r="P473" s="1769"/>
      <c r="Q473" s="1762">
        <f t="shared" si="111"/>
        <v>1</v>
      </c>
      <c r="R473" s="1833">
        <f ca="1" t="shared" si="116"/>
        <v>0</v>
      </c>
      <c r="S473" s="1716">
        <f ca="1" t="shared" si="117"/>
        <v>0</v>
      </c>
      <c r="T473" s="1768">
        <f ca="1" t="shared" si="118"/>
        <v>0</v>
      </c>
      <c r="U473" s="1838">
        <f t="shared" si="112"/>
        <v>0</v>
      </c>
      <c r="V473" s="1838">
        <f t="shared" si="113"/>
        <v>0</v>
      </c>
      <c r="W473" s="1840"/>
      <c r="X473" s="1838">
        <f t="shared" si="114"/>
        <v>0</v>
      </c>
      <c r="Y473" s="1838">
        <f t="shared" si="115"/>
        <v>0</v>
      </c>
      <c r="Z473" s="1840"/>
    </row>
    <row r="474" spans="1:26">
      <c r="A474" s="1770"/>
      <c r="B474" s="1771"/>
      <c r="C474" s="1762">
        <f t="shared" si="104"/>
        <v>1</v>
      </c>
      <c r="D474" s="1769"/>
      <c r="E474" s="1762">
        <f t="shared" si="105"/>
        <v>1</v>
      </c>
      <c r="F474" s="1769"/>
      <c r="G474" s="1762">
        <f t="shared" si="106"/>
        <v>1</v>
      </c>
      <c r="H474" s="1769"/>
      <c r="I474" s="1762">
        <f t="shared" si="107"/>
        <v>1</v>
      </c>
      <c r="J474" s="1769"/>
      <c r="K474" s="1762">
        <f t="shared" si="108"/>
        <v>1</v>
      </c>
      <c r="L474" s="1769"/>
      <c r="M474" s="1762">
        <f t="shared" si="109"/>
        <v>1</v>
      </c>
      <c r="N474" s="1769"/>
      <c r="O474" s="1762">
        <f t="shared" si="110"/>
        <v>1</v>
      </c>
      <c r="P474" s="1769"/>
      <c r="Q474" s="1762">
        <f t="shared" si="111"/>
        <v>1</v>
      </c>
      <c r="R474" s="1833">
        <f ca="1" t="shared" si="116"/>
        <v>0</v>
      </c>
      <c r="S474" s="1716">
        <f ca="1" t="shared" si="117"/>
        <v>0</v>
      </c>
      <c r="T474" s="1768">
        <f ca="1" t="shared" si="118"/>
        <v>0</v>
      </c>
      <c r="U474" s="1838">
        <f t="shared" si="112"/>
        <v>0</v>
      </c>
      <c r="V474" s="1838">
        <f t="shared" si="113"/>
        <v>0</v>
      </c>
      <c r="W474" s="1840"/>
      <c r="X474" s="1838">
        <f t="shared" si="114"/>
        <v>0</v>
      </c>
      <c r="Y474" s="1838">
        <f t="shared" si="115"/>
        <v>0</v>
      </c>
      <c r="Z474" s="1840"/>
    </row>
    <row r="475" spans="1:26">
      <c r="A475" s="1770"/>
      <c r="B475" s="1771"/>
      <c r="C475" s="1762">
        <f t="shared" si="104"/>
        <v>1</v>
      </c>
      <c r="D475" s="1769"/>
      <c r="E475" s="1762">
        <f t="shared" si="105"/>
        <v>1</v>
      </c>
      <c r="F475" s="1769"/>
      <c r="G475" s="1762">
        <f t="shared" si="106"/>
        <v>1</v>
      </c>
      <c r="H475" s="1769"/>
      <c r="I475" s="1762">
        <f t="shared" si="107"/>
        <v>1</v>
      </c>
      <c r="J475" s="1769"/>
      <c r="K475" s="1762">
        <f t="shared" si="108"/>
        <v>1</v>
      </c>
      <c r="L475" s="1769"/>
      <c r="M475" s="1762">
        <f t="shared" si="109"/>
        <v>1</v>
      </c>
      <c r="N475" s="1769"/>
      <c r="O475" s="1762">
        <f t="shared" si="110"/>
        <v>1</v>
      </c>
      <c r="P475" s="1769"/>
      <c r="Q475" s="1762">
        <f t="shared" si="111"/>
        <v>1</v>
      </c>
      <c r="R475" s="1833">
        <f ca="1" t="shared" si="116"/>
        <v>0</v>
      </c>
      <c r="S475" s="1716">
        <f ca="1" t="shared" si="117"/>
        <v>0</v>
      </c>
      <c r="T475" s="1768">
        <f ca="1" t="shared" si="118"/>
        <v>0</v>
      </c>
      <c r="U475" s="1838">
        <f t="shared" si="112"/>
        <v>0</v>
      </c>
      <c r="V475" s="1838">
        <f t="shared" si="113"/>
        <v>0</v>
      </c>
      <c r="W475" s="1840"/>
      <c r="X475" s="1838">
        <f t="shared" si="114"/>
        <v>0</v>
      </c>
      <c r="Y475" s="1838">
        <f t="shared" si="115"/>
        <v>0</v>
      </c>
      <c r="Z475" s="1840"/>
    </row>
    <row r="476" spans="1:26">
      <c r="A476" s="1770"/>
      <c r="B476" s="1771"/>
      <c r="C476" s="1762">
        <f t="shared" ref="C476:C527" si="119">IF(B476="",1,(LOOKUP(B476,$6:$6,$7:$7)-LOOKUP($B$27,$6:$6,$7:$7)+100)/100)</f>
        <v>1</v>
      </c>
      <c r="D476" s="1769"/>
      <c r="E476" s="1762">
        <f t="shared" ref="E476:E527" si="120">(SUMIF($8:$8,D476,$9:$9)-SUMIF($8:$8,$D$27,$9:$9)+100)/100</f>
        <v>1</v>
      </c>
      <c r="F476" s="1769"/>
      <c r="G476" s="1762">
        <f t="shared" ref="G476:G527" si="121">(SUMIF($10:$10,F476,$11:$11)-SUMIF($10:$10,$F$27,$11:$11)+100)/100</f>
        <v>1</v>
      </c>
      <c r="H476" s="1769"/>
      <c r="I476" s="1762">
        <f t="shared" ref="I476:I527" si="122">(SUMIF($12:$12,H476,$13:$13)-SUMIF($12:$12,$H$27,$13:$13)+100)/100</f>
        <v>1</v>
      </c>
      <c r="J476" s="1769"/>
      <c r="K476" s="1762">
        <f t="shared" ref="K476:K527" si="123">(SUMIF($14:$14,J476,$15:$15)-SUMIF($14:$14,$J$27,$15:$15)+100)/100</f>
        <v>1</v>
      </c>
      <c r="L476" s="1769"/>
      <c r="M476" s="1762">
        <f t="shared" ref="M476:M527" si="124">(SUMIF($16:$16,L476,$17:$17)-SUMIF($16:$16,$L$27,$17:$17)+100)/100</f>
        <v>1</v>
      </c>
      <c r="N476" s="1769"/>
      <c r="O476" s="1762">
        <f t="shared" ref="O476:O527" si="125">(SUMIF($18:$18,N476,$19:$19)-SUMIF($18:$18,$N$27,$19:$19)+100)/100</f>
        <v>1</v>
      </c>
      <c r="P476" s="1769"/>
      <c r="Q476" s="1762">
        <f t="shared" ref="Q476:Q527" si="126">(SUMIF($20:$20,P476,$21:$21)-SUMIF($20:$20,$P$27,$21:$21)+100)/100</f>
        <v>1</v>
      </c>
      <c r="R476" s="1833">
        <f ca="1" t="shared" si="116"/>
        <v>0</v>
      </c>
      <c r="S476" s="1716">
        <f ca="1" t="shared" si="117"/>
        <v>0</v>
      </c>
      <c r="T476" s="1768">
        <f ca="1" t="shared" si="118"/>
        <v>0</v>
      </c>
      <c r="U476" s="1838">
        <f t="shared" ref="U476:U527" si="127">ROUND(W476*B476,0)</f>
        <v>0</v>
      </c>
      <c r="V476" s="1838">
        <f t="shared" ref="V476:V527" si="128">ROUND(W476*B476/10000,0)</f>
        <v>0</v>
      </c>
      <c r="W476" s="1840"/>
      <c r="X476" s="1838">
        <f t="shared" ref="X476:X527" si="129">ROUND(Z476*B476,0)</f>
        <v>0</v>
      </c>
      <c r="Y476" s="1838">
        <f t="shared" ref="Y476:Y527" si="130">ROUND(Z476*B476/10000,0)</f>
        <v>0</v>
      </c>
      <c r="Z476" s="1840"/>
    </row>
    <row r="477" spans="1:26">
      <c r="A477" s="1770"/>
      <c r="B477" s="1771"/>
      <c r="C477" s="1762">
        <f t="shared" si="119"/>
        <v>1</v>
      </c>
      <c r="D477" s="1769"/>
      <c r="E477" s="1762">
        <f t="shared" si="120"/>
        <v>1</v>
      </c>
      <c r="F477" s="1769"/>
      <c r="G477" s="1762">
        <f t="shared" si="121"/>
        <v>1</v>
      </c>
      <c r="H477" s="1769"/>
      <c r="I477" s="1762">
        <f t="shared" si="122"/>
        <v>1</v>
      </c>
      <c r="J477" s="1769"/>
      <c r="K477" s="1762">
        <f t="shared" si="123"/>
        <v>1</v>
      </c>
      <c r="L477" s="1769"/>
      <c r="M477" s="1762">
        <f t="shared" si="124"/>
        <v>1</v>
      </c>
      <c r="N477" s="1769"/>
      <c r="O477" s="1762">
        <f t="shared" si="125"/>
        <v>1</v>
      </c>
      <c r="P477" s="1769"/>
      <c r="Q477" s="1762">
        <f t="shared" si="126"/>
        <v>1</v>
      </c>
      <c r="R477" s="1833">
        <f ca="1" t="shared" ref="R477:R527" si="131">IF(B477="",0,ROUND($R$27*C477*E477*G477*I477*K477*M477*O477*Q477,0))</f>
        <v>0</v>
      </c>
      <c r="S477" s="1716">
        <f ca="1" t="shared" ref="S477:S527" si="132">ROUND(R477*B477,0)</f>
        <v>0</v>
      </c>
      <c r="T477" s="1768">
        <f ca="1" t="shared" ref="T477:T527" si="133">ROUND(R477*B477/10000,0)</f>
        <v>0</v>
      </c>
      <c r="U477" s="1838">
        <f t="shared" si="127"/>
        <v>0</v>
      </c>
      <c r="V477" s="1838">
        <f t="shared" si="128"/>
        <v>0</v>
      </c>
      <c r="W477" s="1840"/>
      <c r="X477" s="1838">
        <f t="shared" si="129"/>
        <v>0</v>
      </c>
      <c r="Y477" s="1838">
        <f t="shared" si="130"/>
        <v>0</v>
      </c>
      <c r="Z477" s="1840"/>
    </row>
    <row r="478" spans="1:26">
      <c r="A478" s="1770"/>
      <c r="B478" s="1771"/>
      <c r="C478" s="1762">
        <f t="shared" si="119"/>
        <v>1</v>
      </c>
      <c r="D478" s="1769"/>
      <c r="E478" s="1762">
        <f t="shared" si="120"/>
        <v>1</v>
      </c>
      <c r="F478" s="1769"/>
      <c r="G478" s="1762">
        <f t="shared" si="121"/>
        <v>1</v>
      </c>
      <c r="H478" s="1769"/>
      <c r="I478" s="1762">
        <f t="shared" si="122"/>
        <v>1</v>
      </c>
      <c r="J478" s="1769"/>
      <c r="K478" s="1762">
        <f t="shared" si="123"/>
        <v>1</v>
      </c>
      <c r="L478" s="1769"/>
      <c r="M478" s="1762">
        <f t="shared" si="124"/>
        <v>1</v>
      </c>
      <c r="N478" s="1769"/>
      <c r="O478" s="1762">
        <f t="shared" si="125"/>
        <v>1</v>
      </c>
      <c r="P478" s="1769"/>
      <c r="Q478" s="1762">
        <f t="shared" si="126"/>
        <v>1</v>
      </c>
      <c r="R478" s="1833">
        <f ca="1" t="shared" si="131"/>
        <v>0</v>
      </c>
      <c r="S478" s="1716">
        <f ca="1" t="shared" si="132"/>
        <v>0</v>
      </c>
      <c r="T478" s="1768">
        <f ca="1" t="shared" si="133"/>
        <v>0</v>
      </c>
      <c r="U478" s="1838">
        <f t="shared" si="127"/>
        <v>0</v>
      </c>
      <c r="V478" s="1838">
        <f t="shared" si="128"/>
        <v>0</v>
      </c>
      <c r="W478" s="1840"/>
      <c r="X478" s="1838">
        <f t="shared" si="129"/>
        <v>0</v>
      </c>
      <c r="Y478" s="1838">
        <f t="shared" si="130"/>
        <v>0</v>
      </c>
      <c r="Z478" s="1840"/>
    </row>
    <row r="479" spans="1:26">
      <c r="A479" s="1770"/>
      <c r="B479" s="1771"/>
      <c r="C479" s="1762">
        <f t="shared" si="119"/>
        <v>1</v>
      </c>
      <c r="D479" s="1769"/>
      <c r="E479" s="1762">
        <f t="shared" si="120"/>
        <v>1</v>
      </c>
      <c r="F479" s="1769"/>
      <c r="G479" s="1762">
        <f t="shared" si="121"/>
        <v>1</v>
      </c>
      <c r="H479" s="1769"/>
      <c r="I479" s="1762">
        <f t="shared" si="122"/>
        <v>1</v>
      </c>
      <c r="J479" s="1769"/>
      <c r="K479" s="1762">
        <f t="shared" si="123"/>
        <v>1</v>
      </c>
      <c r="L479" s="1769"/>
      <c r="M479" s="1762">
        <f t="shared" si="124"/>
        <v>1</v>
      </c>
      <c r="N479" s="1769"/>
      <c r="O479" s="1762">
        <f t="shared" si="125"/>
        <v>1</v>
      </c>
      <c r="P479" s="1769"/>
      <c r="Q479" s="1762">
        <f t="shared" si="126"/>
        <v>1</v>
      </c>
      <c r="R479" s="1833">
        <f ca="1" t="shared" si="131"/>
        <v>0</v>
      </c>
      <c r="S479" s="1716">
        <f ca="1" t="shared" si="132"/>
        <v>0</v>
      </c>
      <c r="T479" s="1768">
        <f ca="1" t="shared" si="133"/>
        <v>0</v>
      </c>
      <c r="U479" s="1838">
        <f t="shared" si="127"/>
        <v>0</v>
      </c>
      <c r="V479" s="1838">
        <f t="shared" si="128"/>
        <v>0</v>
      </c>
      <c r="W479" s="1840"/>
      <c r="X479" s="1838">
        <f t="shared" si="129"/>
        <v>0</v>
      </c>
      <c r="Y479" s="1838">
        <f t="shared" si="130"/>
        <v>0</v>
      </c>
      <c r="Z479" s="1840"/>
    </row>
    <row r="480" spans="1:26">
      <c r="A480" s="1770"/>
      <c r="B480" s="1771"/>
      <c r="C480" s="1762">
        <f t="shared" si="119"/>
        <v>1</v>
      </c>
      <c r="D480" s="1769"/>
      <c r="E480" s="1762">
        <f t="shared" si="120"/>
        <v>1</v>
      </c>
      <c r="F480" s="1769"/>
      <c r="G480" s="1762">
        <f t="shared" si="121"/>
        <v>1</v>
      </c>
      <c r="H480" s="1769"/>
      <c r="I480" s="1762">
        <f t="shared" si="122"/>
        <v>1</v>
      </c>
      <c r="J480" s="1769"/>
      <c r="K480" s="1762">
        <f t="shared" si="123"/>
        <v>1</v>
      </c>
      <c r="L480" s="1769"/>
      <c r="M480" s="1762">
        <f t="shared" si="124"/>
        <v>1</v>
      </c>
      <c r="N480" s="1769"/>
      <c r="O480" s="1762">
        <f t="shared" si="125"/>
        <v>1</v>
      </c>
      <c r="P480" s="1769"/>
      <c r="Q480" s="1762">
        <f t="shared" si="126"/>
        <v>1</v>
      </c>
      <c r="R480" s="1833">
        <f ca="1" t="shared" si="131"/>
        <v>0</v>
      </c>
      <c r="S480" s="1716">
        <f ca="1" t="shared" si="132"/>
        <v>0</v>
      </c>
      <c r="T480" s="1768">
        <f ca="1" t="shared" si="133"/>
        <v>0</v>
      </c>
      <c r="U480" s="1838">
        <f t="shared" si="127"/>
        <v>0</v>
      </c>
      <c r="V480" s="1838">
        <f t="shared" si="128"/>
        <v>0</v>
      </c>
      <c r="W480" s="1840"/>
      <c r="X480" s="1838">
        <f t="shared" si="129"/>
        <v>0</v>
      </c>
      <c r="Y480" s="1838">
        <f t="shared" si="130"/>
        <v>0</v>
      </c>
      <c r="Z480" s="1840"/>
    </row>
    <row r="481" spans="1:26">
      <c r="A481" s="1770"/>
      <c r="B481" s="1771"/>
      <c r="C481" s="1762">
        <f t="shared" si="119"/>
        <v>1</v>
      </c>
      <c r="D481" s="1769"/>
      <c r="E481" s="1762">
        <f t="shared" si="120"/>
        <v>1</v>
      </c>
      <c r="F481" s="1769"/>
      <c r="G481" s="1762">
        <f t="shared" si="121"/>
        <v>1</v>
      </c>
      <c r="H481" s="1769"/>
      <c r="I481" s="1762">
        <f t="shared" si="122"/>
        <v>1</v>
      </c>
      <c r="J481" s="1769"/>
      <c r="K481" s="1762">
        <f t="shared" si="123"/>
        <v>1</v>
      </c>
      <c r="L481" s="1769"/>
      <c r="M481" s="1762">
        <f t="shared" si="124"/>
        <v>1</v>
      </c>
      <c r="N481" s="1769"/>
      <c r="O481" s="1762">
        <f t="shared" si="125"/>
        <v>1</v>
      </c>
      <c r="P481" s="1769"/>
      <c r="Q481" s="1762">
        <f t="shared" si="126"/>
        <v>1</v>
      </c>
      <c r="R481" s="1833">
        <f ca="1" t="shared" si="131"/>
        <v>0</v>
      </c>
      <c r="S481" s="1716">
        <f ca="1" t="shared" si="132"/>
        <v>0</v>
      </c>
      <c r="T481" s="1768">
        <f ca="1" t="shared" si="133"/>
        <v>0</v>
      </c>
      <c r="U481" s="1838">
        <f t="shared" si="127"/>
        <v>0</v>
      </c>
      <c r="V481" s="1838">
        <f t="shared" si="128"/>
        <v>0</v>
      </c>
      <c r="W481" s="1840"/>
      <c r="X481" s="1838">
        <f t="shared" si="129"/>
        <v>0</v>
      </c>
      <c r="Y481" s="1838">
        <f t="shared" si="130"/>
        <v>0</v>
      </c>
      <c r="Z481" s="1840"/>
    </row>
    <row r="482" spans="1:26">
      <c r="A482" s="1770"/>
      <c r="B482" s="1771"/>
      <c r="C482" s="1762">
        <f t="shared" si="119"/>
        <v>1</v>
      </c>
      <c r="D482" s="1769"/>
      <c r="E482" s="1762">
        <f t="shared" si="120"/>
        <v>1</v>
      </c>
      <c r="F482" s="1769"/>
      <c r="G482" s="1762">
        <f t="shared" si="121"/>
        <v>1</v>
      </c>
      <c r="H482" s="1769"/>
      <c r="I482" s="1762">
        <f t="shared" si="122"/>
        <v>1</v>
      </c>
      <c r="J482" s="1769"/>
      <c r="K482" s="1762">
        <f t="shared" si="123"/>
        <v>1</v>
      </c>
      <c r="L482" s="1769"/>
      <c r="M482" s="1762">
        <f t="shared" si="124"/>
        <v>1</v>
      </c>
      <c r="N482" s="1769"/>
      <c r="O482" s="1762">
        <f t="shared" si="125"/>
        <v>1</v>
      </c>
      <c r="P482" s="1769"/>
      <c r="Q482" s="1762">
        <f t="shared" si="126"/>
        <v>1</v>
      </c>
      <c r="R482" s="1833">
        <f ca="1" t="shared" si="131"/>
        <v>0</v>
      </c>
      <c r="S482" s="1716">
        <f ca="1" t="shared" si="132"/>
        <v>0</v>
      </c>
      <c r="T482" s="1768">
        <f ca="1" t="shared" si="133"/>
        <v>0</v>
      </c>
      <c r="U482" s="1838">
        <f t="shared" si="127"/>
        <v>0</v>
      </c>
      <c r="V482" s="1838">
        <f t="shared" si="128"/>
        <v>0</v>
      </c>
      <c r="W482" s="1840"/>
      <c r="X482" s="1838">
        <f t="shared" si="129"/>
        <v>0</v>
      </c>
      <c r="Y482" s="1838">
        <f t="shared" si="130"/>
        <v>0</v>
      </c>
      <c r="Z482" s="1840"/>
    </row>
    <row r="483" spans="1:26">
      <c r="A483" s="1770"/>
      <c r="B483" s="1771"/>
      <c r="C483" s="1762">
        <f t="shared" si="119"/>
        <v>1</v>
      </c>
      <c r="D483" s="1769"/>
      <c r="E483" s="1762">
        <f t="shared" si="120"/>
        <v>1</v>
      </c>
      <c r="F483" s="1769"/>
      <c r="G483" s="1762">
        <f t="shared" si="121"/>
        <v>1</v>
      </c>
      <c r="H483" s="1769"/>
      <c r="I483" s="1762">
        <f t="shared" si="122"/>
        <v>1</v>
      </c>
      <c r="J483" s="1769"/>
      <c r="K483" s="1762">
        <f t="shared" si="123"/>
        <v>1</v>
      </c>
      <c r="L483" s="1769"/>
      <c r="M483" s="1762">
        <f t="shared" si="124"/>
        <v>1</v>
      </c>
      <c r="N483" s="1769"/>
      <c r="O483" s="1762">
        <f t="shared" si="125"/>
        <v>1</v>
      </c>
      <c r="P483" s="1769"/>
      <c r="Q483" s="1762">
        <f t="shared" si="126"/>
        <v>1</v>
      </c>
      <c r="R483" s="1833">
        <f ca="1" t="shared" si="131"/>
        <v>0</v>
      </c>
      <c r="S483" s="1716">
        <f ca="1" t="shared" si="132"/>
        <v>0</v>
      </c>
      <c r="T483" s="1768">
        <f ca="1" t="shared" si="133"/>
        <v>0</v>
      </c>
      <c r="U483" s="1838">
        <f t="shared" si="127"/>
        <v>0</v>
      </c>
      <c r="V483" s="1838">
        <f t="shared" si="128"/>
        <v>0</v>
      </c>
      <c r="W483" s="1840"/>
      <c r="X483" s="1838">
        <f t="shared" si="129"/>
        <v>0</v>
      </c>
      <c r="Y483" s="1838">
        <f t="shared" si="130"/>
        <v>0</v>
      </c>
      <c r="Z483" s="1840"/>
    </row>
    <row r="484" spans="1:26">
      <c r="A484" s="1770"/>
      <c r="B484" s="1771"/>
      <c r="C484" s="1762">
        <f t="shared" si="119"/>
        <v>1</v>
      </c>
      <c r="D484" s="1769"/>
      <c r="E484" s="1762">
        <f t="shared" si="120"/>
        <v>1</v>
      </c>
      <c r="F484" s="1769"/>
      <c r="G484" s="1762">
        <f t="shared" si="121"/>
        <v>1</v>
      </c>
      <c r="H484" s="1769"/>
      <c r="I484" s="1762">
        <f t="shared" si="122"/>
        <v>1</v>
      </c>
      <c r="J484" s="1769"/>
      <c r="K484" s="1762">
        <f t="shared" si="123"/>
        <v>1</v>
      </c>
      <c r="L484" s="1769"/>
      <c r="M484" s="1762">
        <f t="shared" si="124"/>
        <v>1</v>
      </c>
      <c r="N484" s="1769"/>
      <c r="O484" s="1762">
        <f t="shared" si="125"/>
        <v>1</v>
      </c>
      <c r="P484" s="1769"/>
      <c r="Q484" s="1762">
        <f t="shared" si="126"/>
        <v>1</v>
      </c>
      <c r="R484" s="1833">
        <f ca="1" t="shared" si="131"/>
        <v>0</v>
      </c>
      <c r="S484" s="1716">
        <f ca="1" t="shared" si="132"/>
        <v>0</v>
      </c>
      <c r="T484" s="1768">
        <f ca="1" t="shared" si="133"/>
        <v>0</v>
      </c>
      <c r="U484" s="1838">
        <f t="shared" si="127"/>
        <v>0</v>
      </c>
      <c r="V484" s="1838">
        <f t="shared" si="128"/>
        <v>0</v>
      </c>
      <c r="W484" s="1840"/>
      <c r="X484" s="1838">
        <f t="shared" si="129"/>
        <v>0</v>
      </c>
      <c r="Y484" s="1838">
        <f t="shared" si="130"/>
        <v>0</v>
      </c>
      <c r="Z484" s="1840"/>
    </row>
    <row r="485" spans="1:26">
      <c r="A485" s="1770"/>
      <c r="B485" s="1771"/>
      <c r="C485" s="1762">
        <f t="shared" si="119"/>
        <v>1</v>
      </c>
      <c r="D485" s="1769"/>
      <c r="E485" s="1762">
        <f t="shared" si="120"/>
        <v>1</v>
      </c>
      <c r="F485" s="1769"/>
      <c r="G485" s="1762">
        <f t="shared" si="121"/>
        <v>1</v>
      </c>
      <c r="H485" s="1769"/>
      <c r="I485" s="1762">
        <f t="shared" si="122"/>
        <v>1</v>
      </c>
      <c r="J485" s="1769"/>
      <c r="K485" s="1762">
        <f t="shared" si="123"/>
        <v>1</v>
      </c>
      <c r="L485" s="1769"/>
      <c r="M485" s="1762">
        <f t="shared" si="124"/>
        <v>1</v>
      </c>
      <c r="N485" s="1769"/>
      <c r="O485" s="1762">
        <f t="shared" si="125"/>
        <v>1</v>
      </c>
      <c r="P485" s="1769"/>
      <c r="Q485" s="1762">
        <f t="shared" si="126"/>
        <v>1</v>
      </c>
      <c r="R485" s="1833">
        <f ca="1" t="shared" si="131"/>
        <v>0</v>
      </c>
      <c r="S485" s="1716">
        <f ca="1" t="shared" si="132"/>
        <v>0</v>
      </c>
      <c r="T485" s="1768">
        <f ca="1" t="shared" si="133"/>
        <v>0</v>
      </c>
      <c r="U485" s="1838">
        <f t="shared" si="127"/>
        <v>0</v>
      </c>
      <c r="V485" s="1838">
        <f t="shared" si="128"/>
        <v>0</v>
      </c>
      <c r="W485" s="1840"/>
      <c r="X485" s="1838">
        <f t="shared" si="129"/>
        <v>0</v>
      </c>
      <c r="Y485" s="1838">
        <f t="shared" si="130"/>
        <v>0</v>
      </c>
      <c r="Z485" s="1840"/>
    </row>
    <row r="486" spans="1:26">
      <c r="A486" s="1770"/>
      <c r="B486" s="1771"/>
      <c r="C486" s="1762">
        <f t="shared" si="119"/>
        <v>1</v>
      </c>
      <c r="D486" s="1769"/>
      <c r="E486" s="1762">
        <f t="shared" si="120"/>
        <v>1</v>
      </c>
      <c r="F486" s="1769"/>
      <c r="G486" s="1762">
        <f t="shared" si="121"/>
        <v>1</v>
      </c>
      <c r="H486" s="1769"/>
      <c r="I486" s="1762">
        <f t="shared" si="122"/>
        <v>1</v>
      </c>
      <c r="J486" s="1769"/>
      <c r="K486" s="1762">
        <f t="shared" si="123"/>
        <v>1</v>
      </c>
      <c r="L486" s="1769"/>
      <c r="M486" s="1762">
        <f t="shared" si="124"/>
        <v>1</v>
      </c>
      <c r="N486" s="1769"/>
      <c r="O486" s="1762">
        <f t="shared" si="125"/>
        <v>1</v>
      </c>
      <c r="P486" s="1769"/>
      <c r="Q486" s="1762">
        <f t="shared" si="126"/>
        <v>1</v>
      </c>
      <c r="R486" s="1833">
        <f ca="1" t="shared" si="131"/>
        <v>0</v>
      </c>
      <c r="S486" s="1716">
        <f ca="1" t="shared" si="132"/>
        <v>0</v>
      </c>
      <c r="T486" s="1768">
        <f ca="1" t="shared" si="133"/>
        <v>0</v>
      </c>
      <c r="U486" s="1838">
        <f t="shared" si="127"/>
        <v>0</v>
      </c>
      <c r="V486" s="1838">
        <f t="shared" si="128"/>
        <v>0</v>
      </c>
      <c r="W486" s="1840"/>
      <c r="X486" s="1838">
        <f t="shared" si="129"/>
        <v>0</v>
      </c>
      <c r="Y486" s="1838">
        <f t="shared" si="130"/>
        <v>0</v>
      </c>
      <c r="Z486" s="1840"/>
    </row>
    <row r="487" spans="1:26">
      <c r="A487" s="1770"/>
      <c r="B487" s="1771"/>
      <c r="C487" s="1762">
        <f t="shared" si="119"/>
        <v>1</v>
      </c>
      <c r="D487" s="1769"/>
      <c r="E487" s="1762">
        <f t="shared" si="120"/>
        <v>1</v>
      </c>
      <c r="F487" s="1769"/>
      <c r="G487" s="1762">
        <f t="shared" si="121"/>
        <v>1</v>
      </c>
      <c r="H487" s="1769"/>
      <c r="I487" s="1762">
        <f t="shared" si="122"/>
        <v>1</v>
      </c>
      <c r="J487" s="1769"/>
      <c r="K487" s="1762">
        <f t="shared" si="123"/>
        <v>1</v>
      </c>
      <c r="L487" s="1769"/>
      <c r="M487" s="1762">
        <f t="shared" si="124"/>
        <v>1</v>
      </c>
      <c r="N487" s="1769"/>
      <c r="O487" s="1762">
        <f t="shared" si="125"/>
        <v>1</v>
      </c>
      <c r="P487" s="1769"/>
      <c r="Q487" s="1762">
        <f t="shared" si="126"/>
        <v>1</v>
      </c>
      <c r="R487" s="1833">
        <f ca="1" t="shared" si="131"/>
        <v>0</v>
      </c>
      <c r="S487" s="1716">
        <f ca="1" t="shared" si="132"/>
        <v>0</v>
      </c>
      <c r="T487" s="1768">
        <f ca="1" t="shared" si="133"/>
        <v>0</v>
      </c>
      <c r="U487" s="1838">
        <f t="shared" si="127"/>
        <v>0</v>
      </c>
      <c r="V487" s="1838">
        <f t="shared" si="128"/>
        <v>0</v>
      </c>
      <c r="W487" s="1840"/>
      <c r="X487" s="1838">
        <f t="shared" si="129"/>
        <v>0</v>
      </c>
      <c r="Y487" s="1838">
        <f t="shared" si="130"/>
        <v>0</v>
      </c>
      <c r="Z487" s="1840"/>
    </row>
    <row r="488" spans="1:26">
      <c r="A488" s="1770"/>
      <c r="B488" s="1771"/>
      <c r="C488" s="1762">
        <f t="shared" si="119"/>
        <v>1</v>
      </c>
      <c r="D488" s="1769"/>
      <c r="E488" s="1762">
        <f t="shared" si="120"/>
        <v>1</v>
      </c>
      <c r="F488" s="1769"/>
      <c r="G488" s="1762">
        <f t="shared" si="121"/>
        <v>1</v>
      </c>
      <c r="H488" s="1769"/>
      <c r="I488" s="1762">
        <f t="shared" si="122"/>
        <v>1</v>
      </c>
      <c r="J488" s="1769"/>
      <c r="K488" s="1762">
        <f t="shared" si="123"/>
        <v>1</v>
      </c>
      <c r="L488" s="1769"/>
      <c r="M488" s="1762">
        <f t="shared" si="124"/>
        <v>1</v>
      </c>
      <c r="N488" s="1769"/>
      <c r="O488" s="1762">
        <f t="shared" si="125"/>
        <v>1</v>
      </c>
      <c r="P488" s="1769"/>
      <c r="Q488" s="1762">
        <f t="shared" si="126"/>
        <v>1</v>
      </c>
      <c r="R488" s="1833">
        <f ca="1" t="shared" si="131"/>
        <v>0</v>
      </c>
      <c r="S488" s="1716">
        <f ca="1" t="shared" si="132"/>
        <v>0</v>
      </c>
      <c r="T488" s="1768">
        <f ca="1" t="shared" si="133"/>
        <v>0</v>
      </c>
      <c r="U488" s="1838">
        <f t="shared" si="127"/>
        <v>0</v>
      </c>
      <c r="V488" s="1838">
        <f t="shared" si="128"/>
        <v>0</v>
      </c>
      <c r="W488" s="1840"/>
      <c r="X488" s="1838">
        <f t="shared" si="129"/>
        <v>0</v>
      </c>
      <c r="Y488" s="1838">
        <f t="shared" si="130"/>
        <v>0</v>
      </c>
      <c r="Z488" s="1840"/>
    </row>
    <row r="489" spans="1:26">
      <c r="A489" s="1770"/>
      <c r="B489" s="1771"/>
      <c r="C489" s="1762">
        <f t="shared" si="119"/>
        <v>1</v>
      </c>
      <c r="D489" s="1769"/>
      <c r="E489" s="1762">
        <f t="shared" si="120"/>
        <v>1</v>
      </c>
      <c r="F489" s="1769"/>
      <c r="G489" s="1762">
        <f t="shared" si="121"/>
        <v>1</v>
      </c>
      <c r="H489" s="1769"/>
      <c r="I489" s="1762">
        <f t="shared" si="122"/>
        <v>1</v>
      </c>
      <c r="J489" s="1769"/>
      <c r="K489" s="1762">
        <f t="shared" si="123"/>
        <v>1</v>
      </c>
      <c r="L489" s="1769"/>
      <c r="M489" s="1762">
        <f t="shared" si="124"/>
        <v>1</v>
      </c>
      <c r="N489" s="1769"/>
      <c r="O489" s="1762">
        <f t="shared" si="125"/>
        <v>1</v>
      </c>
      <c r="P489" s="1769"/>
      <c r="Q489" s="1762">
        <f t="shared" si="126"/>
        <v>1</v>
      </c>
      <c r="R489" s="1833">
        <f ca="1" t="shared" si="131"/>
        <v>0</v>
      </c>
      <c r="S489" s="1716">
        <f ca="1" t="shared" si="132"/>
        <v>0</v>
      </c>
      <c r="T489" s="1768">
        <f ca="1" t="shared" si="133"/>
        <v>0</v>
      </c>
      <c r="U489" s="1838">
        <f t="shared" si="127"/>
        <v>0</v>
      </c>
      <c r="V489" s="1838">
        <f t="shared" si="128"/>
        <v>0</v>
      </c>
      <c r="W489" s="1840"/>
      <c r="X489" s="1838">
        <f t="shared" si="129"/>
        <v>0</v>
      </c>
      <c r="Y489" s="1838">
        <f t="shared" si="130"/>
        <v>0</v>
      </c>
      <c r="Z489" s="1840"/>
    </row>
    <row r="490" spans="1:26">
      <c r="A490" s="1770"/>
      <c r="B490" s="1771"/>
      <c r="C490" s="1762">
        <f t="shared" si="119"/>
        <v>1</v>
      </c>
      <c r="D490" s="1769"/>
      <c r="E490" s="1762">
        <f t="shared" si="120"/>
        <v>1</v>
      </c>
      <c r="F490" s="1769"/>
      <c r="G490" s="1762">
        <f t="shared" si="121"/>
        <v>1</v>
      </c>
      <c r="H490" s="1769"/>
      <c r="I490" s="1762">
        <f t="shared" si="122"/>
        <v>1</v>
      </c>
      <c r="J490" s="1769"/>
      <c r="K490" s="1762">
        <f t="shared" si="123"/>
        <v>1</v>
      </c>
      <c r="L490" s="1769"/>
      <c r="M490" s="1762">
        <f t="shared" si="124"/>
        <v>1</v>
      </c>
      <c r="N490" s="1769"/>
      <c r="O490" s="1762">
        <f t="shared" si="125"/>
        <v>1</v>
      </c>
      <c r="P490" s="1769"/>
      <c r="Q490" s="1762">
        <f t="shared" si="126"/>
        <v>1</v>
      </c>
      <c r="R490" s="1833">
        <f ca="1" t="shared" si="131"/>
        <v>0</v>
      </c>
      <c r="S490" s="1716">
        <f ca="1" t="shared" si="132"/>
        <v>0</v>
      </c>
      <c r="T490" s="1768">
        <f ca="1" t="shared" si="133"/>
        <v>0</v>
      </c>
      <c r="U490" s="1838">
        <f t="shared" si="127"/>
        <v>0</v>
      </c>
      <c r="V490" s="1838">
        <f t="shared" si="128"/>
        <v>0</v>
      </c>
      <c r="W490" s="1840"/>
      <c r="X490" s="1838">
        <f t="shared" si="129"/>
        <v>0</v>
      </c>
      <c r="Y490" s="1838">
        <f t="shared" si="130"/>
        <v>0</v>
      </c>
      <c r="Z490" s="1840"/>
    </row>
    <row r="491" spans="1:26">
      <c r="A491" s="1770"/>
      <c r="B491" s="1771"/>
      <c r="C491" s="1762">
        <f t="shared" si="119"/>
        <v>1</v>
      </c>
      <c r="D491" s="1769"/>
      <c r="E491" s="1762">
        <f t="shared" si="120"/>
        <v>1</v>
      </c>
      <c r="F491" s="1769"/>
      <c r="G491" s="1762">
        <f t="shared" si="121"/>
        <v>1</v>
      </c>
      <c r="H491" s="1769"/>
      <c r="I491" s="1762">
        <f t="shared" si="122"/>
        <v>1</v>
      </c>
      <c r="J491" s="1769"/>
      <c r="K491" s="1762">
        <f t="shared" si="123"/>
        <v>1</v>
      </c>
      <c r="L491" s="1769"/>
      <c r="M491" s="1762">
        <f t="shared" si="124"/>
        <v>1</v>
      </c>
      <c r="N491" s="1769"/>
      <c r="O491" s="1762">
        <f t="shared" si="125"/>
        <v>1</v>
      </c>
      <c r="P491" s="1769"/>
      <c r="Q491" s="1762">
        <f t="shared" si="126"/>
        <v>1</v>
      </c>
      <c r="R491" s="1833">
        <f ca="1" t="shared" si="131"/>
        <v>0</v>
      </c>
      <c r="S491" s="1716">
        <f ca="1" t="shared" si="132"/>
        <v>0</v>
      </c>
      <c r="T491" s="1768">
        <f ca="1" t="shared" si="133"/>
        <v>0</v>
      </c>
      <c r="U491" s="1838">
        <f t="shared" si="127"/>
        <v>0</v>
      </c>
      <c r="V491" s="1838">
        <f t="shared" si="128"/>
        <v>0</v>
      </c>
      <c r="W491" s="1840"/>
      <c r="X491" s="1838">
        <f t="shared" si="129"/>
        <v>0</v>
      </c>
      <c r="Y491" s="1838">
        <f t="shared" si="130"/>
        <v>0</v>
      </c>
      <c r="Z491" s="1840"/>
    </row>
    <row r="492" spans="1:26">
      <c r="A492" s="1770"/>
      <c r="B492" s="1771"/>
      <c r="C492" s="1762">
        <f t="shared" si="119"/>
        <v>1</v>
      </c>
      <c r="D492" s="1769"/>
      <c r="E492" s="1762">
        <f t="shared" si="120"/>
        <v>1</v>
      </c>
      <c r="F492" s="1769"/>
      <c r="G492" s="1762">
        <f t="shared" si="121"/>
        <v>1</v>
      </c>
      <c r="H492" s="1769"/>
      <c r="I492" s="1762">
        <f t="shared" si="122"/>
        <v>1</v>
      </c>
      <c r="J492" s="1769"/>
      <c r="K492" s="1762">
        <f t="shared" si="123"/>
        <v>1</v>
      </c>
      <c r="L492" s="1769"/>
      <c r="M492" s="1762">
        <f t="shared" si="124"/>
        <v>1</v>
      </c>
      <c r="N492" s="1769"/>
      <c r="O492" s="1762">
        <f t="shared" si="125"/>
        <v>1</v>
      </c>
      <c r="P492" s="1769"/>
      <c r="Q492" s="1762">
        <f t="shared" si="126"/>
        <v>1</v>
      </c>
      <c r="R492" s="1833">
        <f ca="1" t="shared" si="131"/>
        <v>0</v>
      </c>
      <c r="S492" s="1716">
        <f ca="1" t="shared" si="132"/>
        <v>0</v>
      </c>
      <c r="T492" s="1768">
        <f ca="1" t="shared" si="133"/>
        <v>0</v>
      </c>
      <c r="U492" s="1838">
        <f t="shared" si="127"/>
        <v>0</v>
      </c>
      <c r="V492" s="1838">
        <f t="shared" si="128"/>
        <v>0</v>
      </c>
      <c r="W492" s="1840"/>
      <c r="X492" s="1838">
        <f t="shared" si="129"/>
        <v>0</v>
      </c>
      <c r="Y492" s="1838">
        <f t="shared" si="130"/>
        <v>0</v>
      </c>
      <c r="Z492" s="1840"/>
    </row>
    <row r="493" spans="1:26">
      <c r="A493" s="1770"/>
      <c r="B493" s="1771"/>
      <c r="C493" s="1762">
        <f t="shared" si="119"/>
        <v>1</v>
      </c>
      <c r="D493" s="1769"/>
      <c r="E493" s="1762">
        <f t="shared" si="120"/>
        <v>1</v>
      </c>
      <c r="F493" s="1769"/>
      <c r="G493" s="1762">
        <f t="shared" si="121"/>
        <v>1</v>
      </c>
      <c r="H493" s="1769"/>
      <c r="I493" s="1762">
        <f t="shared" si="122"/>
        <v>1</v>
      </c>
      <c r="J493" s="1769"/>
      <c r="K493" s="1762">
        <f t="shared" si="123"/>
        <v>1</v>
      </c>
      <c r="L493" s="1769"/>
      <c r="M493" s="1762">
        <f t="shared" si="124"/>
        <v>1</v>
      </c>
      <c r="N493" s="1769"/>
      <c r="O493" s="1762">
        <f t="shared" si="125"/>
        <v>1</v>
      </c>
      <c r="P493" s="1769"/>
      <c r="Q493" s="1762">
        <f t="shared" si="126"/>
        <v>1</v>
      </c>
      <c r="R493" s="1833">
        <f ca="1" t="shared" si="131"/>
        <v>0</v>
      </c>
      <c r="S493" s="1716">
        <f ca="1" t="shared" si="132"/>
        <v>0</v>
      </c>
      <c r="T493" s="1768">
        <f ca="1" t="shared" si="133"/>
        <v>0</v>
      </c>
      <c r="U493" s="1838">
        <f t="shared" si="127"/>
        <v>0</v>
      </c>
      <c r="V493" s="1838">
        <f t="shared" si="128"/>
        <v>0</v>
      </c>
      <c r="W493" s="1840"/>
      <c r="X493" s="1838">
        <f t="shared" si="129"/>
        <v>0</v>
      </c>
      <c r="Y493" s="1838">
        <f t="shared" si="130"/>
        <v>0</v>
      </c>
      <c r="Z493" s="1840"/>
    </row>
    <row r="494" spans="1:26">
      <c r="A494" s="1770"/>
      <c r="B494" s="1771"/>
      <c r="C494" s="1762">
        <f t="shared" si="119"/>
        <v>1</v>
      </c>
      <c r="D494" s="1769"/>
      <c r="E494" s="1762">
        <f t="shared" si="120"/>
        <v>1</v>
      </c>
      <c r="F494" s="1769"/>
      <c r="G494" s="1762">
        <f t="shared" si="121"/>
        <v>1</v>
      </c>
      <c r="H494" s="1769"/>
      <c r="I494" s="1762">
        <f t="shared" si="122"/>
        <v>1</v>
      </c>
      <c r="J494" s="1769"/>
      <c r="K494" s="1762">
        <f t="shared" si="123"/>
        <v>1</v>
      </c>
      <c r="L494" s="1769"/>
      <c r="M494" s="1762">
        <f t="shared" si="124"/>
        <v>1</v>
      </c>
      <c r="N494" s="1769"/>
      <c r="O494" s="1762">
        <f t="shared" si="125"/>
        <v>1</v>
      </c>
      <c r="P494" s="1769"/>
      <c r="Q494" s="1762">
        <f t="shared" si="126"/>
        <v>1</v>
      </c>
      <c r="R494" s="1833">
        <f ca="1" t="shared" si="131"/>
        <v>0</v>
      </c>
      <c r="S494" s="1716">
        <f ca="1" t="shared" si="132"/>
        <v>0</v>
      </c>
      <c r="T494" s="1768">
        <f ca="1" t="shared" si="133"/>
        <v>0</v>
      </c>
      <c r="U494" s="1838">
        <f t="shared" si="127"/>
        <v>0</v>
      </c>
      <c r="V494" s="1838">
        <f t="shared" si="128"/>
        <v>0</v>
      </c>
      <c r="W494" s="1840"/>
      <c r="X494" s="1838">
        <f t="shared" si="129"/>
        <v>0</v>
      </c>
      <c r="Y494" s="1838">
        <f t="shared" si="130"/>
        <v>0</v>
      </c>
      <c r="Z494" s="1840"/>
    </row>
    <row r="495" spans="1:26">
      <c r="A495" s="1770"/>
      <c r="B495" s="1771"/>
      <c r="C495" s="1762">
        <f t="shared" si="119"/>
        <v>1</v>
      </c>
      <c r="D495" s="1769"/>
      <c r="E495" s="1762">
        <f t="shared" si="120"/>
        <v>1</v>
      </c>
      <c r="F495" s="1769"/>
      <c r="G495" s="1762">
        <f t="shared" si="121"/>
        <v>1</v>
      </c>
      <c r="H495" s="1769"/>
      <c r="I495" s="1762">
        <f t="shared" si="122"/>
        <v>1</v>
      </c>
      <c r="J495" s="1769"/>
      <c r="K495" s="1762">
        <f t="shared" si="123"/>
        <v>1</v>
      </c>
      <c r="L495" s="1769"/>
      <c r="M495" s="1762">
        <f t="shared" si="124"/>
        <v>1</v>
      </c>
      <c r="N495" s="1769"/>
      <c r="O495" s="1762">
        <f t="shared" si="125"/>
        <v>1</v>
      </c>
      <c r="P495" s="1769"/>
      <c r="Q495" s="1762">
        <f t="shared" si="126"/>
        <v>1</v>
      </c>
      <c r="R495" s="1833">
        <f ca="1" t="shared" si="131"/>
        <v>0</v>
      </c>
      <c r="S495" s="1716">
        <f ca="1" t="shared" si="132"/>
        <v>0</v>
      </c>
      <c r="T495" s="1768">
        <f ca="1" t="shared" si="133"/>
        <v>0</v>
      </c>
      <c r="U495" s="1838">
        <f t="shared" si="127"/>
        <v>0</v>
      </c>
      <c r="V495" s="1838">
        <f t="shared" si="128"/>
        <v>0</v>
      </c>
      <c r="W495" s="1840"/>
      <c r="X495" s="1838">
        <f t="shared" si="129"/>
        <v>0</v>
      </c>
      <c r="Y495" s="1838">
        <f t="shared" si="130"/>
        <v>0</v>
      </c>
      <c r="Z495" s="1840"/>
    </row>
    <row r="496" spans="1:26">
      <c r="A496" s="1770"/>
      <c r="B496" s="1771"/>
      <c r="C496" s="1762">
        <f t="shared" si="119"/>
        <v>1</v>
      </c>
      <c r="D496" s="1769"/>
      <c r="E496" s="1762">
        <f t="shared" si="120"/>
        <v>1</v>
      </c>
      <c r="F496" s="1769"/>
      <c r="G496" s="1762">
        <f t="shared" si="121"/>
        <v>1</v>
      </c>
      <c r="H496" s="1769"/>
      <c r="I496" s="1762">
        <f t="shared" si="122"/>
        <v>1</v>
      </c>
      <c r="J496" s="1769"/>
      <c r="K496" s="1762">
        <f t="shared" si="123"/>
        <v>1</v>
      </c>
      <c r="L496" s="1769"/>
      <c r="M496" s="1762">
        <f t="shared" si="124"/>
        <v>1</v>
      </c>
      <c r="N496" s="1769"/>
      <c r="O496" s="1762">
        <f t="shared" si="125"/>
        <v>1</v>
      </c>
      <c r="P496" s="1769"/>
      <c r="Q496" s="1762">
        <f t="shared" si="126"/>
        <v>1</v>
      </c>
      <c r="R496" s="1833">
        <f ca="1" t="shared" si="131"/>
        <v>0</v>
      </c>
      <c r="S496" s="1716">
        <f ca="1" t="shared" si="132"/>
        <v>0</v>
      </c>
      <c r="T496" s="1768">
        <f ca="1" t="shared" si="133"/>
        <v>0</v>
      </c>
      <c r="U496" s="1838">
        <f t="shared" si="127"/>
        <v>0</v>
      </c>
      <c r="V496" s="1838">
        <f t="shared" si="128"/>
        <v>0</v>
      </c>
      <c r="W496" s="1840"/>
      <c r="X496" s="1838">
        <f t="shared" si="129"/>
        <v>0</v>
      </c>
      <c r="Y496" s="1838">
        <f t="shared" si="130"/>
        <v>0</v>
      </c>
      <c r="Z496" s="1840"/>
    </row>
    <row r="497" spans="1:26">
      <c r="A497" s="1770"/>
      <c r="B497" s="1771"/>
      <c r="C497" s="1762">
        <f t="shared" si="119"/>
        <v>1</v>
      </c>
      <c r="D497" s="1769"/>
      <c r="E497" s="1762">
        <f t="shared" si="120"/>
        <v>1</v>
      </c>
      <c r="F497" s="1769"/>
      <c r="G497" s="1762">
        <f t="shared" si="121"/>
        <v>1</v>
      </c>
      <c r="H497" s="1769"/>
      <c r="I497" s="1762">
        <f t="shared" si="122"/>
        <v>1</v>
      </c>
      <c r="J497" s="1769"/>
      <c r="K497" s="1762">
        <f t="shared" si="123"/>
        <v>1</v>
      </c>
      <c r="L497" s="1769"/>
      <c r="M497" s="1762">
        <f t="shared" si="124"/>
        <v>1</v>
      </c>
      <c r="N497" s="1769"/>
      <c r="O497" s="1762">
        <f t="shared" si="125"/>
        <v>1</v>
      </c>
      <c r="P497" s="1769"/>
      <c r="Q497" s="1762">
        <f t="shared" si="126"/>
        <v>1</v>
      </c>
      <c r="R497" s="1833">
        <f ca="1" t="shared" si="131"/>
        <v>0</v>
      </c>
      <c r="S497" s="1716">
        <f ca="1" t="shared" si="132"/>
        <v>0</v>
      </c>
      <c r="T497" s="1768">
        <f ca="1" t="shared" si="133"/>
        <v>0</v>
      </c>
      <c r="U497" s="1838">
        <f t="shared" si="127"/>
        <v>0</v>
      </c>
      <c r="V497" s="1838">
        <f t="shared" si="128"/>
        <v>0</v>
      </c>
      <c r="W497" s="1840"/>
      <c r="X497" s="1838">
        <f t="shared" si="129"/>
        <v>0</v>
      </c>
      <c r="Y497" s="1838">
        <f t="shared" si="130"/>
        <v>0</v>
      </c>
      <c r="Z497" s="1840"/>
    </row>
    <row r="498" spans="1:26">
      <c r="A498" s="1770"/>
      <c r="B498" s="1771"/>
      <c r="C498" s="1762">
        <f t="shared" si="119"/>
        <v>1</v>
      </c>
      <c r="D498" s="1769"/>
      <c r="E498" s="1762">
        <f t="shared" si="120"/>
        <v>1</v>
      </c>
      <c r="F498" s="1769"/>
      <c r="G498" s="1762">
        <f t="shared" si="121"/>
        <v>1</v>
      </c>
      <c r="H498" s="1769"/>
      <c r="I498" s="1762">
        <f t="shared" si="122"/>
        <v>1</v>
      </c>
      <c r="J498" s="1769"/>
      <c r="K498" s="1762">
        <f t="shared" si="123"/>
        <v>1</v>
      </c>
      <c r="L498" s="1769"/>
      <c r="M498" s="1762">
        <f t="shared" si="124"/>
        <v>1</v>
      </c>
      <c r="N498" s="1769"/>
      <c r="O498" s="1762">
        <f t="shared" si="125"/>
        <v>1</v>
      </c>
      <c r="P498" s="1769"/>
      <c r="Q498" s="1762">
        <f t="shared" si="126"/>
        <v>1</v>
      </c>
      <c r="R498" s="1833">
        <f ca="1" t="shared" si="131"/>
        <v>0</v>
      </c>
      <c r="S498" s="1716">
        <f ca="1" t="shared" si="132"/>
        <v>0</v>
      </c>
      <c r="T498" s="1768">
        <f ca="1" t="shared" si="133"/>
        <v>0</v>
      </c>
      <c r="U498" s="1838">
        <f t="shared" si="127"/>
        <v>0</v>
      </c>
      <c r="V498" s="1838">
        <f t="shared" si="128"/>
        <v>0</v>
      </c>
      <c r="W498" s="1840"/>
      <c r="X498" s="1838">
        <f t="shared" si="129"/>
        <v>0</v>
      </c>
      <c r="Y498" s="1838">
        <f t="shared" si="130"/>
        <v>0</v>
      </c>
      <c r="Z498" s="1840"/>
    </row>
    <row r="499" spans="1:26">
      <c r="A499" s="1770"/>
      <c r="B499" s="1771"/>
      <c r="C499" s="1762">
        <f t="shared" si="119"/>
        <v>1</v>
      </c>
      <c r="D499" s="1769"/>
      <c r="E499" s="1762">
        <f t="shared" si="120"/>
        <v>1</v>
      </c>
      <c r="F499" s="1769"/>
      <c r="G499" s="1762">
        <f t="shared" si="121"/>
        <v>1</v>
      </c>
      <c r="H499" s="1769"/>
      <c r="I499" s="1762">
        <f t="shared" si="122"/>
        <v>1</v>
      </c>
      <c r="J499" s="1769"/>
      <c r="K499" s="1762">
        <f t="shared" si="123"/>
        <v>1</v>
      </c>
      <c r="L499" s="1769"/>
      <c r="M499" s="1762">
        <f t="shared" si="124"/>
        <v>1</v>
      </c>
      <c r="N499" s="1769"/>
      <c r="O499" s="1762">
        <f t="shared" si="125"/>
        <v>1</v>
      </c>
      <c r="P499" s="1769"/>
      <c r="Q499" s="1762">
        <f t="shared" si="126"/>
        <v>1</v>
      </c>
      <c r="R499" s="1833">
        <f ca="1" t="shared" si="131"/>
        <v>0</v>
      </c>
      <c r="S499" s="1716">
        <f ca="1" t="shared" si="132"/>
        <v>0</v>
      </c>
      <c r="T499" s="1768">
        <f ca="1" t="shared" si="133"/>
        <v>0</v>
      </c>
      <c r="U499" s="1838">
        <f t="shared" si="127"/>
        <v>0</v>
      </c>
      <c r="V499" s="1838">
        <f t="shared" si="128"/>
        <v>0</v>
      </c>
      <c r="W499" s="1840"/>
      <c r="X499" s="1838">
        <f t="shared" si="129"/>
        <v>0</v>
      </c>
      <c r="Y499" s="1838">
        <f t="shared" si="130"/>
        <v>0</v>
      </c>
      <c r="Z499" s="1840"/>
    </row>
    <row r="500" spans="1:26">
      <c r="A500" s="1770"/>
      <c r="B500" s="1771"/>
      <c r="C500" s="1762">
        <f t="shared" si="119"/>
        <v>1</v>
      </c>
      <c r="D500" s="1769"/>
      <c r="E500" s="1762">
        <f t="shared" si="120"/>
        <v>1</v>
      </c>
      <c r="F500" s="1769"/>
      <c r="G500" s="1762">
        <f t="shared" si="121"/>
        <v>1</v>
      </c>
      <c r="H500" s="1769"/>
      <c r="I500" s="1762">
        <f t="shared" si="122"/>
        <v>1</v>
      </c>
      <c r="J500" s="1769"/>
      <c r="K500" s="1762">
        <f t="shared" si="123"/>
        <v>1</v>
      </c>
      <c r="L500" s="1769"/>
      <c r="M500" s="1762">
        <f t="shared" si="124"/>
        <v>1</v>
      </c>
      <c r="N500" s="1769"/>
      <c r="O500" s="1762">
        <f t="shared" si="125"/>
        <v>1</v>
      </c>
      <c r="P500" s="1769"/>
      <c r="Q500" s="1762">
        <f t="shared" si="126"/>
        <v>1</v>
      </c>
      <c r="R500" s="1833">
        <f ca="1" t="shared" si="131"/>
        <v>0</v>
      </c>
      <c r="S500" s="1716">
        <f ca="1" t="shared" si="132"/>
        <v>0</v>
      </c>
      <c r="T500" s="1768">
        <f ca="1" t="shared" si="133"/>
        <v>0</v>
      </c>
      <c r="U500" s="1838">
        <f t="shared" si="127"/>
        <v>0</v>
      </c>
      <c r="V500" s="1838">
        <f t="shared" si="128"/>
        <v>0</v>
      </c>
      <c r="W500" s="1840"/>
      <c r="X500" s="1838">
        <f t="shared" si="129"/>
        <v>0</v>
      </c>
      <c r="Y500" s="1838">
        <f t="shared" si="130"/>
        <v>0</v>
      </c>
      <c r="Z500" s="1840"/>
    </row>
    <row r="501" spans="1:26">
      <c r="A501" s="1770"/>
      <c r="B501" s="1771"/>
      <c r="C501" s="1762">
        <f t="shared" si="119"/>
        <v>1</v>
      </c>
      <c r="D501" s="1769"/>
      <c r="E501" s="1762">
        <f t="shared" si="120"/>
        <v>1</v>
      </c>
      <c r="F501" s="1769"/>
      <c r="G501" s="1762">
        <f t="shared" si="121"/>
        <v>1</v>
      </c>
      <c r="H501" s="1769"/>
      <c r="I501" s="1762">
        <f t="shared" si="122"/>
        <v>1</v>
      </c>
      <c r="J501" s="1769"/>
      <c r="K501" s="1762">
        <f t="shared" si="123"/>
        <v>1</v>
      </c>
      <c r="L501" s="1769"/>
      <c r="M501" s="1762">
        <f t="shared" si="124"/>
        <v>1</v>
      </c>
      <c r="N501" s="1769"/>
      <c r="O501" s="1762">
        <f t="shared" si="125"/>
        <v>1</v>
      </c>
      <c r="P501" s="1769"/>
      <c r="Q501" s="1762">
        <f t="shared" si="126"/>
        <v>1</v>
      </c>
      <c r="R501" s="1833">
        <f ca="1" t="shared" si="131"/>
        <v>0</v>
      </c>
      <c r="S501" s="1716">
        <f ca="1" t="shared" si="132"/>
        <v>0</v>
      </c>
      <c r="T501" s="1768">
        <f ca="1" t="shared" si="133"/>
        <v>0</v>
      </c>
      <c r="U501" s="1838">
        <f t="shared" si="127"/>
        <v>0</v>
      </c>
      <c r="V501" s="1838">
        <f t="shared" si="128"/>
        <v>0</v>
      </c>
      <c r="W501" s="1840"/>
      <c r="X501" s="1838">
        <f t="shared" si="129"/>
        <v>0</v>
      </c>
      <c r="Y501" s="1838">
        <f t="shared" si="130"/>
        <v>0</v>
      </c>
      <c r="Z501" s="1840"/>
    </row>
    <row r="502" spans="1:26">
      <c r="A502" s="1770"/>
      <c r="B502" s="1771"/>
      <c r="C502" s="1762">
        <f t="shared" si="119"/>
        <v>1</v>
      </c>
      <c r="D502" s="1769"/>
      <c r="E502" s="1762">
        <f t="shared" si="120"/>
        <v>1</v>
      </c>
      <c r="F502" s="1769"/>
      <c r="G502" s="1762">
        <f t="shared" si="121"/>
        <v>1</v>
      </c>
      <c r="H502" s="1769"/>
      <c r="I502" s="1762">
        <f t="shared" si="122"/>
        <v>1</v>
      </c>
      <c r="J502" s="1769"/>
      <c r="K502" s="1762">
        <f t="shared" si="123"/>
        <v>1</v>
      </c>
      <c r="L502" s="1769"/>
      <c r="M502" s="1762">
        <f t="shared" si="124"/>
        <v>1</v>
      </c>
      <c r="N502" s="1769"/>
      <c r="O502" s="1762">
        <f t="shared" si="125"/>
        <v>1</v>
      </c>
      <c r="P502" s="1769"/>
      <c r="Q502" s="1762">
        <f t="shared" si="126"/>
        <v>1</v>
      </c>
      <c r="R502" s="1833">
        <f ca="1" t="shared" si="131"/>
        <v>0</v>
      </c>
      <c r="S502" s="1716">
        <f ca="1" t="shared" si="132"/>
        <v>0</v>
      </c>
      <c r="T502" s="1768">
        <f ca="1" t="shared" si="133"/>
        <v>0</v>
      </c>
      <c r="U502" s="1838">
        <f t="shared" si="127"/>
        <v>0</v>
      </c>
      <c r="V502" s="1838">
        <f t="shared" si="128"/>
        <v>0</v>
      </c>
      <c r="W502" s="1840"/>
      <c r="X502" s="1838">
        <f t="shared" si="129"/>
        <v>0</v>
      </c>
      <c r="Y502" s="1838">
        <f t="shared" si="130"/>
        <v>0</v>
      </c>
      <c r="Z502" s="1840"/>
    </row>
    <row r="503" spans="1:26">
      <c r="A503" s="1770"/>
      <c r="B503" s="1771"/>
      <c r="C503" s="1762">
        <f t="shared" si="119"/>
        <v>1</v>
      </c>
      <c r="D503" s="1769"/>
      <c r="E503" s="1762">
        <f t="shared" si="120"/>
        <v>1</v>
      </c>
      <c r="F503" s="1769"/>
      <c r="G503" s="1762">
        <f t="shared" si="121"/>
        <v>1</v>
      </c>
      <c r="H503" s="1769"/>
      <c r="I503" s="1762">
        <f t="shared" si="122"/>
        <v>1</v>
      </c>
      <c r="J503" s="1769"/>
      <c r="K503" s="1762">
        <f t="shared" si="123"/>
        <v>1</v>
      </c>
      <c r="L503" s="1769"/>
      <c r="M503" s="1762">
        <f t="shared" si="124"/>
        <v>1</v>
      </c>
      <c r="N503" s="1769"/>
      <c r="O503" s="1762">
        <f t="shared" si="125"/>
        <v>1</v>
      </c>
      <c r="P503" s="1769"/>
      <c r="Q503" s="1762">
        <f t="shared" si="126"/>
        <v>1</v>
      </c>
      <c r="R503" s="1833">
        <f ca="1" t="shared" si="131"/>
        <v>0</v>
      </c>
      <c r="S503" s="1716">
        <f ca="1" t="shared" si="132"/>
        <v>0</v>
      </c>
      <c r="T503" s="1768">
        <f ca="1" t="shared" si="133"/>
        <v>0</v>
      </c>
      <c r="U503" s="1838">
        <f t="shared" si="127"/>
        <v>0</v>
      </c>
      <c r="V503" s="1838">
        <f t="shared" si="128"/>
        <v>0</v>
      </c>
      <c r="W503" s="1840"/>
      <c r="X503" s="1838">
        <f t="shared" si="129"/>
        <v>0</v>
      </c>
      <c r="Y503" s="1838">
        <f t="shared" si="130"/>
        <v>0</v>
      </c>
      <c r="Z503" s="1840"/>
    </row>
    <row r="504" spans="1:26">
      <c r="A504" s="1770"/>
      <c r="B504" s="1771"/>
      <c r="C504" s="1762">
        <f t="shared" si="119"/>
        <v>1</v>
      </c>
      <c r="D504" s="1769"/>
      <c r="E504" s="1762">
        <f t="shared" si="120"/>
        <v>1</v>
      </c>
      <c r="F504" s="1769"/>
      <c r="G504" s="1762">
        <f t="shared" si="121"/>
        <v>1</v>
      </c>
      <c r="H504" s="1769"/>
      <c r="I504" s="1762">
        <f t="shared" si="122"/>
        <v>1</v>
      </c>
      <c r="J504" s="1769"/>
      <c r="K504" s="1762">
        <f t="shared" si="123"/>
        <v>1</v>
      </c>
      <c r="L504" s="1769"/>
      <c r="M504" s="1762">
        <f t="shared" si="124"/>
        <v>1</v>
      </c>
      <c r="N504" s="1769"/>
      <c r="O504" s="1762">
        <f t="shared" si="125"/>
        <v>1</v>
      </c>
      <c r="P504" s="1769"/>
      <c r="Q504" s="1762">
        <f t="shared" si="126"/>
        <v>1</v>
      </c>
      <c r="R504" s="1833">
        <f ca="1" t="shared" si="131"/>
        <v>0</v>
      </c>
      <c r="S504" s="1716">
        <f ca="1" t="shared" si="132"/>
        <v>0</v>
      </c>
      <c r="T504" s="1768">
        <f ca="1" t="shared" si="133"/>
        <v>0</v>
      </c>
      <c r="U504" s="1838">
        <f t="shared" si="127"/>
        <v>0</v>
      </c>
      <c r="V504" s="1838">
        <f t="shared" si="128"/>
        <v>0</v>
      </c>
      <c r="W504" s="1840"/>
      <c r="X504" s="1838">
        <f t="shared" si="129"/>
        <v>0</v>
      </c>
      <c r="Y504" s="1838">
        <f t="shared" si="130"/>
        <v>0</v>
      </c>
      <c r="Z504" s="1840"/>
    </row>
    <row r="505" spans="1:26">
      <c r="A505" s="1770"/>
      <c r="B505" s="1771"/>
      <c r="C505" s="1762">
        <f t="shared" si="119"/>
        <v>1</v>
      </c>
      <c r="D505" s="1769"/>
      <c r="E505" s="1762">
        <f t="shared" si="120"/>
        <v>1</v>
      </c>
      <c r="F505" s="1769"/>
      <c r="G505" s="1762">
        <f t="shared" si="121"/>
        <v>1</v>
      </c>
      <c r="H505" s="1769"/>
      <c r="I505" s="1762">
        <f t="shared" si="122"/>
        <v>1</v>
      </c>
      <c r="J505" s="1769"/>
      <c r="K505" s="1762">
        <f t="shared" si="123"/>
        <v>1</v>
      </c>
      <c r="L505" s="1769"/>
      <c r="M505" s="1762">
        <f t="shared" si="124"/>
        <v>1</v>
      </c>
      <c r="N505" s="1769"/>
      <c r="O505" s="1762">
        <f t="shared" si="125"/>
        <v>1</v>
      </c>
      <c r="P505" s="1769"/>
      <c r="Q505" s="1762">
        <f t="shared" si="126"/>
        <v>1</v>
      </c>
      <c r="R505" s="1833">
        <f ca="1" t="shared" si="131"/>
        <v>0</v>
      </c>
      <c r="S505" s="1716">
        <f ca="1" t="shared" si="132"/>
        <v>0</v>
      </c>
      <c r="T505" s="1768">
        <f ca="1" t="shared" si="133"/>
        <v>0</v>
      </c>
      <c r="U505" s="1838">
        <f t="shared" si="127"/>
        <v>0</v>
      </c>
      <c r="V505" s="1838">
        <f t="shared" si="128"/>
        <v>0</v>
      </c>
      <c r="W505" s="1840"/>
      <c r="X505" s="1838">
        <f t="shared" si="129"/>
        <v>0</v>
      </c>
      <c r="Y505" s="1838">
        <f t="shared" si="130"/>
        <v>0</v>
      </c>
      <c r="Z505" s="1840"/>
    </row>
    <row r="506" spans="1:26">
      <c r="A506" s="1770"/>
      <c r="B506" s="1771"/>
      <c r="C506" s="1762">
        <f t="shared" si="119"/>
        <v>1</v>
      </c>
      <c r="D506" s="1769"/>
      <c r="E506" s="1762">
        <f t="shared" si="120"/>
        <v>1</v>
      </c>
      <c r="F506" s="1769"/>
      <c r="G506" s="1762">
        <f t="shared" si="121"/>
        <v>1</v>
      </c>
      <c r="H506" s="1769"/>
      <c r="I506" s="1762">
        <f t="shared" si="122"/>
        <v>1</v>
      </c>
      <c r="J506" s="1769"/>
      <c r="K506" s="1762">
        <f t="shared" si="123"/>
        <v>1</v>
      </c>
      <c r="L506" s="1769"/>
      <c r="M506" s="1762">
        <f t="shared" si="124"/>
        <v>1</v>
      </c>
      <c r="N506" s="1769"/>
      <c r="O506" s="1762">
        <f t="shared" si="125"/>
        <v>1</v>
      </c>
      <c r="P506" s="1769"/>
      <c r="Q506" s="1762">
        <f t="shared" si="126"/>
        <v>1</v>
      </c>
      <c r="R506" s="1833">
        <f ca="1" t="shared" si="131"/>
        <v>0</v>
      </c>
      <c r="S506" s="1716">
        <f ca="1" t="shared" si="132"/>
        <v>0</v>
      </c>
      <c r="T506" s="1768">
        <f ca="1" t="shared" si="133"/>
        <v>0</v>
      </c>
      <c r="U506" s="1838">
        <f t="shared" si="127"/>
        <v>0</v>
      </c>
      <c r="V506" s="1838">
        <f t="shared" si="128"/>
        <v>0</v>
      </c>
      <c r="W506" s="1840"/>
      <c r="X506" s="1838">
        <f t="shared" si="129"/>
        <v>0</v>
      </c>
      <c r="Y506" s="1838">
        <f t="shared" si="130"/>
        <v>0</v>
      </c>
      <c r="Z506" s="1840"/>
    </row>
    <row r="507" spans="1:26">
      <c r="A507" s="1770"/>
      <c r="B507" s="1771"/>
      <c r="C507" s="1762">
        <f t="shared" si="119"/>
        <v>1</v>
      </c>
      <c r="D507" s="1769"/>
      <c r="E507" s="1762">
        <f t="shared" si="120"/>
        <v>1</v>
      </c>
      <c r="F507" s="1769"/>
      <c r="G507" s="1762">
        <f t="shared" si="121"/>
        <v>1</v>
      </c>
      <c r="H507" s="1769"/>
      <c r="I507" s="1762">
        <f t="shared" si="122"/>
        <v>1</v>
      </c>
      <c r="J507" s="1769"/>
      <c r="K507" s="1762">
        <f t="shared" si="123"/>
        <v>1</v>
      </c>
      <c r="L507" s="1769"/>
      <c r="M507" s="1762">
        <f t="shared" si="124"/>
        <v>1</v>
      </c>
      <c r="N507" s="1769"/>
      <c r="O507" s="1762">
        <f t="shared" si="125"/>
        <v>1</v>
      </c>
      <c r="P507" s="1769"/>
      <c r="Q507" s="1762">
        <f t="shared" si="126"/>
        <v>1</v>
      </c>
      <c r="R507" s="1833">
        <f ca="1" t="shared" si="131"/>
        <v>0</v>
      </c>
      <c r="S507" s="1716">
        <f ca="1" t="shared" si="132"/>
        <v>0</v>
      </c>
      <c r="T507" s="1768">
        <f ca="1" t="shared" si="133"/>
        <v>0</v>
      </c>
      <c r="U507" s="1838">
        <f t="shared" si="127"/>
        <v>0</v>
      </c>
      <c r="V507" s="1838">
        <f t="shared" si="128"/>
        <v>0</v>
      </c>
      <c r="W507" s="1840"/>
      <c r="X507" s="1838">
        <f t="shared" si="129"/>
        <v>0</v>
      </c>
      <c r="Y507" s="1838">
        <f t="shared" si="130"/>
        <v>0</v>
      </c>
      <c r="Z507" s="1840"/>
    </row>
    <row r="508" spans="1:26">
      <c r="A508" s="1770"/>
      <c r="B508" s="1771"/>
      <c r="C508" s="1762">
        <f t="shared" si="119"/>
        <v>1</v>
      </c>
      <c r="D508" s="1769"/>
      <c r="E508" s="1762">
        <f t="shared" si="120"/>
        <v>1</v>
      </c>
      <c r="F508" s="1769"/>
      <c r="G508" s="1762">
        <f t="shared" si="121"/>
        <v>1</v>
      </c>
      <c r="H508" s="1769"/>
      <c r="I508" s="1762">
        <f t="shared" si="122"/>
        <v>1</v>
      </c>
      <c r="J508" s="1769"/>
      <c r="K508" s="1762">
        <f t="shared" si="123"/>
        <v>1</v>
      </c>
      <c r="L508" s="1769"/>
      <c r="M508" s="1762">
        <f t="shared" si="124"/>
        <v>1</v>
      </c>
      <c r="N508" s="1769"/>
      <c r="O508" s="1762">
        <f t="shared" si="125"/>
        <v>1</v>
      </c>
      <c r="P508" s="1769"/>
      <c r="Q508" s="1762">
        <f t="shared" si="126"/>
        <v>1</v>
      </c>
      <c r="R508" s="1833">
        <f ca="1" t="shared" si="131"/>
        <v>0</v>
      </c>
      <c r="S508" s="1716">
        <f ca="1" t="shared" si="132"/>
        <v>0</v>
      </c>
      <c r="T508" s="1768">
        <f ca="1" t="shared" si="133"/>
        <v>0</v>
      </c>
      <c r="U508" s="1838">
        <f t="shared" si="127"/>
        <v>0</v>
      </c>
      <c r="V508" s="1838">
        <f t="shared" si="128"/>
        <v>0</v>
      </c>
      <c r="W508" s="1840"/>
      <c r="X508" s="1838">
        <f t="shared" si="129"/>
        <v>0</v>
      </c>
      <c r="Y508" s="1838">
        <f t="shared" si="130"/>
        <v>0</v>
      </c>
      <c r="Z508" s="1840"/>
    </row>
    <row r="509" spans="1:26">
      <c r="A509" s="1770"/>
      <c r="B509" s="1771"/>
      <c r="C509" s="1762">
        <f t="shared" si="119"/>
        <v>1</v>
      </c>
      <c r="D509" s="1769"/>
      <c r="E509" s="1762">
        <f t="shared" si="120"/>
        <v>1</v>
      </c>
      <c r="F509" s="1769"/>
      <c r="G509" s="1762">
        <f t="shared" si="121"/>
        <v>1</v>
      </c>
      <c r="H509" s="1769"/>
      <c r="I509" s="1762">
        <f t="shared" si="122"/>
        <v>1</v>
      </c>
      <c r="J509" s="1769"/>
      <c r="K509" s="1762">
        <f t="shared" si="123"/>
        <v>1</v>
      </c>
      <c r="L509" s="1769"/>
      <c r="M509" s="1762">
        <f t="shared" si="124"/>
        <v>1</v>
      </c>
      <c r="N509" s="1769"/>
      <c r="O509" s="1762">
        <f t="shared" si="125"/>
        <v>1</v>
      </c>
      <c r="P509" s="1769"/>
      <c r="Q509" s="1762">
        <f t="shared" si="126"/>
        <v>1</v>
      </c>
      <c r="R509" s="1833">
        <f ca="1" t="shared" si="131"/>
        <v>0</v>
      </c>
      <c r="S509" s="1716">
        <f ca="1" t="shared" si="132"/>
        <v>0</v>
      </c>
      <c r="T509" s="1768">
        <f ca="1" t="shared" si="133"/>
        <v>0</v>
      </c>
      <c r="U509" s="1838">
        <f t="shared" si="127"/>
        <v>0</v>
      </c>
      <c r="V509" s="1838">
        <f t="shared" si="128"/>
        <v>0</v>
      </c>
      <c r="W509" s="1840"/>
      <c r="X509" s="1838">
        <f t="shared" si="129"/>
        <v>0</v>
      </c>
      <c r="Y509" s="1838">
        <f t="shared" si="130"/>
        <v>0</v>
      </c>
      <c r="Z509" s="1840"/>
    </row>
    <row r="510" spans="1:26">
      <c r="A510" s="1770"/>
      <c r="B510" s="1771"/>
      <c r="C510" s="1762">
        <f t="shared" si="119"/>
        <v>1</v>
      </c>
      <c r="D510" s="1769"/>
      <c r="E510" s="1762">
        <f t="shared" si="120"/>
        <v>1</v>
      </c>
      <c r="F510" s="1769"/>
      <c r="G510" s="1762">
        <f t="shared" si="121"/>
        <v>1</v>
      </c>
      <c r="H510" s="1769"/>
      <c r="I510" s="1762">
        <f t="shared" si="122"/>
        <v>1</v>
      </c>
      <c r="J510" s="1769"/>
      <c r="K510" s="1762">
        <f t="shared" si="123"/>
        <v>1</v>
      </c>
      <c r="L510" s="1769"/>
      <c r="M510" s="1762">
        <f t="shared" si="124"/>
        <v>1</v>
      </c>
      <c r="N510" s="1769"/>
      <c r="O510" s="1762">
        <f t="shared" si="125"/>
        <v>1</v>
      </c>
      <c r="P510" s="1769"/>
      <c r="Q510" s="1762">
        <f t="shared" si="126"/>
        <v>1</v>
      </c>
      <c r="R510" s="1833">
        <f ca="1" t="shared" si="131"/>
        <v>0</v>
      </c>
      <c r="S510" s="1716">
        <f ca="1" t="shared" si="132"/>
        <v>0</v>
      </c>
      <c r="T510" s="1768">
        <f ca="1" t="shared" si="133"/>
        <v>0</v>
      </c>
      <c r="U510" s="1838">
        <f t="shared" si="127"/>
        <v>0</v>
      </c>
      <c r="V510" s="1838">
        <f t="shared" si="128"/>
        <v>0</v>
      </c>
      <c r="W510" s="1840"/>
      <c r="X510" s="1838">
        <f t="shared" si="129"/>
        <v>0</v>
      </c>
      <c r="Y510" s="1838">
        <f t="shared" si="130"/>
        <v>0</v>
      </c>
      <c r="Z510" s="1840"/>
    </row>
    <row r="511" spans="1:26">
      <c r="A511" s="1770"/>
      <c r="B511" s="1771"/>
      <c r="C511" s="1762">
        <f t="shared" si="119"/>
        <v>1</v>
      </c>
      <c r="D511" s="1769"/>
      <c r="E511" s="1762">
        <f t="shared" si="120"/>
        <v>1</v>
      </c>
      <c r="F511" s="1769"/>
      <c r="G511" s="1762">
        <f t="shared" si="121"/>
        <v>1</v>
      </c>
      <c r="H511" s="1769"/>
      <c r="I511" s="1762">
        <f t="shared" si="122"/>
        <v>1</v>
      </c>
      <c r="J511" s="1769"/>
      <c r="K511" s="1762">
        <f t="shared" si="123"/>
        <v>1</v>
      </c>
      <c r="L511" s="1769"/>
      <c r="M511" s="1762">
        <f t="shared" si="124"/>
        <v>1</v>
      </c>
      <c r="N511" s="1769"/>
      <c r="O511" s="1762">
        <f t="shared" si="125"/>
        <v>1</v>
      </c>
      <c r="P511" s="1769"/>
      <c r="Q511" s="1762">
        <f t="shared" si="126"/>
        <v>1</v>
      </c>
      <c r="R511" s="1833">
        <f ca="1" t="shared" si="131"/>
        <v>0</v>
      </c>
      <c r="S511" s="1716">
        <f ca="1" t="shared" si="132"/>
        <v>0</v>
      </c>
      <c r="T511" s="1768">
        <f ca="1" t="shared" si="133"/>
        <v>0</v>
      </c>
      <c r="U511" s="1838">
        <f t="shared" si="127"/>
        <v>0</v>
      </c>
      <c r="V511" s="1838">
        <f t="shared" si="128"/>
        <v>0</v>
      </c>
      <c r="W511" s="1840"/>
      <c r="X511" s="1838">
        <f t="shared" si="129"/>
        <v>0</v>
      </c>
      <c r="Y511" s="1838">
        <f t="shared" si="130"/>
        <v>0</v>
      </c>
      <c r="Z511" s="1840"/>
    </row>
    <row r="512" spans="1:26">
      <c r="A512" s="1770"/>
      <c r="B512" s="1771"/>
      <c r="C512" s="1762">
        <f t="shared" si="119"/>
        <v>1</v>
      </c>
      <c r="D512" s="1769"/>
      <c r="E512" s="1762">
        <f t="shared" si="120"/>
        <v>1</v>
      </c>
      <c r="F512" s="1769"/>
      <c r="G512" s="1762">
        <f t="shared" si="121"/>
        <v>1</v>
      </c>
      <c r="H512" s="1769"/>
      <c r="I512" s="1762">
        <f t="shared" si="122"/>
        <v>1</v>
      </c>
      <c r="J512" s="1769"/>
      <c r="K512" s="1762">
        <f t="shared" si="123"/>
        <v>1</v>
      </c>
      <c r="L512" s="1769"/>
      <c r="M512" s="1762">
        <f t="shared" si="124"/>
        <v>1</v>
      </c>
      <c r="N512" s="1769"/>
      <c r="O512" s="1762">
        <f t="shared" si="125"/>
        <v>1</v>
      </c>
      <c r="P512" s="1769"/>
      <c r="Q512" s="1762">
        <f t="shared" si="126"/>
        <v>1</v>
      </c>
      <c r="R512" s="1833">
        <f ca="1" t="shared" si="131"/>
        <v>0</v>
      </c>
      <c r="S512" s="1716">
        <f ca="1" t="shared" si="132"/>
        <v>0</v>
      </c>
      <c r="T512" s="1768">
        <f ca="1" t="shared" si="133"/>
        <v>0</v>
      </c>
      <c r="U512" s="1838">
        <f t="shared" si="127"/>
        <v>0</v>
      </c>
      <c r="V512" s="1838">
        <f t="shared" si="128"/>
        <v>0</v>
      </c>
      <c r="W512" s="1840"/>
      <c r="X512" s="1838">
        <f t="shared" si="129"/>
        <v>0</v>
      </c>
      <c r="Y512" s="1838">
        <f t="shared" si="130"/>
        <v>0</v>
      </c>
      <c r="Z512" s="1840"/>
    </row>
    <row r="513" spans="1:26">
      <c r="A513" s="1770"/>
      <c r="B513" s="1771"/>
      <c r="C513" s="1762">
        <f t="shared" si="119"/>
        <v>1</v>
      </c>
      <c r="D513" s="1769"/>
      <c r="E513" s="1762">
        <f t="shared" si="120"/>
        <v>1</v>
      </c>
      <c r="F513" s="1769"/>
      <c r="G513" s="1762">
        <f t="shared" si="121"/>
        <v>1</v>
      </c>
      <c r="H513" s="1769"/>
      <c r="I513" s="1762">
        <f t="shared" si="122"/>
        <v>1</v>
      </c>
      <c r="J513" s="1769"/>
      <c r="K513" s="1762">
        <f t="shared" si="123"/>
        <v>1</v>
      </c>
      <c r="L513" s="1769"/>
      <c r="M513" s="1762">
        <f t="shared" si="124"/>
        <v>1</v>
      </c>
      <c r="N513" s="1769"/>
      <c r="O513" s="1762">
        <f t="shared" si="125"/>
        <v>1</v>
      </c>
      <c r="P513" s="1769"/>
      <c r="Q513" s="1762">
        <f t="shared" si="126"/>
        <v>1</v>
      </c>
      <c r="R513" s="1833">
        <f ca="1" t="shared" si="131"/>
        <v>0</v>
      </c>
      <c r="S513" s="1716">
        <f ca="1" t="shared" si="132"/>
        <v>0</v>
      </c>
      <c r="T513" s="1768">
        <f ca="1" t="shared" si="133"/>
        <v>0</v>
      </c>
      <c r="U513" s="1838">
        <f t="shared" si="127"/>
        <v>0</v>
      </c>
      <c r="V513" s="1838">
        <f t="shared" si="128"/>
        <v>0</v>
      </c>
      <c r="W513" s="1840"/>
      <c r="X513" s="1838">
        <f t="shared" si="129"/>
        <v>0</v>
      </c>
      <c r="Y513" s="1838">
        <f t="shared" si="130"/>
        <v>0</v>
      </c>
      <c r="Z513" s="1840"/>
    </row>
    <row r="514" spans="1:26">
      <c r="A514" s="1770"/>
      <c r="B514" s="1771"/>
      <c r="C514" s="1762">
        <f t="shared" si="119"/>
        <v>1</v>
      </c>
      <c r="D514" s="1769"/>
      <c r="E514" s="1762">
        <f t="shared" si="120"/>
        <v>1</v>
      </c>
      <c r="F514" s="1769"/>
      <c r="G514" s="1762">
        <f t="shared" si="121"/>
        <v>1</v>
      </c>
      <c r="H514" s="1769"/>
      <c r="I514" s="1762">
        <f t="shared" si="122"/>
        <v>1</v>
      </c>
      <c r="J514" s="1769"/>
      <c r="K514" s="1762">
        <f t="shared" si="123"/>
        <v>1</v>
      </c>
      <c r="L514" s="1769"/>
      <c r="M514" s="1762">
        <f t="shared" si="124"/>
        <v>1</v>
      </c>
      <c r="N514" s="1769"/>
      <c r="O514" s="1762">
        <f t="shared" si="125"/>
        <v>1</v>
      </c>
      <c r="P514" s="1769"/>
      <c r="Q514" s="1762">
        <f t="shared" si="126"/>
        <v>1</v>
      </c>
      <c r="R514" s="1833">
        <f ca="1" t="shared" si="131"/>
        <v>0</v>
      </c>
      <c r="S514" s="1716">
        <f ca="1" t="shared" si="132"/>
        <v>0</v>
      </c>
      <c r="T514" s="1768">
        <f ca="1" t="shared" si="133"/>
        <v>0</v>
      </c>
      <c r="U514" s="1838">
        <f t="shared" si="127"/>
        <v>0</v>
      </c>
      <c r="V514" s="1838">
        <f t="shared" si="128"/>
        <v>0</v>
      </c>
      <c r="W514" s="1840"/>
      <c r="X514" s="1838">
        <f t="shared" si="129"/>
        <v>0</v>
      </c>
      <c r="Y514" s="1838">
        <f t="shared" si="130"/>
        <v>0</v>
      </c>
      <c r="Z514" s="1840"/>
    </row>
    <row r="515" spans="1:26">
      <c r="A515" s="1770"/>
      <c r="B515" s="1771"/>
      <c r="C515" s="1762">
        <f t="shared" si="119"/>
        <v>1</v>
      </c>
      <c r="D515" s="1769"/>
      <c r="E515" s="1762">
        <f t="shared" si="120"/>
        <v>1</v>
      </c>
      <c r="F515" s="1769"/>
      <c r="G515" s="1762">
        <f t="shared" si="121"/>
        <v>1</v>
      </c>
      <c r="H515" s="1769"/>
      <c r="I515" s="1762">
        <f t="shared" si="122"/>
        <v>1</v>
      </c>
      <c r="J515" s="1769"/>
      <c r="K515" s="1762">
        <f t="shared" si="123"/>
        <v>1</v>
      </c>
      <c r="L515" s="1769"/>
      <c r="M515" s="1762">
        <f t="shared" si="124"/>
        <v>1</v>
      </c>
      <c r="N515" s="1769"/>
      <c r="O515" s="1762">
        <f t="shared" si="125"/>
        <v>1</v>
      </c>
      <c r="P515" s="1769"/>
      <c r="Q515" s="1762">
        <f t="shared" si="126"/>
        <v>1</v>
      </c>
      <c r="R515" s="1833">
        <f ca="1" t="shared" si="131"/>
        <v>0</v>
      </c>
      <c r="S515" s="1716">
        <f ca="1" t="shared" si="132"/>
        <v>0</v>
      </c>
      <c r="T515" s="1768">
        <f ca="1" t="shared" si="133"/>
        <v>0</v>
      </c>
      <c r="U515" s="1838">
        <f t="shared" si="127"/>
        <v>0</v>
      </c>
      <c r="V515" s="1838">
        <f t="shared" si="128"/>
        <v>0</v>
      </c>
      <c r="W515" s="1840"/>
      <c r="X515" s="1838">
        <f t="shared" si="129"/>
        <v>0</v>
      </c>
      <c r="Y515" s="1838">
        <f t="shared" si="130"/>
        <v>0</v>
      </c>
      <c r="Z515" s="1840"/>
    </row>
    <row r="516" spans="1:26">
      <c r="A516" s="1770"/>
      <c r="B516" s="1771"/>
      <c r="C516" s="1762">
        <f t="shared" si="119"/>
        <v>1</v>
      </c>
      <c r="D516" s="1769"/>
      <c r="E516" s="1762">
        <f t="shared" si="120"/>
        <v>1</v>
      </c>
      <c r="F516" s="1769"/>
      <c r="G516" s="1762">
        <f t="shared" si="121"/>
        <v>1</v>
      </c>
      <c r="H516" s="1769"/>
      <c r="I516" s="1762">
        <f t="shared" si="122"/>
        <v>1</v>
      </c>
      <c r="J516" s="1769"/>
      <c r="K516" s="1762">
        <f t="shared" si="123"/>
        <v>1</v>
      </c>
      <c r="L516" s="1769"/>
      <c r="M516" s="1762">
        <f t="shared" si="124"/>
        <v>1</v>
      </c>
      <c r="N516" s="1769"/>
      <c r="O516" s="1762">
        <f t="shared" si="125"/>
        <v>1</v>
      </c>
      <c r="P516" s="1769"/>
      <c r="Q516" s="1762">
        <f t="shared" si="126"/>
        <v>1</v>
      </c>
      <c r="R516" s="1833">
        <f ca="1" t="shared" si="131"/>
        <v>0</v>
      </c>
      <c r="S516" s="1716">
        <f ca="1" t="shared" si="132"/>
        <v>0</v>
      </c>
      <c r="T516" s="1768">
        <f ca="1" t="shared" si="133"/>
        <v>0</v>
      </c>
      <c r="U516" s="1838">
        <f t="shared" si="127"/>
        <v>0</v>
      </c>
      <c r="V516" s="1838">
        <f t="shared" si="128"/>
        <v>0</v>
      </c>
      <c r="W516" s="1840"/>
      <c r="X516" s="1838">
        <f t="shared" si="129"/>
        <v>0</v>
      </c>
      <c r="Y516" s="1838">
        <f t="shared" si="130"/>
        <v>0</v>
      </c>
      <c r="Z516" s="1840"/>
    </row>
    <row r="517" spans="1:26">
      <c r="A517" s="1770"/>
      <c r="B517" s="1771"/>
      <c r="C517" s="1762">
        <f t="shared" si="119"/>
        <v>1</v>
      </c>
      <c r="D517" s="1769"/>
      <c r="E517" s="1762">
        <f t="shared" si="120"/>
        <v>1</v>
      </c>
      <c r="F517" s="1769"/>
      <c r="G517" s="1762">
        <f t="shared" si="121"/>
        <v>1</v>
      </c>
      <c r="H517" s="1769"/>
      <c r="I517" s="1762">
        <f t="shared" si="122"/>
        <v>1</v>
      </c>
      <c r="J517" s="1769"/>
      <c r="K517" s="1762">
        <f t="shared" si="123"/>
        <v>1</v>
      </c>
      <c r="L517" s="1769"/>
      <c r="M517" s="1762">
        <f t="shared" si="124"/>
        <v>1</v>
      </c>
      <c r="N517" s="1769"/>
      <c r="O517" s="1762">
        <f t="shared" si="125"/>
        <v>1</v>
      </c>
      <c r="P517" s="1769"/>
      <c r="Q517" s="1762">
        <f t="shared" si="126"/>
        <v>1</v>
      </c>
      <c r="R517" s="1833">
        <f ca="1" t="shared" si="131"/>
        <v>0</v>
      </c>
      <c r="S517" s="1716">
        <f ca="1" t="shared" si="132"/>
        <v>0</v>
      </c>
      <c r="T517" s="1768">
        <f ca="1" t="shared" si="133"/>
        <v>0</v>
      </c>
      <c r="U517" s="1838">
        <f t="shared" si="127"/>
        <v>0</v>
      </c>
      <c r="V517" s="1838">
        <f t="shared" si="128"/>
        <v>0</v>
      </c>
      <c r="W517" s="1840"/>
      <c r="X517" s="1838">
        <f t="shared" si="129"/>
        <v>0</v>
      </c>
      <c r="Y517" s="1838">
        <f t="shared" si="130"/>
        <v>0</v>
      </c>
      <c r="Z517" s="1840"/>
    </row>
    <row r="518" spans="1:26">
      <c r="A518" s="1770"/>
      <c r="B518" s="1771"/>
      <c r="C518" s="1762">
        <f t="shared" si="119"/>
        <v>1</v>
      </c>
      <c r="D518" s="1769"/>
      <c r="E518" s="1762">
        <f t="shared" si="120"/>
        <v>1</v>
      </c>
      <c r="F518" s="1769"/>
      <c r="G518" s="1762">
        <f t="shared" si="121"/>
        <v>1</v>
      </c>
      <c r="H518" s="1769"/>
      <c r="I518" s="1762">
        <f t="shared" si="122"/>
        <v>1</v>
      </c>
      <c r="J518" s="1769"/>
      <c r="K518" s="1762">
        <f t="shared" si="123"/>
        <v>1</v>
      </c>
      <c r="L518" s="1769"/>
      <c r="M518" s="1762">
        <f t="shared" si="124"/>
        <v>1</v>
      </c>
      <c r="N518" s="1769"/>
      <c r="O518" s="1762">
        <f t="shared" si="125"/>
        <v>1</v>
      </c>
      <c r="P518" s="1769"/>
      <c r="Q518" s="1762">
        <f t="shared" si="126"/>
        <v>1</v>
      </c>
      <c r="R518" s="1833">
        <f ca="1" t="shared" si="131"/>
        <v>0</v>
      </c>
      <c r="S518" s="1716">
        <f ca="1" t="shared" si="132"/>
        <v>0</v>
      </c>
      <c r="T518" s="1768">
        <f ca="1" t="shared" si="133"/>
        <v>0</v>
      </c>
      <c r="U518" s="1838">
        <f t="shared" si="127"/>
        <v>0</v>
      </c>
      <c r="V518" s="1838">
        <f t="shared" si="128"/>
        <v>0</v>
      </c>
      <c r="W518" s="1840"/>
      <c r="X518" s="1838">
        <f t="shared" si="129"/>
        <v>0</v>
      </c>
      <c r="Y518" s="1838">
        <f t="shared" si="130"/>
        <v>0</v>
      </c>
      <c r="Z518" s="1840"/>
    </row>
    <row r="519" spans="1:26">
      <c r="A519" s="1770"/>
      <c r="B519" s="1771"/>
      <c r="C519" s="1762">
        <f t="shared" si="119"/>
        <v>1</v>
      </c>
      <c r="D519" s="1769"/>
      <c r="E519" s="1762">
        <f t="shared" si="120"/>
        <v>1</v>
      </c>
      <c r="F519" s="1769"/>
      <c r="G519" s="1762">
        <f t="shared" si="121"/>
        <v>1</v>
      </c>
      <c r="H519" s="1769"/>
      <c r="I519" s="1762">
        <f t="shared" si="122"/>
        <v>1</v>
      </c>
      <c r="J519" s="1769"/>
      <c r="K519" s="1762">
        <f t="shared" si="123"/>
        <v>1</v>
      </c>
      <c r="L519" s="1769"/>
      <c r="M519" s="1762">
        <f t="shared" si="124"/>
        <v>1</v>
      </c>
      <c r="N519" s="1769"/>
      <c r="O519" s="1762">
        <f t="shared" si="125"/>
        <v>1</v>
      </c>
      <c r="P519" s="1769"/>
      <c r="Q519" s="1762">
        <f t="shared" si="126"/>
        <v>1</v>
      </c>
      <c r="R519" s="1833">
        <f ca="1" t="shared" si="131"/>
        <v>0</v>
      </c>
      <c r="S519" s="1716">
        <f ca="1" t="shared" si="132"/>
        <v>0</v>
      </c>
      <c r="T519" s="1768">
        <f ca="1" t="shared" si="133"/>
        <v>0</v>
      </c>
      <c r="U519" s="1838">
        <f t="shared" si="127"/>
        <v>0</v>
      </c>
      <c r="V519" s="1838">
        <f t="shared" si="128"/>
        <v>0</v>
      </c>
      <c r="W519" s="1840"/>
      <c r="X519" s="1838">
        <f t="shared" si="129"/>
        <v>0</v>
      </c>
      <c r="Y519" s="1838">
        <f t="shared" si="130"/>
        <v>0</v>
      </c>
      <c r="Z519" s="1840"/>
    </row>
    <row r="520" spans="1:26">
      <c r="A520" s="1770"/>
      <c r="B520" s="1771"/>
      <c r="C520" s="1762">
        <f t="shared" si="119"/>
        <v>1</v>
      </c>
      <c r="D520" s="1769"/>
      <c r="E520" s="1762">
        <f t="shared" si="120"/>
        <v>1</v>
      </c>
      <c r="F520" s="1769"/>
      <c r="G520" s="1762">
        <f t="shared" si="121"/>
        <v>1</v>
      </c>
      <c r="H520" s="1769"/>
      <c r="I520" s="1762">
        <f t="shared" si="122"/>
        <v>1</v>
      </c>
      <c r="J520" s="1769"/>
      <c r="K520" s="1762">
        <f t="shared" si="123"/>
        <v>1</v>
      </c>
      <c r="L520" s="1769"/>
      <c r="M520" s="1762">
        <f t="shared" si="124"/>
        <v>1</v>
      </c>
      <c r="N520" s="1769"/>
      <c r="O520" s="1762">
        <f t="shared" si="125"/>
        <v>1</v>
      </c>
      <c r="P520" s="1769"/>
      <c r="Q520" s="1762">
        <f t="shared" si="126"/>
        <v>1</v>
      </c>
      <c r="R520" s="1833">
        <f ca="1" t="shared" si="131"/>
        <v>0</v>
      </c>
      <c r="S520" s="1716">
        <f ca="1" t="shared" si="132"/>
        <v>0</v>
      </c>
      <c r="T520" s="1768">
        <f ca="1" t="shared" si="133"/>
        <v>0</v>
      </c>
      <c r="U520" s="1838">
        <f t="shared" si="127"/>
        <v>0</v>
      </c>
      <c r="V520" s="1838">
        <f t="shared" si="128"/>
        <v>0</v>
      </c>
      <c r="W520" s="1840"/>
      <c r="X520" s="1838">
        <f t="shared" si="129"/>
        <v>0</v>
      </c>
      <c r="Y520" s="1838">
        <f t="shared" si="130"/>
        <v>0</v>
      </c>
      <c r="Z520" s="1840"/>
    </row>
    <row r="521" spans="1:26">
      <c r="A521" s="1770"/>
      <c r="B521" s="1771"/>
      <c r="C521" s="1762">
        <f t="shared" si="119"/>
        <v>1</v>
      </c>
      <c r="D521" s="1769"/>
      <c r="E521" s="1762">
        <f t="shared" si="120"/>
        <v>1</v>
      </c>
      <c r="F521" s="1769"/>
      <c r="G521" s="1762">
        <f t="shared" si="121"/>
        <v>1</v>
      </c>
      <c r="H521" s="1769"/>
      <c r="I521" s="1762">
        <f t="shared" si="122"/>
        <v>1</v>
      </c>
      <c r="J521" s="1769"/>
      <c r="K521" s="1762">
        <f t="shared" si="123"/>
        <v>1</v>
      </c>
      <c r="L521" s="1769"/>
      <c r="M521" s="1762">
        <f t="shared" si="124"/>
        <v>1</v>
      </c>
      <c r="N521" s="1769"/>
      <c r="O521" s="1762">
        <f t="shared" si="125"/>
        <v>1</v>
      </c>
      <c r="P521" s="1769"/>
      <c r="Q521" s="1762">
        <f t="shared" si="126"/>
        <v>1</v>
      </c>
      <c r="R521" s="1833">
        <f ca="1" t="shared" si="131"/>
        <v>0</v>
      </c>
      <c r="S521" s="1716">
        <f ca="1" t="shared" si="132"/>
        <v>0</v>
      </c>
      <c r="T521" s="1768">
        <f ca="1" t="shared" si="133"/>
        <v>0</v>
      </c>
      <c r="U521" s="1838">
        <f t="shared" si="127"/>
        <v>0</v>
      </c>
      <c r="V521" s="1838">
        <f t="shared" si="128"/>
        <v>0</v>
      </c>
      <c r="W521" s="1840"/>
      <c r="X521" s="1838">
        <f t="shared" si="129"/>
        <v>0</v>
      </c>
      <c r="Y521" s="1838">
        <f t="shared" si="130"/>
        <v>0</v>
      </c>
      <c r="Z521" s="1840"/>
    </row>
    <row r="522" spans="1:26">
      <c r="A522" s="1770"/>
      <c r="B522" s="1771"/>
      <c r="C522" s="1762">
        <f t="shared" si="119"/>
        <v>1</v>
      </c>
      <c r="D522" s="1769"/>
      <c r="E522" s="1762">
        <f t="shared" si="120"/>
        <v>1</v>
      </c>
      <c r="F522" s="1769"/>
      <c r="G522" s="1762">
        <f t="shared" si="121"/>
        <v>1</v>
      </c>
      <c r="H522" s="1769"/>
      <c r="I522" s="1762">
        <f t="shared" si="122"/>
        <v>1</v>
      </c>
      <c r="J522" s="1769"/>
      <c r="K522" s="1762">
        <f t="shared" si="123"/>
        <v>1</v>
      </c>
      <c r="L522" s="1769"/>
      <c r="M522" s="1762">
        <f t="shared" si="124"/>
        <v>1</v>
      </c>
      <c r="N522" s="1769"/>
      <c r="O522" s="1762">
        <f t="shared" si="125"/>
        <v>1</v>
      </c>
      <c r="P522" s="1769"/>
      <c r="Q522" s="1762">
        <f t="shared" si="126"/>
        <v>1</v>
      </c>
      <c r="R522" s="1833">
        <f ca="1" t="shared" si="131"/>
        <v>0</v>
      </c>
      <c r="S522" s="1716">
        <f ca="1" t="shared" si="132"/>
        <v>0</v>
      </c>
      <c r="T522" s="1768">
        <f ca="1" t="shared" si="133"/>
        <v>0</v>
      </c>
      <c r="U522" s="1838">
        <f t="shared" si="127"/>
        <v>0</v>
      </c>
      <c r="V522" s="1838">
        <f t="shared" si="128"/>
        <v>0</v>
      </c>
      <c r="W522" s="1840"/>
      <c r="X522" s="1838">
        <f t="shared" si="129"/>
        <v>0</v>
      </c>
      <c r="Y522" s="1838">
        <f t="shared" si="130"/>
        <v>0</v>
      </c>
      <c r="Z522" s="1840"/>
    </row>
    <row r="523" spans="1:26">
      <c r="A523" s="1770"/>
      <c r="B523" s="1771"/>
      <c r="C523" s="1762">
        <f t="shared" si="119"/>
        <v>1</v>
      </c>
      <c r="D523" s="1769"/>
      <c r="E523" s="1762">
        <f t="shared" si="120"/>
        <v>1</v>
      </c>
      <c r="F523" s="1769"/>
      <c r="G523" s="1762">
        <f t="shared" si="121"/>
        <v>1</v>
      </c>
      <c r="H523" s="1769"/>
      <c r="I523" s="1762">
        <f t="shared" si="122"/>
        <v>1</v>
      </c>
      <c r="J523" s="1769"/>
      <c r="K523" s="1762">
        <f t="shared" si="123"/>
        <v>1</v>
      </c>
      <c r="L523" s="1769"/>
      <c r="M523" s="1762">
        <f t="shared" si="124"/>
        <v>1</v>
      </c>
      <c r="N523" s="1769"/>
      <c r="O523" s="1762">
        <f t="shared" si="125"/>
        <v>1</v>
      </c>
      <c r="P523" s="1769"/>
      <c r="Q523" s="1762">
        <f t="shared" si="126"/>
        <v>1</v>
      </c>
      <c r="R523" s="1833">
        <f ca="1" t="shared" si="131"/>
        <v>0</v>
      </c>
      <c r="S523" s="1716">
        <f ca="1" t="shared" si="132"/>
        <v>0</v>
      </c>
      <c r="T523" s="1768">
        <f ca="1" t="shared" si="133"/>
        <v>0</v>
      </c>
      <c r="U523" s="1838">
        <f t="shared" si="127"/>
        <v>0</v>
      </c>
      <c r="V523" s="1838">
        <f t="shared" si="128"/>
        <v>0</v>
      </c>
      <c r="W523" s="1840"/>
      <c r="X523" s="1838">
        <f t="shared" si="129"/>
        <v>0</v>
      </c>
      <c r="Y523" s="1838">
        <f t="shared" si="130"/>
        <v>0</v>
      </c>
      <c r="Z523" s="1840"/>
    </row>
    <row r="524" spans="1:26">
      <c r="A524" s="1770"/>
      <c r="B524" s="1771"/>
      <c r="C524" s="1762">
        <f t="shared" si="119"/>
        <v>1</v>
      </c>
      <c r="D524" s="1769"/>
      <c r="E524" s="1762">
        <f t="shared" si="120"/>
        <v>1</v>
      </c>
      <c r="F524" s="1769"/>
      <c r="G524" s="1762">
        <f t="shared" si="121"/>
        <v>1</v>
      </c>
      <c r="H524" s="1769"/>
      <c r="I524" s="1762">
        <f t="shared" si="122"/>
        <v>1</v>
      </c>
      <c r="J524" s="1769"/>
      <c r="K524" s="1762">
        <f t="shared" si="123"/>
        <v>1</v>
      </c>
      <c r="L524" s="1769"/>
      <c r="M524" s="1762">
        <f t="shared" si="124"/>
        <v>1</v>
      </c>
      <c r="N524" s="1769"/>
      <c r="O524" s="1762">
        <f t="shared" si="125"/>
        <v>1</v>
      </c>
      <c r="P524" s="1769"/>
      <c r="Q524" s="1762">
        <f t="shared" si="126"/>
        <v>1</v>
      </c>
      <c r="R524" s="1833">
        <f ca="1" t="shared" si="131"/>
        <v>0</v>
      </c>
      <c r="S524" s="1716">
        <f ca="1" t="shared" si="132"/>
        <v>0</v>
      </c>
      <c r="T524" s="1768">
        <f ca="1" t="shared" si="133"/>
        <v>0</v>
      </c>
      <c r="U524" s="1838">
        <f t="shared" si="127"/>
        <v>0</v>
      </c>
      <c r="V524" s="1838">
        <f t="shared" si="128"/>
        <v>0</v>
      </c>
      <c r="W524" s="1840"/>
      <c r="X524" s="1838">
        <f t="shared" si="129"/>
        <v>0</v>
      </c>
      <c r="Y524" s="1838">
        <f t="shared" si="130"/>
        <v>0</v>
      </c>
      <c r="Z524" s="1840"/>
    </row>
    <row r="525" spans="1:26">
      <c r="A525" s="1770"/>
      <c r="B525" s="1771"/>
      <c r="C525" s="1762">
        <f t="shared" si="119"/>
        <v>1</v>
      </c>
      <c r="D525" s="1769"/>
      <c r="E525" s="1762">
        <f t="shared" si="120"/>
        <v>1</v>
      </c>
      <c r="F525" s="1769"/>
      <c r="G525" s="1762">
        <f t="shared" si="121"/>
        <v>1</v>
      </c>
      <c r="H525" s="1769"/>
      <c r="I525" s="1762">
        <f t="shared" si="122"/>
        <v>1</v>
      </c>
      <c r="J525" s="1769"/>
      <c r="K525" s="1762">
        <f t="shared" si="123"/>
        <v>1</v>
      </c>
      <c r="L525" s="1769"/>
      <c r="M525" s="1762">
        <f t="shared" si="124"/>
        <v>1</v>
      </c>
      <c r="N525" s="1769"/>
      <c r="O525" s="1762">
        <f t="shared" si="125"/>
        <v>1</v>
      </c>
      <c r="P525" s="1769"/>
      <c r="Q525" s="1762">
        <f t="shared" si="126"/>
        <v>1</v>
      </c>
      <c r="R525" s="1833">
        <f ca="1" t="shared" si="131"/>
        <v>0</v>
      </c>
      <c r="S525" s="1716">
        <f ca="1" t="shared" si="132"/>
        <v>0</v>
      </c>
      <c r="T525" s="1768">
        <f ca="1" t="shared" si="133"/>
        <v>0</v>
      </c>
      <c r="U525" s="1838">
        <f t="shared" si="127"/>
        <v>0</v>
      </c>
      <c r="V525" s="1838">
        <f t="shared" si="128"/>
        <v>0</v>
      </c>
      <c r="W525" s="1840"/>
      <c r="X525" s="1838">
        <f t="shared" si="129"/>
        <v>0</v>
      </c>
      <c r="Y525" s="1838">
        <f t="shared" si="130"/>
        <v>0</v>
      </c>
      <c r="Z525" s="1840"/>
    </row>
    <row r="526" spans="1:26">
      <c r="A526" s="1770"/>
      <c r="B526" s="1771"/>
      <c r="C526" s="1762">
        <f t="shared" si="119"/>
        <v>1</v>
      </c>
      <c r="D526" s="1769"/>
      <c r="E526" s="1762">
        <f t="shared" si="120"/>
        <v>1</v>
      </c>
      <c r="F526" s="1769"/>
      <c r="G526" s="1762">
        <f t="shared" si="121"/>
        <v>1</v>
      </c>
      <c r="H526" s="1769"/>
      <c r="I526" s="1762">
        <f t="shared" si="122"/>
        <v>1</v>
      </c>
      <c r="J526" s="1769"/>
      <c r="K526" s="1762">
        <f t="shared" si="123"/>
        <v>1</v>
      </c>
      <c r="L526" s="1769"/>
      <c r="M526" s="1762">
        <f t="shared" si="124"/>
        <v>1</v>
      </c>
      <c r="N526" s="1769"/>
      <c r="O526" s="1762">
        <f t="shared" si="125"/>
        <v>1</v>
      </c>
      <c r="P526" s="1769"/>
      <c r="Q526" s="1762">
        <f t="shared" si="126"/>
        <v>1</v>
      </c>
      <c r="R526" s="1833">
        <f ca="1" t="shared" si="131"/>
        <v>0</v>
      </c>
      <c r="S526" s="1716">
        <f ca="1" t="shared" si="132"/>
        <v>0</v>
      </c>
      <c r="T526" s="1768">
        <f ca="1" t="shared" si="133"/>
        <v>0</v>
      </c>
      <c r="U526" s="1838">
        <f t="shared" si="127"/>
        <v>0</v>
      </c>
      <c r="V526" s="1838">
        <f t="shared" si="128"/>
        <v>0</v>
      </c>
      <c r="W526" s="1840"/>
      <c r="X526" s="1838">
        <f t="shared" si="129"/>
        <v>0</v>
      </c>
      <c r="Y526" s="1838">
        <f t="shared" si="130"/>
        <v>0</v>
      </c>
      <c r="Z526" s="1840"/>
    </row>
    <row r="527" spans="1:26">
      <c r="A527" s="1770"/>
      <c r="B527" s="1771"/>
      <c r="C527" s="1762">
        <f t="shared" si="119"/>
        <v>1</v>
      </c>
      <c r="D527" s="1769"/>
      <c r="E527" s="1762">
        <f t="shared" si="120"/>
        <v>1</v>
      </c>
      <c r="F527" s="1769"/>
      <c r="G527" s="1762">
        <f t="shared" si="121"/>
        <v>1</v>
      </c>
      <c r="H527" s="1769"/>
      <c r="I527" s="1762">
        <f t="shared" si="122"/>
        <v>1</v>
      </c>
      <c r="J527" s="1769"/>
      <c r="K527" s="1762">
        <f t="shared" si="123"/>
        <v>1</v>
      </c>
      <c r="L527" s="1769"/>
      <c r="M527" s="1762">
        <f t="shared" si="124"/>
        <v>1</v>
      </c>
      <c r="N527" s="1769"/>
      <c r="O527" s="1762">
        <f t="shared" si="125"/>
        <v>1</v>
      </c>
      <c r="P527" s="1769"/>
      <c r="Q527" s="1762">
        <f t="shared" si="126"/>
        <v>1</v>
      </c>
      <c r="R527" s="1833">
        <f ca="1" t="shared" si="131"/>
        <v>0</v>
      </c>
      <c r="S527" s="1716">
        <f ca="1" t="shared" si="132"/>
        <v>0</v>
      </c>
      <c r="T527" s="1768">
        <f ca="1" t="shared" si="133"/>
        <v>0</v>
      </c>
      <c r="U527" s="1838">
        <f t="shared" si="127"/>
        <v>0</v>
      </c>
      <c r="V527" s="1838">
        <f t="shared" si="128"/>
        <v>0</v>
      </c>
      <c r="W527" s="1840"/>
      <c r="X527" s="1838">
        <f t="shared" si="129"/>
        <v>0</v>
      </c>
      <c r="Y527" s="1838">
        <f t="shared" si="130"/>
        <v>0</v>
      </c>
      <c r="Z527" s="1840"/>
    </row>
  </sheetData>
  <sheetProtection password="CEE9" sheet="1" formatCells="0" formatColumns="0" formatRows="0" objects="1" scenarios="1"/>
  <mergeCells count="2">
    <mergeCell ref="C4:S4"/>
    <mergeCell ref="C25:Q25"/>
  </mergeCells>
  <conditionalFormatting sqref="C27:C527 E27:E527 G27:G527 I27:I527 K27:K527 M27:M527 O27:O527 Q27:Q527">
    <cfRule type="cellIs" dxfId="10" priority="1" operator="notEqual">
      <formula>1</formula>
    </cfRule>
  </conditionalFormatting>
  <dataValidations count="9">
    <dataValidation type="list" allowBlank="1" showInputMessage="1" showErrorMessage="1" sqref="F23">
      <formula1>"需扣减承租人权益,——"</formula1>
    </dataValidation>
    <dataValidation type="list" allowBlank="1" showInputMessage="1" showErrorMessage="1" sqref="H27:H527">
      <formula1>一修多修正项4</formula1>
    </dataValidation>
    <dataValidation type="list" allowBlank="1" showInputMessage="1" showErrorMessage="1" sqref="J27:J527">
      <formula1>一修多修正项5</formula1>
    </dataValidation>
    <dataValidation type="list" allowBlank="1" showInputMessage="1" showErrorMessage="1" sqref="J23">
      <formula1>估价方法</formula1>
    </dataValidation>
    <dataValidation type="list" allowBlank="1" showInputMessage="1" showErrorMessage="1" sqref="L27:L527">
      <formula1>一修多修正项6</formula1>
    </dataValidation>
    <dataValidation type="list" allowBlank="1" showInputMessage="1" showErrorMessage="1" sqref="D27:D527">
      <formula1>一修多修正项2</formula1>
    </dataValidation>
    <dataValidation type="list" allowBlank="1" showInputMessage="1" showErrorMessage="1" sqref="N27:N527">
      <formula1>一修多修正项7</formula1>
    </dataValidation>
    <dataValidation type="list" allowBlank="1" showInputMessage="1" showErrorMessage="1" sqref="F27:F527">
      <formula1>一修多修正项3</formula1>
    </dataValidation>
    <dataValidation type="list" allowBlank="1" showInputMessage="1" showErrorMessage="1" sqref="P27:P527">
      <formula1>一修多修正项8</formula1>
    </dataValidation>
  </dataValidations>
  <pageMargins left="0.708661417322835" right="0.708661417322835" top="0.748031496062992" bottom="0.748031496062992" header="0.31496062992126" footer="0.31496062992126"/>
  <pageSetup paperSize="9" scale="43" orientation="portrait"/>
  <headerFooter/>
  <legacyDrawing r:id="rId2"/>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4">
    <tabColor rgb="FF92D050"/>
    <pageSetUpPr fitToPage="1"/>
  </sheetPr>
  <dimension ref="A1:AC131"/>
  <sheetViews>
    <sheetView view="pageBreakPreview" zoomScale="60" zoomScaleNormal="70" workbookViewId="0">
      <selection activeCell="C13" sqref="C13:H13"/>
    </sheetView>
  </sheetViews>
  <sheetFormatPr defaultColWidth="9" defaultRowHeight="14.25"/>
  <cols>
    <col min="1" max="1" width="10.5" style="581" customWidth="1"/>
    <col min="2" max="2" width="15.75" style="581" customWidth="1"/>
    <col min="3" max="3" width="14.375" style="581" customWidth="1"/>
    <col min="4" max="4" width="12.25" style="581" customWidth="1"/>
    <col min="5" max="5" width="14.375" style="581" customWidth="1"/>
    <col min="6" max="6" width="12.25" style="581" customWidth="1"/>
    <col min="7" max="7" width="14.5" style="581" customWidth="1"/>
    <col min="8" max="8" width="12.25" style="581" customWidth="1"/>
    <col min="9" max="9" width="14.5" style="581" customWidth="1"/>
    <col min="10" max="10" width="12.25" style="581" customWidth="1"/>
    <col min="11" max="11" width="12.25" style="1087" customWidth="1"/>
    <col min="12" max="12" width="12.25" style="1088" customWidth="1"/>
    <col min="13" max="15" width="12.25" style="581" customWidth="1"/>
    <col min="16" max="16" width="4.75" style="1662" customWidth="1"/>
    <col min="17" max="17" width="19.5" style="581" customWidth="1"/>
    <col min="18" max="22" width="6.125" style="581" customWidth="1"/>
    <col min="23" max="23" width="5.75" style="581" customWidth="1"/>
    <col min="24" max="24" width="4.25" style="581" customWidth="1"/>
    <col min="25" max="25" width="3.5" style="581" customWidth="1"/>
    <col min="26" max="26" width="19.75" style="581" customWidth="1"/>
    <col min="27" max="28" width="9.375" style="581" customWidth="1"/>
    <col min="29" max="16384" width="9" style="581"/>
  </cols>
  <sheetData>
    <row r="1" s="1574" customFormat="1" ht="28.5" customHeight="1" spans="1:29">
      <c r="A1" s="1576" t="s">
        <v>1026</v>
      </c>
      <c r="B1" s="1577" t="s">
        <v>1469</v>
      </c>
      <c r="C1" s="1578"/>
      <c r="D1" s="1663"/>
      <c r="E1" s="1579"/>
      <c r="F1" s="1580" t="s">
        <v>1030</v>
      </c>
      <c r="G1" s="1577"/>
      <c r="H1" s="1577"/>
      <c r="I1" s="1577"/>
      <c r="J1" s="1577"/>
      <c r="K1" s="1634"/>
      <c r="L1" s="1635"/>
      <c r="M1" s="1577"/>
      <c r="N1" s="1577"/>
      <c r="O1" s="1577"/>
      <c r="P1" s="1684"/>
      <c r="Q1" s="1698"/>
      <c r="R1" s="1698"/>
      <c r="S1" s="1698"/>
      <c r="T1" s="1698"/>
      <c r="U1" s="1698"/>
      <c r="V1" s="1698"/>
      <c r="W1" s="1698"/>
      <c r="X1" s="1698"/>
      <c r="Y1" s="1698"/>
      <c r="Z1" s="1698"/>
      <c r="AA1" s="1698"/>
      <c r="AB1" s="1698"/>
      <c r="AC1" s="1649"/>
    </row>
    <row r="2" s="1079" customFormat="1" ht="28.5" customHeight="1" spans="1:29">
      <c r="A2" s="1581" t="s">
        <v>868</v>
      </c>
      <c r="B2" s="1582" t="e">
        <f ca="1">IF(D2="——",IF(C2="元",ROUND(C49*D3,0),ROUND(C49*D3/10000,0)),IF(C2="元",ROUND(C49*D3,0),ROUND(C49*D3/10000,0))-E2)</f>
        <v>#DIV/0!</v>
      </c>
      <c r="C2" s="1583" t="str">
        <f>'数据-取费表'!B3</f>
        <v>元</v>
      </c>
      <c r="D2" s="1584"/>
      <c r="E2" s="1664" t="e">
        <f ca="1">SUMIF(INDIRECT("'"&amp;G2&amp;"'"&amp;"!A:A"),"承租人权益价值",INDIRECT("'"&amp;G2&amp;"'"&amp;"!c:c"))</f>
        <v>#REF!</v>
      </c>
      <c r="F2" s="1586" t="str">
        <f>C2</f>
        <v>元</v>
      </c>
      <c r="G2" s="1587"/>
      <c r="H2" s="1095"/>
      <c r="I2" s="1095"/>
      <c r="J2" s="1095"/>
      <c r="K2" s="1095"/>
      <c r="L2" s="1233"/>
      <c r="M2" s="1095"/>
      <c r="N2" s="1095"/>
      <c r="O2" s="1095"/>
      <c r="P2" s="1685"/>
      <c r="Q2" s="1231"/>
      <c r="R2" s="1231"/>
      <c r="S2" s="1231"/>
      <c r="T2" s="1231"/>
      <c r="U2" s="1231"/>
      <c r="V2" s="1231"/>
      <c r="W2" s="1231"/>
      <c r="X2" s="1231"/>
      <c r="Y2" s="1231"/>
      <c r="Z2" s="1231"/>
      <c r="AA2" s="1231"/>
      <c r="AB2" s="1231"/>
      <c r="AC2" s="1304"/>
    </row>
    <row r="3" s="1079" customFormat="1" ht="28.5" customHeight="1" spans="1:29">
      <c r="A3" s="402" t="s">
        <v>869</v>
      </c>
      <c r="B3" s="1097" t="e">
        <f ca="1">ROUND(IF(D2="——",C49,IF(C2="万元",B2*10000/D3,B2/D3)),0)</f>
        <v>#DIV/0!</v>
      </c>
      <c r="C3" s="1588" t="s">
        <v>1031</v>
      </c>
      <c r="D3" s="1588">
        <f>IF(C1="仅计算典型户型",'数据-取费表'!E5,'数据-取费表'!B5)</f>
        <v>246.59</v>
      </c>
      <c r="F3" s="1096"/>
      <c r="G3" s="1095"/>
      <c r="H3" s="1095"/>
      <c r="I3" s="1095"/>
      <c r="J3" s="1095"/>
      <c r="K3" s="1232"/>
      <c r="L3" s="1233"/>
      <c r="M3" s="1095"/>
      <c r="N3" s="1095"/>
      <c r="O3" s="1095"/>
      <c r="P3" s="1685"/>
      <c r="Q3" s="1231"/>
      <c r="R3" s="1231"/>
      <c r="S3" s="1231"/>
      <c r="T3" s="1231"/>
      <c r="U3" s="1231"/>
      <c r="V3" s="1231"/>
      <c r="W3" s="1231"/>
      <c r="X3" s="1231"/>
      <c r="Y3" s="1231"/>
      <c r="Z3" s="1231"/>
      <c r="AA3" s="1231"/>
      <c r="AB3" s="1231"/>
      <c r="AC3" s="1307"/>
    </row>
    <row r="4" ht="15" spans="1:29">
      <c r="A4" s="1098" t="s">
        <v>1032</v>
      </c>
      <c r="B4" s="1099"/>
      <c r="C4" s="602" t="s">
        <v>1033</v>
      </c>
      <c r="D4" s="612"/>
      <c r="E4" s="1100" t="s">
        <v>1034</v>
      </c>
      <c r="F4" s="1101"/>
      <c r="G4" s="602" t="s">
        <v>1035</v>
      </c>
      <c r="H4" s="612"/>
      <c r="I4" s="602" t="s">
        <v>1036</v>
      </c>
      <c r="J4" s="612"/>
      <c r="K4" s="1234" t="s">
        <v>1037</v>
      </c>
      <c r="L4" s="1235"/>
      <c r="M4" s="1236"/>
      <c r="N4" s="1236"/>
      <c r="O4" s="1236"/>
      <c r="P4" s="1237" t="s">
        <v>1038</v>
      </c>
      <c r="Q4" s="580"/>
      <c r="R4" s="1279" t="s">
        <v>1034</v>
      </c>
      <c r="S4" s="1280"/>
      <c r="T4" s="1279" t="s">
        <v>1035</v>
      </c>
      <c r="U4" s="1280"/>
      <c r="V4" s="1281" t="s">
        <v>1036</v>
      </c>
      <c r="W4" s="1281"/>
      <c r="X4" s="1282"/>
      <c r="Y4" s="1279" t="s">
        <v>1038</v>
      </c>
      <c r="Z4" s="1280"/>
      <c r="AA4" s="1308" t="s">
        <v>1034</v>
      </c>
      <c r="AB4" s="1281" t="s">
        <v>1035</v>
      </c>
      <c r="AC4" s="1308" t="s">
        <v>1036</v>
      </c>
    </row>
    <row r="5" ht="15" spans="1:29">
      <c r="A5" s="1102"/>
      <c r="B5" s="1103"/>
      <c r="C5" s="1104" t="s">
        <v>1039</v>
      </c>
      <c r="D5" s="1105"/>
      <c r="E5" s="1106" t="s">
        <v>1470</v>
      </c>
      <c r="F5" s="1107"/>
      <c r="G5" s="1104" t="s">
        <v>1471</v>
      </c>
      <c r="H5" s="1105"/>
      <c r="I5" s="1104" t="s">
        <v>1472</v>
      </c>
      <c r="J5" s="1105"/>
      <c r="K5" s="1234"/>
      <c r="L5" s="1235"/>
      <c r="M5" s="1236"/>
      <c r="N5" s="1236"/>
      <c r="O5" s="1236"/>
      <c r="P5" s="1238"/>
      <c r="Q5" s="1283"/>
      <c r="R5" s="1284"/>
      <c r="S5" s="1285"/>
      <c r="T5" s="1284"/>
      <c r="U5" s="1285"/>
      <c r="V5" s="1281"/>
      <c r="W5" s="1281"/>
      <c r="X5" s="1282"/>
      <c r="Y5" s="1284"/>
      <c r="Z5" s="1285"/>
      <c r="AA5" s="1282"/>
      <c r="AB5" s="1281"/>
      <c r="AC5" s="1282"/>
    </row>
    <row r="6" ht="15.75" spans="1:29">
      <c r="A6" s="1108"/>
      <c r="B6" s="1109"/>
      <c r="C6" s="1110" t="s">
        <v>1041</v>
      </c>
      <c r="D6" s="1111"/>
      <c r="E6" s="1112" t="s">
        <v>1041</v>
      </c>
      <c r="F6" s="1113"/>
      <c r="G6" s="1110" t="s">
        <v>1041</v>
      </c>
      <c r="H6" s="1111"/>
      <c r="I6" s="1110" t="s">
        <v>1041</v>
      </c>
      <c r="J6" s="1111"/>
      <c r="K6" s="1234" t="s">
        <v>1042</v>
      </c>
      <c r="L6" s="1235"/>
      <c r="M6" s="1236"/>
      <c r="N6" s="1236"/>
      <c r="O6" s="1236"/>
      <c r="P6" s="1239"/>
      <c r="Q6" s="1286"/>
      <c r="R6" s="1284"/>
      <c r="S6" s="1285"/>
      <c r="T6" s="1287"/>
      <c r="U6" s="1288"/>
      <c r="V6" s="1281"/>
      <c r="W6" s="1281"/>
      <c r="X6" s="1282"/>
      <c r="Y6" s="1287"/>
      <c r="Z6" s="1288"/>
      <c r="AA6" s="1309"/>
      <c r="AB6" s="1281"/>
      <c r="AC6" s="1309"/>
    </row>
    <row r="7" s="1080" customFormat="1" ht="15.75" spans="1:29">
      <c r="A7" s="1114" t="s">
        <v>1043</v>
      </c>
      <c r="B7" s="1115"/>
      <c r="C7" s="1116">
        <f>'数据-取费表'!B2</f>
        <v>44567</v>
      </c>
      <c r="D7" s="1117">
        <v>100</v>
      </c>
      <c r="E7" s="1118"/>
      <c r="F7" s="1119">
        <f>SUMIF(58:58,YEAR(E7)&amp;"-"&amp;MONTH(E7),59:59)</f>
        <v>0</v>
      </c>
      <c r="G7" s="1118"/>
      <c r="H7" s="1117">
        <f>SUMIF(58:58,YEAR(G7)&amp;"-"&amp;MONTH(G7),59:59)</f>
        <v>0</v>
      </c>
      <c r="I7" s="1118"/>
      <c r="J7" s="1117">
        <f>SUMIF(58:58,YEAR(I7)&amp;"-"&amp;MONTH(I7),59:59)</f>
        <v>0</v>
      </c>
      <c r="K7" s="1240"/>
      <c r="L7" s="1235"/>
      <c r="M7" s="1241"/>
      <c r="N7" s="1241"/>
      <c r="O7" s="1241"/>
      <c r="P7" s="1242" t="s">
        <v>1044</v>
      </c>
      <c r="Q7" s="1289"/>
      <c r="R7" s="1290" t="s">
        <v>1045</v>
      </c>
      <c r="S7" s="1291">
        <f t="shared" ref="S7:S15" si="0">F7</f>
        <v>0</v>
      </c>
      <c r="T7" s="1290" t="s">
        <v>1045</v>
      </c>
      <c r="U7" s="1291">
        <f t="shared" ref="U7:U15" si="1">H7</f>
        <v>0</v>
      </c>
      <c r="V7" s="1290" t="s">
        <v>1045</v>
      </c>
      <c r="W7" s="1291">
        <f t="shared" ref="W7:W15" si="2">J7</f>
        <v>0</v>
      </c>
      <c r="X7" s="1292"/>
      <c r="Y7" s="1242" t="s">
        <v>1044</v>
      </c>
      <c r="Z7" s="1293"/>
      <c r="AA7" s="1310" t="e">
        <f>D7/F7</f>
        <v>#DIV/0!</v>
      </c>
      <c r="AB7" s="1310" t="e">
        <f>D7/H7</f>
        <v>#DIV/0!</v>
      </c>
      <c r="AC7" s="1310" t="e">
        <f>D7/J7</f>
        <v>#DIV/0!</v>
      </c>
    </row>
    <row r="8" s="1080" customFormat="1" ht="15.75" spans="1:29">
      <c r="A8" s="1114" t="s">
        <v>1046</v>
      </c>
      <c r="B8" s="1115"/>
      <c r="C8" s="1121" t="s">
        <v>1047</v>
      </c>
      <c r="D8" s="1117">
        <v>100</v>
      </c>
      <c r="E8" s="1121"/>
      <c r="F8" s="1119">
        <f>SUMIF(61:61,E8,62:62)-SUMIF(61:61,C8,62:62)+100</f>
        <v>0</v>
      </c>
      <c r="G8" s="1121"/>
      <c r="H8" s="1117">
        <f>SUMIF(61:61,G8,62:62)-SUMIF(61:61,C8,62:62)+100</f>
        <v>0</v>
      </c>
      <c r="I8" s="1121"/>
      <c r="J8" s="1117">
        <f>SUMIF(61:61,I8,62:62)-SUMIF(61:61,C8,62:62)+100</f>
        <v>0</v>
      </c>
      <c r="K8" s="1240"/>
      <c r="L8" s="1235"/>
      <c r="M8" s="1241"/>
      <c r="N8" s="1241"/>
      <c r="O8" s="1241"/>
      <c r="P8" s="1242" t="s">
        <v>1049</v>
      </c>
      <c r="Q8" s="1293"/>
      <c r="R8" s="1290" t="s">
        <v>1045</v>
      </c>
      <c r="S8" s="1291">
        <f t="shared" si="0"/>
        <v>0</v>
      </c>
      <c r="T8" s="1290" t="s">
        <v>1045</v>
      </c>
      <c r="U8" s="1291">
        <f t="shared" si="1"/>
        <v>0</v>
      </c>
      <c r="V8" s="1290" t="s">
        <v>1045</v>
      </c>
      <c r="W8" s="1291">
        <f t="shared" si="2"/>
        <v>0</v>
      </c>
      <c r="X8" s="1292"/>
      <c r="Y8" s="1242" t="s">
        <v>1049</v>
      </c>
      <c r="Z8" s="1293"/>
      <c r="AA8" s="1310" t="e">
        <f t="shared" ref="AA8:AA46" si="3">D8/F8</f>
        <v>#DIV/0!</v>
      </c>
      <c r="AB8" s="1310" t="e">
        <f t="shared" ref="AB8:AB46" si="4">D8/H8</f>
        <v>#DIV/0!</v>
      </c>
      <c r="AC8" s="1310" t="e">
        <f t="shared" ref="AC8:AC46" si="5">D8/J8</f>
        <v>#DIV/0!</v>
      </c>
    </row>
    <row r="9" s="1080" customFormat="1" spans="1:29">
      <c r="A9" s="1122" t="s">
        <v>1050</v>
      </c>
      <c r="B9" s="1123" t="s">
        <v>1051</v>
      </c>
      <c r="C9" s="1589"/>
      <c r="D9" s="1125">
        <v>100</v>
      </c>
      <c r="E9" s="1591"/>
      <c r="F9" s="1665">
        <f>SUMIF(63:63,E9,64:64)-SUMIF(63:63,C9,64:64)+100</f>
        <v>100</v>
      </c>
      <c r="G9" s="1591"/>
      <c r="H9" s="1125">
        <f>SUMIF(63:63,G9,64:64)-SUMIF(63:63,C9,64:64)+100</f>
        <v>100</v>
      </c>
      <c r="I9" s="1591"/>
      <c r="J9" s="1125">
        <f>SUMIF(63:63,I9,64:64)-SUMIF(63:63,C9,64:64)+100</f>
        <v>100</v>
      </c>
      <c r="K9" s="1240"/>
      <c r="L9" s="1235"/>
      <c r="M9" s="1241"/>
      <c r="N9" s="1241"/>
      <c r="O9" s="1241"/>
      <c r="P9" s="1686" t="s">
        <v>1052</v>
      </c>
      <c r="Q9" s="1294" t="str">
        <f t="shared" ref="Q9:Q15" si="6">B9</f>
        <v>用途</v>
      </c>
      <c r="R9" s="1290" t="s">
        <v>1045</v>
      </c>
      <c r="S9" s="1291">
        <f t="shared" si="0"/>
        <v>100</v>
      </c>
      <c r="T9" s="1290" t="s">
        <v>1045</v>
      </c>
      <c r="U9" s="1291">
        <f t="shared" si="1"/>
        <v>100</v>
      </c>
      <c r="V9" s="1290" t="s">
        <v>1045</v>
      </c>
      <c r="W9" s="1291">
        <f t="shared" si="2"/>
        <v>100</v>
      </c>
      <c r="X9" s="1292"/>
      <c r="Y9" s="1294" t="s">
        <v>1053</v>
      </c>
      <c r="Z9" s="1311" t="str">
        <f t="shared" ref="Z9:Z15" si="7">Q9</f>
        <v>用途</v>
      </c>
      <c r="AA9" s="1310">
        <f t="shared" si="3"/>
        <v>1</v>
      </c>
      <c r="AB9" s="1310">
        <f t="shared" si="4"/>
        <v>1</v>
      </c>
      <c r="AC9" s="1310">
        <f t="shared" si="5"/>
        <v>1</v>
      </c>
    </row>
    <row r="10" s="1081" customFormat="1" ht="27" spans="1:29">
      <c r="A10" s="1126"/>
      <c r="B10" s="1127" t="s">
        <v>1054</v>
      </c>
      <c r="C10" s="1592"/>
      <c r="D10" s="1129">
        <v>100</v>
      </c>
      <c r="E10" s="1593"/>
      <c r="F10" s="1611">
        <f>SUMIF(65:65,E10,66:66)-SUMIF(65:65,C10,66:66)+100</f>
        <v>100</v>
      </c>
      <c r="G10" s="1592"/>
      <c r="H10" s="1129">
        <f>SUMIF(65:65,G10,66:66)-SUMIF(65:65,C10,66:66)+100</f>
        <v>100</v>
      </c>
      <c r="I10" s="1592"/>
      <c r="J10" s="1129">
        <f>SUMIF(65:65,I10,66:66)-SUMIF(65:65,C10,66:66)+100</f>
        <v>100</v>
      </c>
      <c r="K10" s="1262"/>
      <c r="L10" s="1245"/>
      <c r="M10" s="1246"/>
      <c r="N10" s="1246"/>
      <c r="O10" s="1246"/>
      <c r="P10" s="1686"/>
      <c r="Q10" s="1294" t="str">
        <f t="shared" si="6"/>
        <v>土地使用年限（年）</v>
      </c>
      <c r="R10" s="1290" t="s">
        <v>1045</v>
      </c>
      <c r="S10" s="1291">
        <f t="shared" si="0"/>
        <v>100</v>
      </c>
      <c r="T10" s="1290" t="s">
        <v>1045</v>
      </c>
      <c r="U10" s="1291">
        <f t="shared" si="1"/>
        <v>100</v>
      </c>
      <c r="V10" s="1290" t="s">
        <v>1045</v>
      </c>
      <c r="W10" s="1291">
        <f t="shared" si="2"/>
        <v>100</v>
      </c>
      <c r="X10" s="1292"/>
      <c r="Y10" s="1294"/>
      <c r="Z10" s="1311" t="str">
        <f t="shared" si="7"/>
        <v>土地使用年限（年）</v>
      </c>
      <c r="AA10" s="1310">
        <f t="shared" si="3"/>
        <v>1</v>
      </c>
      <c r="AB10" s="1310">
        <f t="shared" si="4"/>
        <v>1</v>
      </c>
      <c r="AC10" s="1310">
        <f t="shared" si="5"/>
        <v>1</v>
      </c>
    </row>
    <row r="11" ht="15" spans="1:29">
      <c r="A11" s="504"/>
      <c r="B11" s="1127" t="s">
        <v>1056</v>
      </c>
      <c r="C11" s="1132"/>
      <c r="D11" s="1129">
        <v>100</v>
      </c>
      <c r="E11" s="1133"/>
      <c r="F11" s="1611" t="e">
        <f>LOOKUP(E11,68:68,69:69)-LOOKUP(C11,68:68,69:69)+100</f>
        <v>#N/A</v>
      </c>
      <c r="G11" s="1132"/>
      <c r="H11" s="1129" t="e">
        <f>LOOKUP(G11,68:68,69:69)-LOOKUP(C11,68:68,69:69)+100</f>
        <v>#N/A</v>
      </c>
      <c r="I11" s="1132"/>
      <c r="J11" s="1129" t="e">
        <f>LOOKUP(I11,68:68,69:69)-LOOKUP(C11,68:68,69:69)+100</f>
        <v>#N/A</v>
      </c>
      <c r="K11" s="1262"/>
      <c r="L11" s="1249"/>
      <c r="M11" s="1236"/>
      <c r="N11" s="1236"/>
      <c r="O11" s="1236"/>
      <c r="P11" s="1686"/>
      <c r="Q11" s="1294" t="str">
        <f t="shared" si="6"/>
        <v>容积率</v>
      </c>
      <c r="R11" s="1290" t="s">
        <v>1045</v>
      </c>
      <c r="S11" s="1291" t="e">
        <f t="shared" si="0"/>
        <v>#N/A</v>
      </c>
      <c r="T11" s="1290" t="s">
        <v>1045</v>
      </c>
      <c r="U11" s="1291" t="e">
        <f t="shared" si="1"/>
        <v>#N/A</v>
      </c>
      <c r="V11" s="1290" t="s">
        <v>1045</v>
      </c>
      <c r="W11" s="1291" t="e">
        <f t="shared" si="2"/>
        <v>#N/A</v>
      </c>
      <c r="X11" s="1292"/>
      <c r="Y11" s="1294"/>
      <c r="Z11" s="1311" t="str">
        <f t="shared" si="7"/>
        <v>容积率</v>
      </c>
      <c r="AA11" s="1310" t="e">
        <f t="shared" si="3"/>
        <v>#N/A</v>
      </c>
      <c r="AB11" s="1310" t="e">
        <f t="shared" si="4"/>
        <v>#N/A</v>
      </c>
      <c r="AC11" s="1310" t="e">
        <f t="shared" si="5"/>
        <v>#N/A</v>
      </c>
    </row>
    <row r="12" s="1080" customFormat="1" ht="15" spans="1:29">
      <c r="A12" s="1134"/>
      <c r="B12" s="1135">
        <v>111</v>
      </c>
      <c r="C12" s="1128"/>
      <c r="D12" s="1136">
        <v>100</v>
      </c>
      <c r="E12" s="1137"/>
      <c r="F12" s="1611">
        <f>SUMIF(70:70,E12,71:71)-SUMIF(70:70,C12,71:71)+100</f>
        <v>100</v>
      </c>
      <c r="G12" s="1137"/>
      <c r="H12" s="1129">
        <f>SUMIF(70:70,G12,71:71)-SUMIF(70:70,C12,71:71)+100</f>
        <v>100</v>
      </c>
      <c r="I12" s="1137"/>
      <c r="J12" s="1129">
        <f>SUMIF(70:70,I12,71:71)-SUMIF(70:70,C12,71:71)+100</f>
        <v>100</v>
      </c>
      <c r="K12" s="1260"/>
      <c r="L12" s="1235"/>
      <c r="M12" s="1241"/>
      <c r="N12" s="1241"/>
      <c r="O12" s="1241"/>
      <c r="P12" s="1686"/>
      <c r="Q12" s="1294">
        <f t="shared" si="6"/>
        <v>111</v>
      </c>
      <c r="R12" s="1290" t="s">
        <v>1045</v>
      </c>
      <c r="S12" s="1291">
        <f t="shared" si="0"/>
        <v>100</v>
      </c>
      <c r="T12" s="1290" t="s">
        <v>1045</v>
      </c>
      <c r="U12" s="1291">
        <f t="shared" si="1"/>
        <v>100</v>
      </c>
      <c r="V12" s="1290" t="s">
        <v>1045</v>
      </c>
      <c r="W12" s="1291">
        <f t="shared" si="2"/>
        <v>100</v>
      </c>
      <c r="X12" s="1292"/>
      <c r="Y12" s="1294"/>
      <c r="Z12" s="1311">
        <f t="shared" si="7"/>
        <v>111</v>
      </c>
      <c r="AA12" s="1310">
        <f t="shared" si="3"/>
        <v>1</v>
      </c>
      <c r="AB12" s="1310">
        <f t="shared" si="4"/>
        <v>1</v>
      </c>
      <c r="AC12" s="1310">
        <f t="shared" si="5"/>
        <v>1</v>
      </c>
    </row>
    <row r="13" ht="15" spans="1:29">
      <c r="A13" s="504"/>
      <c r="B13" s="1135">
        <v>111</v>
      </c>
      <c r="C13" s="1137"/>
      <c r="D13" s="1138">
        <v>100</v>
      </c>
      <c r="E13" s="1137"/>
      <c r="F13" s="1611">
        <f>SUMIF(72:72,E13,73:73)-SUMIF(72:72,C13,73:73)+100</f>
        <v>100</v>
      </c>
      <c r="G13" s="1137"/>
      <c r="H13" s="1138">
        <f>SUMIF(72:72,G13,73:73)-SUMIF(72:72,C13,73:73)+100</f>
        <v>100</v>
      </c>
      <c r="I13" s="1137"/>
      <c r="J13" s="1138">
        <f>SUMIF(72:72,I13,73:73)-SUMIF(72:72,C13,73:73)+100</f>
        <v>100</v>
      </c>
      <c r="K13" s="1260"/>
      <c r="L13" s="1251"/>
      <c r="M13" s="1236"/>
      <c r="N13" s="1236"/>
      <c r="O13" s="1236"/>
      <c r="P13" s="1686"/>
      <c r="Q13" s="1294">
        <f t="shared" si="6"/>
        <v>111</v>
      </c>
      <c r="R13" s="1290" t="s">
        <v>1045</v>
      </c>
      <c r="S13" s="1291">
        <f t="shared" si="0"/>
        <v>100</v>
      </c>
      <c r="T13" s="1290" t="s">
        <v>1045</v>
      </c>
      <c r="U13" s="1291">
        <f t="shared" si="1"/>
        <v>100</v>
      </c>
      <c r="V13" s="1290" t="s">
        <v>1045</v>
      </c>
      <c r="W13" s="1291">
        <f t="shared" si="2"/>
        <v>100</v>
      </c>
      <c r="X13" s="1292"/>
      <c r="Y13" s="1294"/>
      <c r="Z13" s="1311">
        <f t="shared" si="7"/>
        <v>111</v>
      </c>
      <c r="AA13" s="1310">
        <f t="shared" si="3"/>
        <v>1</v>
      </c>
      <c r="AB13" s="1310">
        <f t="shared" si="4"/>
        <v>1</v>
      </c>
      <c r="AC13" s="1310">
        <f t="shared" si="5"/>
        <v>1</v>
      </c>
    </row>
    <row r="14" ht="15.75" spans="1:29">
      <c r="A14" s="1141"/>
      <c r="B14" s="1142">
        <v>111</v>
      </c>
      <c r="C14" s="1143"/>
      <c r="D14" s="1144">
        <v>100</v>
      </c>
      <c r="E14" s="1137"/>
      <c r="F14" s="1616">
        <f>SUMIF(74:74,E14,75:75)-SUMIF(74:74,C14,75:75)+100</f>
        <v>100</v>
      </c>
      <c r="G14" s="1137"/>
      <c r="H14" s="1144">
        <f>SUMIF(74:74,G14,75:75)-SUMIF(74:74,C14,75:75)+100</f>
        <v>100</v>
      </c>
      <c r="I14" s="1137"/>
      <c r="J14" s="1144">
        <f>SUMIF(74:74,I14,75:75)-SUMIF(74:74,C14,75:75)+100</f>
        <v>100</v>
      </c>
      <c r="K14" s="1260"/>
      <c r="L14" s="1251"/>
      <c r="M14" s="1236"/>
      <c r="N14" s="1236"/>
      <c r="O14" s="1236"/>
      <c r="P14" s="1686"/>
      <c r="Q14" s="1294">
        <f t="shared" si="6"/>
        <v>111</v>
      </c>
      <c r="R14" s="1290" t="s">
        <v>1045</v>
      </c>
      <c r="S14" s="1291">
        <f t="shared" si="0"/>
        <v>100</v>
      </c>
      <c r="T14" s="1290" t="s">
        <v>1045</v>
      </c>
      <c r="U14" s="1291">
        <f t="shared" si="1"/>
        <v>100</v>
      </c>
      <c r="V14" s="1290" t="s">
        <v>1045</v>
      </c>
      <c r="W14" s="1291">
        <f t="shared" si="2"/>
        <v>100</v>
      </c>
      <c r="X14" s="1292"/>
      <c r="Y14" s="1294"/>
      <c r="Z14" s="1311">
        <f t="shared" si="7"/>
        <v>111</v>
      </c>
      <c r="AA14" s="1310">
        <f t="shared" si="3"/>
        <v>1</v>
      </c>
      <c r="AB14" s="1310">
        <f t="shared" si="4"/>
        <v>1</v>
      </c>
      <c r="AC14" s="1310">
        <f t="shared" si="5"/>
        <v>1</v>
      </c>
    </row>
    <row r="15" ht="68.25" spans="1:29">
      <c r="A15" s="480" t="s">
        <v>1057</v>
      </c>
      <c r="B15" s="1666" t="s">
        <v>206</v>
      </c>
      <c r="C15" s="1667" t="str">
        <f>估价对象房地状况!C4</f>
        <v>估价对象位于XX商圈，周边商业氛围成熟，人流量大，商业繁华度好</v>
      </c>
      <c r="D15" s="1147">
        <v>100</v>
      </c>
      <c r="E15" s="1148"/>
      <c r="F15" s="1668">
        <f>SUMIF(76:76,E16,77:77)-SUMIF(76:76,C16,77:77)+100</f>
        <v>100</v>
      </c>
      <c r="G15" s="1252"/>
      <c r="H15" s="1147">
        <f>SUMIF(76:76,G16,77:77)-SUMIF(76:76,C16,77:77)+100</f>
        <v>100</v>
      </c>
      <c r="I15" s="1148"/>
      <c r="J15" s="1147">
        <f>SUMIF(76:76,I16,77:77)-SUMIF(76:76,C16,77:77)+100</f>
        <v>100</v>
      </c>
      <c r="K15" s="1637"/>
      <c r="L15" s="1251"/>
      <c r="M15" s="1236"/>
      <c r="N15" s="1236"/>
      <c r="O15" s="1236"/>
      <c r="P15" s="490" t="s">
        <v>1058</v>
      </c>
      <c r="Q15" s="491" t="str">
        <f t="shared" si="6"/>
        <v>商业繁华度</v>
      </c>
      <c r="R15" s="1295" t="s">
        <v>1045</v>
      </c>
      <c r="S15" s="1296">
        <f t="shared" si="0"/>
        <v>100</v>
      </c>
      <c r="T15" s="1295" t="s">
        <v>1045</v>
      </c>
      <c r="U15" s="1296">
        <f t="shared" si="1"/>
        <v>100</v>
      </c>
      <c r="V15" s="1295" t="s">
        <v>1045</v>
      </c>
      <c r="W15" s="1296">
        <f t="shared" si="2"/>
        <v>100</v>
      </c>
      <c r="X15" s="1282"/>
      <c r="Y15" s="1253" t="s">
        <v>1058</v>
      </c>
      <c r="Z15" s="1281" t="str">
        <f t="shared" si="7"/>
        <v>商业繁华度</v>
      </c>
      <c r="AA15" s="1312">
        <f t="shared" si="3"/>
        <v>1</v>
      </c>
      <c r="AB15" s="1312">
        <f t="shared" si="4"/>
        <v>1</v>
      </c>
      <c r="AC15" s="1312">
        <f t="shared" si="5"/>
        <v>1</v>
      </c>
    </row>
    <row r="16" ht="15" spans="1:29">
      <c r="A16" s="504"/>
      <c r="B16" s="1669"/>
      <c r="C16" s="1258"/>
      <c r="D16" s="1151"/>
      <c r="E16" s="1258"/>
      <c r="F16" s="1670"/>
      <c r="G16" s="1258"/>
      <c r="H16" s="1153"/>
      <c r="I16" s="1258"/>
      <c r="J16" s="1151"/>
      <c r="K16" s="1638"/>
      <c r="L16" s="1251"/>
      <c r="M16" s="1236"/>
      <c r="N16" s="1236"/>
      <c r="O16" s="1236"/>
      <c r="P16" s="1687"/>
      <c r="Q16" s="491"/>
      <c r="R16" s="1295"/>
      <c r="S16" s="1296"/>
      <c r="T16" s="1295"/>
      <c r="U16" s="1296"/>
      <c r="V16" s="1295"/>
      <c r="W16" s="1296"/>
      <c r="X16" s="1282"/>
      <c r="Y16" s="1254"/>
      <c r="Z16" s="1281"/>
      <c r="AA16" s="1312">
        <v>1</v>
      </c>
      <c r="AB16" s="1312">
        <v>1</v>
      </c>
      <c r="AC16" s="1312">
        <v>1</v>
      </c>
    </row>
    <row r="17" ht="81" spans="1:29">
      <c r="A17" s="504"/>
      <c r="B17" s="1671" t="s">
        <v>209</v>
      </c>
      <c r="C17" s="1672" t="str">
        <f>估价对象房地状况!C6</f>
        <v>估价对象周边道路状况、公共交通通达情况、停车便捷程度，综合评价交通便捷度较好</v>
      </c>
      <c r="D17" s="1153">
        <v>100</v>
      </c>
      <c r="E17" s="1156"/>
      <c r="F17" s="1673">
        <f>SUMIF(78:78,E18,79:79)-SUMIF(78:78,C18,79:79)+100</f>
        <v>100</v>
      </c>
      <c r="G17" s="1166"/>
      <c r="H17" s="1157">
        <f>SUMIF(78:78,G18,79:79)-SUMIF(78:78,C18,79:79)+100</f>
        <v>100</v>
      </c>
      <c r="I17" s="1156"/>
      <c r="J17" s="1157">
        <f>SUMIF(78:78,I18,79:79)-SUMIF(78:78,C18,79:79)+100</f>
        <v>100</v>
      </c>
      <c r="K17" s="1637"/>
      <c r="L17" s="1251"/>
      <c r="M17" s="1236"/>
      <c r="N17" s="1236"/>
      <c r="O17" s="1236"/>
      <c r="P17" s="1687"/>
      <c r="Q17" s="491" t="str">
        <f>B17</f>
        <v>交通便捷度</v>
      </c>
      <c r="R17" s="1295" t="s">
        <v>1045</v>
      </c>
      <c r="S17" s="1296">
        <f>F17</f>
        <v>100</v>
      </c>
      <c r="T17" s="1295" t="s">
        <v>1045</v>
      </c>
      <c r="U17" s="1296">
        <f>H17</f>
        <v>100</v>
      </c>
      <c r="V17" s="1295" t="s">
        <v>1045</v>
      </c>
      <c r="W17" s="1296">
        <f>J17</f>
        <v>100</v>
      </c>
      <c r="X17" s="1282"/>
      <c r="Y17" s="1254"/>
      <c r="Z17" s="1281" t="str">
        <f>Q17</f>
        <v>交通便捷度</v>
      </c>
      <c r="AA17" s="1312">
        <f t="shared" si="3"/>
        <v>1</v>
      </c>
      <c r="AB17" s="1312">
        <f t="shared" si="4"/>
        <v>1</v>
      </c>
      <c r="AC17" s="1312">
        <f t="shared" si="5"/>
        <v>1</v>
      </c>
    </row>
    <row r="18" ht="15" spans="1:29">
      <c r="A18" s="504"/>
      <c r="B18" s="1182"/>
      <c r="C18" s="1674"/>
      <c r="D18" s="1153"/>
      <c r="E18" s="1160"/>
      <c r="F18" s="1673"/>
      <c r="G18" s="1255"/>
      <c r="H18" s="1151"/>
      <c r="I18" s="1160"/>
      <c r="J18" s="1151"/>
      <c r="K18" s="1638"/>
      <c r="L18" s="1251"/>
      <c r="M18" s="1236"/>
      <c r="N18" s="1236"/>
      <c r="O18" s="1236"/>
      <c r="P18" s="1687"/>
      <c r="Q18" s="491"/>
      <c r="R18" s="1295"/>
      <c r="S18" s="1296"/>
      <c r="T18" s="1295"/>
      <c r="U18" s="1296"/>
      <c r="V18" s="1295"/>
      <c r="W18" s="1296"/>
      <c r="X18" s="1282"/>
      <c r="Y18" s="1254"/>
      <c r="Z18" s="1281"/>
      <c r="AA18" s="1312">
        <v>1</v>
      </c>
      <c r="AB18" s="1312">
        <v>1</v>
      </c>
      <c r="AC18" s="1312">
        <v>1</v>
      </c>
    </row>
    <row r="19" ht="40.5" spans="1:29">
      <c r="A19" s="504"/>
      <c r="B19" s="1671" t="s">
        <v>211</v>
      </c>
      <c r="C19" s="1672" t="str">
        <f>估价对象房地状况!C7</f>
        <v>估价对象所在区域公共配套设施齐备情况</v>
      </c>
      <c r="D19" s="1157">
        <v>100</v>
      </c>
      <c r="E19" s="1161"/>
      <c r="F19" s="1675">
        <f>SUMIF(80:80,E20,81:81)-SUMIF(80:80,C20,81:81)+100</f>
        <v>100</v>
      </c>
      <c r="G19" s="1256"/>
      <c r="H19" s="1153">
        <f>SUMIF(80:80,G20,81:81)-SUMIF(80:80,C20,81:81)+100</f>
        <v>100</v>
      </c>
      <c r="I19" s="1161"/>
      <c r="J19" s="1153">
        <f>SUMIF(80:80,I20,81:81)-SUMIF(80:80,C20,81:81)+100</f>
        <v>100</v>
      </c>
      <c r="K19" s="1637"/>
      <c r="L19" s="1251"/>
      <c r="M19" s="1236"/>
      <c r="N19" s="1236"/>
      <c r="O19" s="1236"/>
      <c r="P19" s="1687"/>
      <c r="Q19" s="491" t="str">
        <f>B19</f>
        <v>公共配套设施</v>
      </c>
      <c r="R19" s="1295" t="s">
        <v>1045</v>
      </c>
      <c r="S19" s="1296">
        <f>F19</f>
        <v>100</v>
      </c>
      <c r="T19" s="1295" t="s">
        <v>1045</v>
      </c>
      <c r="U19" s="1296">
        <f>H19</f>
        <v>100</v>
      </c>
      <c r="V19" s="1295" t="s">
        <v>1045</v>
      </c>
      <c r="W19" s="1296">
        <f>J19</f>
        <v>100</v>
      </c>
      <c r="X19" s="1282"/>
      <c r="Y19" s="1254"/>
      <c r="Z19" s="1281" t="str">
        <f>Q19</f>
        <v>公共配套设施</v>
      </c>
      <c r="AA19" s="1312">
        <f t="shared" si="3"/>
        <v>1</v>
      </c>
      <c r="AB19" s="1312">
        <f t="shared" si="4"/>
        <v>1</v>
      </c>
      <c r="AC19" s="1312">
        <f t="shared" si="5"/>
        <v>1</v>
      </c>
    </row>
    <row r="20" ht="15" spans="1:29">
      <c r="A20" s="504"/>
      <c r="B20" s="1182"/>
      <c r="C20" s="1258"/>
      <c r="D20" s="1151"/>
      <c r="E20" s="1152"/>
      <c r="F20" s="1670"/>
      <c r="G20" s="1169"/>
      <c r="H20" s="1151"/>
      <c r="I20" s="1152"/>
      <c r="J20" s="1151"/>
      <c r="K20" s="1638"/>
      <c r="L20" s="1251"/>
      <c r="M20" s="1236"/>
      <c r="N20" s="1236"/>
      <c r="O20" s="1236"/>
      <c r="P20" s="1687"/>
      <c r="Q20" s="491"/>
      <c r="R20" s="1295"/>
      <c r="S20" s="1296"/>
      <c r="T20" s="1295"/>
      <c r="U20" s="1296"/>
      <c r="V20" s="1295"/>
      <c r="W20" s="1296"/>
      <c r="X20" s="1282"/>
      <c r="Y20" s="1254"/>
      <c r="Z20" s="1281"/>
      <c r="AA20" s="1312">
        <v>1</v>
      </c>
      <c r="AB20" s="1312">
        <v>1</v>
      </c>
      <c r="AC20" s="1312">
        <v>1</v>
      </c>
    </row>
    <row r="21" ht="27" spans="1:29">
      <c r="A21" s="504"/>
      <c r="B21" s="1676" t="s">
        <v>212</v>
      </c>
      <c r="C21" s="1672" t="str">
        <f>估价对象房地状况!C8</f>
        <v>估价对象所在区域基础设施水平</v>
      </c>
      <c r="D21" s="1157">
        <v>100</v>
      </c>
      <c r="E21" s="1161"/>
      <c r="F21" s="1675">
        <f>SUMIF(82:82,E22,83:83)-SUMIF(82:82,C22,83:83)+100</f>
        <v>100</v>
      </c>
      <c r="G21" s="1256"/>
      <c r="H21" s="1153">
        <f>SUMIF(82:82,G22,83:83)-SUMIF(82:82,C22,83:83)+100</f>
        <v>100</v>
      </c>
      <c r="I21" s="1161"/>
      <c r="J21" s="1153">
        <f>SUMIF(82:82,I22,83:83)-SUMIF(82:82,C22,83:83)+100</f>
        <v>100</v>
      </c>
      <c r="K21" s="1637"/>
      <c r="L21" s="1251"/>
      <c r="M21" s="1236"/>
      <c r="N21" s="1236"/>
      <c r="O21" s="1236"/>
      <c r="P21" s="1687"/>
      <c r="Q21" s="491" t="str">
        <f>B21</f>
        <v>基础设施水平</v>
      </c>
      <c r="R21" s="1295" t="s">
        <v>1045</v>
      </c>
      <c r="S21" s="1296">
        <f>F21</f>
        <v>100</v>
      </c>
      <c r="T21" s="1295" t="s">
        <v>1045</v>
      </c>
      <c r="U21" s="1296">
        <f>H21</f>
        <v>100</v>
      </c>
      <c r="V21" s="1295" t="s">
        <v>1045</v>
      </c>
      <c r="W21" s="1296">
        <f>J21</f>
        <v>100</v>
      </c>
      <c r="X21" s="1282"/>
      <c r="Y21" s="1254"/>
      <c r="Z21" s="1281" t="str">
        <f>Q21</f>
        <v>基础设施水平</v>
      </c>
      <c r="AA21" s="1312">
        <f t="shared" ref="AA21" si="8">D21/F21</f>
        <v>1</v>
      </c>
      <c r="AB21" s="1312">
        <f t="shared" ref="AB21" si="9">D21/H21</f>
        <v>1</v>
      </c>
      <c r="AC21" s="1312">
        <f t="shared" ref="AC21" si="10">D21/J21</f>
        <v>1</v>
      </c>
    </row>
    <row r="22" ht="15" spans="1:29">
      <c r="A22" s="504"/>
      <c r="B22" s="1676"/>
      <c r="C22" s="1674"/>
      <c r="D22" s="1151"/>
      <c r="E22" s="1258"/>
      <c r="F22" s="1670"/>
      <c r="G22" s="1258"/>
      <c r="H22" s="1151"/>
      <c r="I22" s="1258"/>
      <c r="J22" s="1151"/>
      <c r="K22" s="1639"/>
      <c r="L22" s="1251"/>
      <c r="M22" s="1236"/>
      <c r="N22" s="1236"/>
      <c r="O22" s="1236"/>
      <c r="P22" s="1687"/>
      <c r="Q22" s="491"/>
      <c r="R22" s="1295"/>
      <c r="S22" s="1296"/>
      <c r="T22" s="1295"/>
      <c r="U22" s="1296"/>
      <c r="V22" s="1295"/>
      <c r="W22" s="1296"/>
      <c r="X22" s="1282"/>
      <c r="Y22" s="1254"/>
      <c r="Z22" s="1281"/>
      <c r="AA22" s="1312">
        <v>1</v>
      </c>
      <c r="AB22" s="1312">
        <v>1</v>
      </c>
      <c r="AC22" s="1312">
        <v>1</v>
      </c>
    </row>
    <row r="23" ht="54" spans="1:29">
      <c r="A23" s="504"/>
      <c r="B23" s="1671" t="s">
        <v>1062</v>
      </c>
      <c r="C23" s="1677" t="str">
        <f>估价对象房地状况!C9</f>
        <v>区域自然环境：；人文环境；综合评价环境状况一般</v>
      </c>
      <c r="D23" s="1153">
        <v>100</v>
      </c>
      <c r="E23" s="1156"/>
      <c r="F23" s="1673">
        <f>SUMIF(84:84,E24,85:85)-SUMIF(84:84,C24,85:85)+100</f>
        <v>100</v>
      </c>
      <c r="G23" s="1166"/>
      <c r="H23" s="1153">
        <f>SUMIF(84:84,G24,85:85)-SUMIF(84:84,C24,85:85)+100</f>
        <v>100</v>
      </c>
      <c r="I23" s="1156"/>
      <c r="J23" s="1153">
        <f>SUMIF(84:84,I24,85:85)-SUMIF(84:84,C24,85:85)+100</f>
        <v>100</v>
      </c>
      <c r="K23" s="1637"/>
      <c r="L23" s="1251"/>
      <c r="M23" s="1236"/>
      <c r="N23" s="1236"/>
      <c r="O23" s="1236"/>
      <c r="P23" s="1687"/>
      <c r="Q23" s="491" t="str">
        <f>B23</f>
        <v>自然及人文环境</v>
      </c>
      <c r="R23" s="1295" t="s">
        <v>1045</v>
      </c>
      <c r="S23" s="1296">
        <f>F23</f>
        <v>100</v>
      </c>
      <c r="T23" s="1295" t="s">
        <v>1045</v>
      </c>
      <c r="U23" s="1296">
        <f>H23</f>
        <v>100</v>
      </c>
      <c r="V23" s="1295" t="s">
        <v>1045</v>
      </c>
      <c r="W23" s="1296">
        <f>J23</f>
        <v>100</v>
      </c>
      <c r="X23" s="1282"/>
      <c r="Y23" s="1254"/>
      <c r="Z23" s="1281" t="str">
        <f>Q23</f>
        <v>自然及人文环境</v>
      </c>
      <c r="AA23" s="1312">
        <f t="shared" si="3"/>
        <v>1</v>
      </c>
      <c r="AB23" s="1312">
        <f t="shared" si="4"/>
        <v>1</v>
      </c>
      <c r="AC23" s="1312">
        <f t="shared" si="5"/>
        <v>1</v>
      </c>
    </row>
    <row r="24" ht="15" spans="1:29">
      <c r="A24" s="504"/>
      <c r="B24" s="1182"/>
      <c r="C24" s="1258"/>
      <c r="D24" s="1151"/>
      <c r="E24" s="1152"/>
      <c r="F24" s="1670"/>
      <c r="G24" s="1169"/>
      <c r="H24" s="1151"/>
      <c r="I24" s="1152"/>
      <c r="J24" s="1151"/>
      <c r="K24" s="1638"/>
      <c r="L24" s="1251"/>
      <c r="M24" s="1236"/>
      <c r="N24" s="1236"/>
      <c r="O24" s="1236"/>
      <c r="P24" s="1687"/>
      <c r="Q24" s="491"/>
      <c r="R24" s="1295"/>
      <c r="S24" s="1296"/>
      <c r="T24" s="1295"/>
      <c r="U24" s="1296"/>
      <c r="V24" s="1295"/>
      <c r="W24" s="1296"/>
      <c r="X24" s="1282"/>
      <c r="Y24" s="1254"/>
      <c r="Z24" s="1281"/>
      <c r="AA24" s="1312">
        <v>1</v>
      </c>
      <c r="AB24" s="1312">
        <v>1</v>
      </c>
      <c r="AC24" s="1312">
        <v>1</v>
      </c>
    </row>
    <row r="25" ht="15" spans="1:29">
      <c r="A25" s="504"/>
      <c r="B25" s="1127" t="s">
        <v>214</v>
      </c>
      <c r="C25" s="1261"/>
      <c r="D25" s="1138">
        <v>100</v>
      </c>
      <c r="E25" s="1261"/>
      <c r="F25" s="1609">
        <f>SUMIF(86:86,E25,87:87)-SUMIF(86:86,C25,87:87)+100</f>
        <v>100</v>
      </c>
      <c r="G25" s="1261"/>
      <c r="H25" s="1138">
        <f>SUMIF(86:86,G25,87:87)-SUMIF(86:86,C25,87:87)+100</f>
        <v>100</v>
      </c>
      <c r="I25" s="1261"/>
      <c r="J25" s="1138">
        <f>SUMIF(86:86,I25,87:87)-SUMIF(86:86,C25,87:87)+100</f>
        <v>100</v>
      </c>
      <c r="K25" s="1262"/>
      <c r="L25" s="1251"/>
      <c r="M25" s="1236"/>
      <c r="N25" s="1236"/>
      <c r="O25" s="1236"/>
      <c r="P25" s="1687"/>
      <c r="Q25" s="491" t="str">
        <f t="shared" ref="Q25:Q46" si="11">B25</f>
        <v>临街状况</v>
      </c>
      <c r="R25" s="1295" t="s">
        <v>1045</v>
      </c>
      <c r="S25" s="1296">
        <f>F25</f>
        <v>100</v>
      </c>
      <c r="T25" s="1295" t="s">
        <v>1045</v>
      </c>
      <c r="U25" s="1296">
        <f>H25</f>
        <v>100</v>
      </c>
      <c r="V25" s="1295" t="s">
        <v>1045</v>
      </c>
      <c r="W25" s="1296">
        <f>J25</f>
        <v>100</v>
      </c>
      <c r="X25" s="1282"/>
      <c r="Y25" s="1254"/>
      <c r="Z25" s="1281" t="str">
        <f>Q25</f>
        <v>临街状况</v>
      </c>
      <c r="AA25" s="1312">
        <f t="shared" si="3"/>
        <v>1</v>
      </c>
      <c r="AB25" s="1312">
        <f t="shared" si="4"/>
        <v>1</v>
      </c>
      <c r="AC25" s="1312">
        <f t="shared" si="5"/>
        <v>1</v>
      </c>
    </row>
    <row r="26" ht="15" spans="1:29">
      <c r="A26" s="504"/>
      <c r="B26" s="1614" t="s">
        <v>1473</v>
      </c>
      <c r="C26" s="1137"/>
      <c r="D26" s="1138">
        <v>100</v>
      </c>
      <c r="E26" s="1137"/>
      <c r="F26" s="1609">
        <f>SUMIF(88:88,E26,89:89)-SUMIF(88:88,C26,89:89)+100</f>
        <v>100</v>
      </c>
      <c r="G26" s="1137"/>
      <c r="H26" s="1138">
        <f>SUMIF(88:88,G26,89:89)-SUMIF(88:88,C26,89:89)+100</f>
        <v>100</v>
      </c>
      <c r="I26" s="1137"/>
      <c r="J26" s="1138">
        <f>SUMIF(88:88,I26,89:89)-SUMIF(88:88,C26,89:89)+100</f>
        <v>100</v>
      </c>
      <c r="K26" s="1260"/>
      <c r="L26" s="1251"/>
      <c r="M26" s="1236"/>
      <c r="N26" s="1236"/>
      <c r="O26" s="1236"/>
      <c r="P26" s="1687"/>
      <c r="Q26" s="491" t="str">
        <f t="shared" si="11"/>
        <v>平面位置/可视性</v>
      </c>
      <c r="R26" s="1295" t="s">
        <v>1045</v>
      </c>
      <c r="S26" s="1296">
        <f>F26</f>
        <v>100</v>
      </c>
      <c r="T26" s="1295" t="s">
        <v>1045</v>
      </c>
      <c r="U26" s="1296">
        <f>H26</f>
        <v>100</v>
      </c>
      <c r="V26" s="1295" t="s">
        <v>1045</v>
      </c>
      <c r="W26" s="1296">
        <f>J26</f>
        <v>100</v>
      </c>
      <c r="X26" s="1282"/>
      <c r="Y26" s="1254"/>
      <c r="Z26" s="1281" t="str">
        <f>Q26</f>
        <v>平面位置/可视性</v>
      </c>
      <c r="AA26" s="1312">
        <f t="shared" si="3"/>
        <v>1</v>
      </c>
      <c r="AB26" s="1312">
        <f t="shared" si="4"/>
        <v>1</v>
      </c>
      <c r="AC26" s="1312">
        <f t="shared" si="5"/>
        <v>1</v>
      </c>
    </row>
    <row r="27" s="1080" customFormat="1" ht="15" spans="1:29">
      <c r="A27" s="1134"/>
      <c r="B27" s="1671" t="s">
        <v>1474</v>
      </c>
      <c r="C27" s="1604"/>
      <c r="D27" s="1603">
        <v>100</v>
      </c>
      <c r="E27" s="1604"/>
      <c r="F27" s="1678">
        <f>SUMIF(90:90,E27,91:91)-SUMIF(90:90,C27,91:91)+100</f>
        <v>100</v>
      </c>
      <c r="G27" s="1604"/>
      <c r="H27" s="1603">
        <f>SUMIF(90:90,G27,91:91)-SUMIF(90:90,C27,91:91)+100</f>
        <v>100</v>
      </c>
      <c r="I27" s="1604"/>
      <c r="J27" s="1603">
        <f>SUMIF(90:90,I27,91:91)-SUMIF(90:90,C27,91:91)+100</f>
        <v>100</v>
      </c>
      <c r="K27" s="1262"/>
      <c r="L27" s="1235"/>
      <c r="M27" s="1241"/>
      <c r="N27" s="1241"/>
      <c r="O27" s="1241"/>
      <c r="P27" s="1687"/>
      <c r="Q27" s="1294" t="str">
        <f t="shared" si="11"/>
        <v>人流量</v>
      </c>
      <c r="R27" s="1290" t="s">
        <v>1045</v>
      </c>
      <c r="S27" s="1291">
        <f>F27</f>
        <v>100</v>
      </c>
      <c r="T27" s="1290" t="s">
        <v>1045</v>
      </c>
      <c r="U27" s="1291">
        <f>H27</f>
        <v>100</v>
      </c>
      <c r="V27" s="1290" t="s">
        <v>1045</v>
      </c>
      <c r="W27" s="1291">
        <f>J27</f>
        <v>100</v>
      </c>
      <c r="X27" s="1292"/>
      <c r="Y27" s="1254"/>
      <c r="Z27" s="1311" t="str">
        <f>Q27</f>
        <v>人流量</v>
      </c>
      <c r="AA27" s="1312">
        <f t="shared" si="3"/>
        <v>1</v>
      </c>
      <c r="AB27" s="1312">
        <f t="shared" si="4"/>
        <v>1</v>
      </c>
      <c r="AC27" s="1312">
        <f t="shared" si="5"/>
        <v>1</v>
      </c>
    </row>
    <row r="28" ht="15" spans="1:29">
      <c r="A28" s="504"/>
      <c r="B28" s="1127" t="s">
        <v>1475</v>
      </c>
      <c r="C28" s="1261"/>
      <c r="D28" s="1138">
        <v>100</v>
      </c>
      <c r="E28" s="1261"/>
      <c r="F28" s="1609">
        <f>SUMIF(92:92,E28,93:93)-SUMIF(92:92,C28,93:93)+100</f>
        <v>100</v>
      </c>
      <c r="G28" s="1261"/>
      <c r="H28" s="1138">
        <f>SUMIF(92:92,G28,93:93)-SUMIF(92:92,C28,93:93)+100</f>
        <v>100</v>
      </c>
      <c r="I28" s="1261"/>
      <c r="J28" s="1138">
        <f>SUMIF(92:92,I28,93:93)-SUMIF(92:92,C28,93:93)+100</f>
        <v>100</v>
      </c>
      <c r="K28" s="1260"/>
      <c r="L28" s="1251"/>
      <c r="M28" s="1236"/>
      <c r="N28" s="1236"/>
      <c r="O28" s="1236"/>
      <c r="P28" s="1687"/>
      <c r="Q28" s="491" t="str">
        <f t="shared" si="11"/>
        <v>楼层</v>
      </c>
      <c r="R28" s="1295" t="s">
        <v>1045</v>
      </c>
      <c r="S28" s="1296">
        <f t="shared" ref="S28:S46" si="12">F28</f>
        <v>100</v>
      </c>
      <c r="T28" s="1295" t="s">
        <v>1045</v>
      </c>
      <c r="U28" s="1296">
        <f t="shared" ref="U28:U46" si="13">H28</f>
        <v>100</v>
      </c>
      <c r="V28" s="1295" t="s">
        <v>1045</v>
      </c>
      <c r="W28" s="1296">
        <f t="shared" ref="W28:W46" si="14">J28</f>
        <v>100</v>
      </c>
      <c r="X28" s="1282"/>
      <c r="Y28" s="1254"/>
      <c r="Z28" s="1281" t="str">
        <f t="shared" ref="Z28:Z46" si="15">Q28</f>
        <v>楼层</v>
      </c>
      <c r="AA28" s="1312">
        <f t="shared" si="3"/>
        <v>1</v>
      </c>
      <c r="AB28" s="1312">
        <f t="shared" si="4"/>
        <v>1</v>
      </c>
      <c r="AC28" s="1312">
        <f t="shared" si="5"/>
        <v>1</v>
      </c>
    </row>
    <row r="29" ht="15" spans="1:29">
      <c r="A29" s="504"/>
      <c r="B29" s="1614">
        <v>111</v>
      </c>
      <c r="C29" s="1137"/>
      <c r="D29" s="1138">
        <v>100</v>
      </c>
      <c r="E29" s="1137"/>
      <c r="F29" s="1609">
        <f>SUMIF(94:94,E29,95:95)-SUMIF(94:94,C29,95:95)+100</f>
        <v>100</v>
      </c>
      <c r="G29" s="1137"/>
      <c r="H29" s="1138">
        <f>SUMIF(94:94,G29,95:95)-SUMIF(94:94,C29,95:95)+100</f>
        <v>100</v>
      </c>
      <c r="I29" s="1137"/>
      <c r="J29" s="1138">
        <f>SUMIF(94:94,I29,95:95)-SUMIF(94:94,C29,95:95)+100</f>
        <v>100</v>
      </c>
      <c r="K29" s="1260"/>
      <c r="L29" s="1251"/>
      <c r="M29" s="1236"/>
      <c r="N29" s="1236"/>
      <c r="O29" s="1236"/>
      <c r="P29" s="1687"/>
      <c r="Q29" s="491">
        <f t="shared" si="11"/>
        <v>111</v>
      </c>
      <c r="R29" s="1295" t="s">
        <v>1045</v>
      </c>
      <c r="S29" s="1296">
        <f t="shared" si="12"/>
        <v>100</v>
      </c>
      <c r="T29" s="1295" t="s">
        <v>1045</v>
      </c>
      <c r="U29" s="1296">
        <f t="shared" si="13"/>
        <v>100</v>
      </c>
      <c r="V29" s="1295" t="s">
        <v>1045</v>
      </c>
      <c r="W29" s="1296">
        <f t="shared" si="14"/>
        <v>100</v>
      </c>
      <c r="X29" s="1282"/>
      <c r="Y29" s="1254"/>
      <c r="Z29" s="1281">
        <f t="shared" si="15"/>
        <v>111</v>
      </c>
      <c r="AA29" s="1312">
        <f t="shared" si="3"/>
        <v>1</v>
      </c>
      <c r="AB29" s="1312">
        <f t="shared" si="4"/>
        <v>1</v>
      </c>
      <c r="AC29" s="1312">
        <f t="shared" si="5"/>
        <v>1</v>
      </c>
    </row>
    <row r="30" ht="15" spans="1:29">
      <c r="A30" s="504"/>
      <c r="B30" s="1614">
        <v>111</v>
      </c>
      <c r="C30" s="1137"/>
      <c r="D30" s="1138">
        <v>100</v>
      </c>
      <c r="E30" s="1137"/>
      <c r="F30" s="1609">
        <f>SUMIF(96:96,E30,97:97)-SUMIF(96:96,C30,97:97)+100</f>
        <v>100</v>
      </c>
      <c r="G30" s="1137"/>
      <c r="H30" s="1138">
        <f>SUMIF(96:96,G30,97:97)-SUMIF(96:96,C30,97:97)+100</f>
        <v>100</v>
      </c>
      <c r="I30" s="1137"/>
      <c r="J30" s="1138">
        <f>SUMIF(96:96,I30,97:97)-SUMIF(96:96,C30,97:97)+100</f>
        <v>100</v>
      </c>
      <c r="K30" s="1260"/>
      <c r="L30" s="1251"/>
      <c r="M30" s="1236"/>
      <c r="N30" s="1236"/>
      <c r="O30" s="1236"/>
      <c r="P30" s="1687"/>
      <c r="Q30" s="491">
        <f t="shared" si="11"/>
        <v>111</v>
      </c>
      <c r="R30" s="1295" t="s">
        <v>1045</v>
      </c>
      <c r="S30" s="1296">
        <f t="shared" si="12"/>
        <v>100</v>
      </c>
      <c r="T30" s="1295" t="s">
        <v>1045</v>
      </c>
      <c r="U30" s="1296">
        <f t="shared" si="13"/>
        <v>100</v>
      </c>
      <c r="V30" s="1295" t="s">
        <v>1045</v>
      </c>
      <c r="W30" s="1296">
        <f t="shared" si="14"/>
        <v>100</v>
      </c>
      <c r="X30" s="1282"/>
      <c r="Y30" s="1254"/>
      <c r="Z30" s="1281">
        <f t="shared" si="15"/>
        <v>111</v>
      </c>
      <c r="AA30" s="1312">
        <f t="shared" si="3"/>
        <v>1</v>
      </c>
      <c r="AB30" s="1312">
        <f t="shared" si="4"/>
        <v>1</v>
      </c>
      <c r="AC30" s="1312">
        <f t="shared" si="5"/>
        <v>1</v>
      </c>
    </row>
    <row r="31" ht="15.75" spans="1:29">
      <c r="A31" s="1141"/>
      <c r="B31" s="1614">
        <v>111</v>
      </c>
      <c r="C31" s="1143"/>
      <c r="D31" s="1144">
        <v>100</v>
      </c>
      <c r="E31" s="1137"/>
      <c r="F31" s="1616">
        <f>SUMIF(98:98,E31,99:99)-SUMIF(98:98,C31,99:99)+100</f>
        <v>100</v>
      </c>
      <c r="G31" s="1137"/>
      <c r="H31" s="1144">
        <f>SUMIF(98:98,G31,99:99)-SUMIF(98:98,C31,99:99)+100</f>
        <v>100</v>
      </c>
      <c r="I31" s="1137"/>
      <c r="J31" s="1144">
        <f>SUMIF(98:98,I31,99:99)-SUMIF(98:98,C31,99:99)+100</f>
        <v>100</v>
      </c>
      <c r="K31" s="1260"/>
      <c r="L31" s="1251"/>
      <c r="M31" s="1236"/>
      <c r="N31" s="1236"/>
      <c r="O31" s="1236"/>
      <c r="P31" s="1687"/>
      <c r="Q31" s="491">
        <f t="shared" si="11"/>
        <v>111</v>
      </c>
      <c r="R31" s="1295" t="s">
        <v>1045</v>
      </c>
      <c r="S31" s="1296">
        <f t="shared" si="12"/>
        <v>100</v>
      </c>
      <c r="T31" s="1295" t="s">
        <v>1045</v>
      </c>
      <c r="U31" s="1296">
        <f t="shared" si="13"/>
        <v>100</v>
      </c>
      <c r="V31" s="1295" t="s">
        <v>1045</v>
      </c>
      <c r="W31" s="1296">
        <f t="shared" si="14"/>
        <v>100</v>
      </c>
      <c r="X31" s="1282"/>
      <c r="Y31" s="1254"/>
      <c r="Z31" s="1281">
        <f t="shared" si="15"/>
        <v>111</v>
      </c>
      <c r="AA31" s="1312">
        <f t="shared" si="3"/>
        <v>1</v>
      </c>
      <c r="AB31" s="1312">
        <f t="shared" si="4"/>
        <v>1</v>
      </c>
      <c r="AC31" s="1312">
        <f t="shared" si="5"/>
        <v>1</v>
      </c>
    </row>
    <row r="32" ht="15" spans="1:29">
      <c r="A32" s="480" t="s">
        <v>1070</v>
      </c>
      <c r="B32" s="1123" t="s">
        <v>1476</v>
      </c>
      <c r="C32" s="1679"/>
      <c r="D32" s="1184">
        <v>100</v>
      </c>
      <c r="E32" s="1679"/>
      <c r="F32" s="1609">
        <f>SUMIF(100:100,E32,101:101)-SUMIF(100:100,C32,101:101)+100</f>
        <v>100</v>
      </c>
      <c r="G32" s="1679"/>
      <c r="H32" s="1138">
        <f>SUMIF(100:100,G32,101:101)-SUMIF(100:100,C32,101:101)+100</f>
        <v>100</v>
      </c>
      <c r="I32" s="1679"/>
      <c r="J32" s="1184">
        <f>SUMIF(100:100,I32,101:101)-SUMIF(100:100,C32,101:101)+100</f>
        <v>100</v>
      </c>
      <c r="K32" s="1262"/>
      <c r="L32" s="1251"/>
      <c r="M32" s="1236"/>
      <c r="N32" s="1236"/>
      <c r="O32" s="1236"/>
      <c r="P32" s="1688" t="s">
        <v>1073</v>
      </c>
      <c r="Q32" s="491" t="str">
        <f t="shared" si="11"/>
        <v>商业类型</v>
      </c>
      <c r="R32" s="1295" t="s">
        <v>1045</v>
      </c>
      <c r="S32" s="1296">
        <f t="shared" si="12"/>
        <v>100</v>
      </c>
      <c r="T32" s="1295" t="s">
        <v>1045</v>
      </c>
      <c r="U32" s="1296">
        <f t="shared" si="13"/>
        <v>100</v>
      </c>
      <c r="V32" s="1295" t="s">
        <v>1045</v>
      </c>
      <c r="W32" s="1296">
        <f t="shared" si="14"/>
        <v>100</v>
      </c>
      <c r="X32" s="1282"/>
      <c r="Y32" s="1267" t="s">
        <v>1073</v>
      </c>
      <c r="Z32" s="1281" t="str">
        <f t="shared" si="15"/>
        <v>商业类型</v>
      </c>
      <c r="AA32" s="1312">
        <f t="shared" si="3"/>
        <v>1</v>
      </c>
      <c r="AB32" s="1312">
        <f t="shared" si="4"/>
        <v>1</v>
      </c>
      <c r="AC32" s="1312">
        <f t="shared" si="5"/>
        <v>1</v>
      </c>
    </row>
    <row r="33" s="1082" customFormat="1" ht="15" spans="1:29">
      <c r="A33" s="1190"/>
      <c r="B33" s="1127" t="s">
        <v>1074</v>
      </c>
      <c r="C33" s="1610"/>
      <c r="D33" s="1129">
        <v>100</v>
      </c>
      <c r="E33" s="1133"/>
      <c r="F33" s="1611" t="e">
        <f>LOOKUP(E33,103:103,104:104)-LOOKUP(C33,103:103,104:104)+100</f>
        <v>#N/A</v>
      </c>
      <c r="G33" s="1132"/>
      <c r="H33" s="1129" t="e">
        <f>LOOKUP(G33,103:103,104:104)-LOOKUP(C33,103:103,104:104)+100</f>
        <v>#N/A</v>
      </c>
      <c r="I33" s="1132"/>
      <c r="J33" s="1129" t="e">
        <f>LOOKUP(I33,103:103,104:104)-LOOKUP(C33,103:103,104:104)+100</f>
        <v>#N/A</v>
      </c>
      <c r="K33" s="1260"/>
      <c r="L33" s="1249"/>
      <c r="M33" s="1265"/>
      <c r="N33" s="1265"/>
      <c r="O33" s="1265"/>
      <c r="P33" s="1689"/>
      <c r="Q33" s="1646" t="str">
        <f t="shared" si="11"/>
        <v>项目建筑规模</v>
      </c>
      <c r="R33" s="1297" t="s">
        <v>1045</v>
      </c>
      <c r="S33" s="1298" t="e">
        <f t="shared" si="12"/>
        <v>#N/A</v>
      </c>
      <c r="T33" s="1297" t="s">
        <v>1045</v>
      </c>
      <c r="U33" s="1298" t="e">
        <f t="shared" si="13"/>
        <v>#N/A</v>
      </c>
      <c r="V33" s="1297" t="s">
        <v>1045</v>
      </c>
      <c r="W33" s="1298" t="e">
        <f t="shared" si="14"/>
        <v>#N/A</v>
      </c>
      <c r="X33" s="1299"/>
      <c r="Y33" s="1267"/>
      <c r="Z33" s="1313" t="str">
        <f t="shared" si="15"/>
        <v>项目建筑规模</v>
      </c>
      <c r="AA33" s="1312" t="e">
        <f t="shared" si="3"/>
        <v>#N/A</v>
      </c>
      <c r="AB33" s="1312" t="e">
        <f t="shared" si="4"/>
        <v>#N/A</v>
      </c>
      <c r="AC33" s="1312" t="e">
        <f t="shared" si="5"/>
        <v>#N/A</v>
      </c>
    </row>
    <row r="34" ht="15" spans="1:29">
      <c r="A34" s="1185"/>
      <c r="B34" s="1127" t="s">
        <v>1075</v>
      </c>
      <c r="C34" s="1680"/>
      <c r="D34" s="1138">
        <v>100</v>
      </c>
      <c r="E34" s="1681"/>
      <c r="F34" s="1609">
        <f>SUMIF(105:105,E34,106:106)-SUMIF(105:105,C34,106:106)+100</f>
        <v>100</v>
      </c>
      <c r="G34" s="1680"/>
      <c r="H34" s="1138">
        <f>SUMIF(105:105,G34,106:106)-SUMIF(105:105,C34,106:106)+100</f>
        <v>100</v>
      </c>
      <c r="I34" s="1680"/>
      <c r="J34" s="1138">
        <f>SUMIF(105:105,I34,106:106)-SUMIF(105:105,C34,106:106)+100</f>
        <v>100</v>
      </c>
      <c r="K34" s="1262"/>
      <c r="L34" s="1251"/>
      <c r="M34" s="1236"/>
      <c r="N34" s="1236"/>
      <c r="O34" s="1236"/>
      <c r="P34" s="1689"/>
      <c r="Q34" s="491" t="str">
        <f t="shared" si="11"/>
        <v>建筑结构</v>
      </c>
      <c r="R34" s="1295" t="s">
        <v>1045</v>
      </c>
      <c r="S34" s="1296">
        <f t="shared" si="12"/>
        <v>100</v>
      </c>
      <c r="T34" s="1295" t="s">
        <v>1045</v>
      </c>
      <c r="U34" s="1296">
        <f t="shared" si="13"/>
        <v>100</v>
      </c>
      <c r="V34" s="1295" t="s">
        <v>1045</v>
      </c>
      <c r="W34" s="1296">
        <f t="shared" si="14"/>
        <v>100</v>
      </c>
      <c r="X34" s="1282"/>
      <c r="Y34" s="1267"/>
      <c r="Z34" s="1281" t="str">
        <f t="shared" si="15"/>
        <v>建筑结构</v>
      </c>
      <c r="AA34" s="1312">
        <f t="shared" si="3"/>
        <v>1</v>
      </c>
      <c r="AB34" s="1312">
        <f t="shared" si="4"/>
        <v>1</v>
      </c>
      <c r="AC34" s="1312">
        <f t="shared" si="5"/>
        <v>1</v>
      </c>
    </row>
    <row r="35" ht="15" spans="1:29">
      <c r="A35" s="1185"/>
      <c r="B35" s="1127" t="s">
        <v>1077</v>
      </c>
      <c r="C35" s="1186"/>
      <c r="D35" s="1138">
        <v>100</v>
      </c>
      <c r="E35" s="1186"/>
      <c r="F35" s="1609">
        <f>SUMIF(107:107,E35,108:108)-SUMIF(107:107,C35,108:108)+100</f>
        <v>100</v>
      </c>
      <c r="G35" s="1186"/>
      <c r="H35" s="1138">
        <f>SUMIF(107:107,G35,108:108)-SUMIF(107:107,C35,108:108)+100</f>
        <v>100</v>
      </c>
      <c r="I35" s="1186"/>
      <c r="J35" s="1138">
        <f>SUMIF(107:107,I35,108:108)-SUMIF(107:107,C35,108:108)+100</f>
        <v>100</v>
      </c>
      <c r="K35" s="1262"/>
      <c r="L35" s="1251"/>
      <c r="M35" s="1236"/>
      <c r="N35" s="1236"/>
      <c r="O35" s="1236"/>
      <c r="P35" s="1689"/>
      <c r="Q35" s="491" t="str">
        <f t="shared" si="11"/>
        <v>公共部分装修</v>
      </c>
      <c r="R35" s="1295" t="s">
        <v>1045</v>
      </c>
      <c r="S35" s="1296">
        <f t="shared" si="12"/>
        <v>100</v>
      </c>
      <c r="T35" s="1295" t="s">
        <v>1045</v>
      </c>
      <c r="U35" s="1296">
        <f t="shared" si="13"/>
        <v>100</v>
      </c>
      <c r="V35" s="1295" t="s">
        <v>1045</v>
      </c>
      <c r="W35" s="1296">
        <f t="shared" si="14"/>
        <v>100</v>
      </c>
      <c r="X35" s="1282"/>
      <c r="Y35" s="1267"/>
      <c r="Z35" s="1281" t="str">
        <f t="shared" si="15"/>
        <v>公共部分装修</v>
      </c>
      <c r="AA35" s="1312">
        <f t="shared" si="3"/>
        <v>1</v>
      </c>
      <c r="AB35" s="1312">
        <f t="shared" si="4"/>
        <v>1</v>
      </c>
      <c r="AC35" s="1312">
        <f t="shared" si="5"/>
        <v>1</v>
      </c>
    </row>
    <row r="36" ht="15" spans="1:29">
      <c r="A36" s="1185"/>
      <c r="B36" s="1127" t="s">
        <v>1078</v>
      </c>
      <c r="C36" s="1613"/>
      <c r="D36" s="1138">
        <v>100</v>
      </c>
      <c r="E36" s="1613"/>
      <c r="F36" s="1609" t="e">
        <f>LOOKUP(E36,110:110,111:111)-LOOKUP(C36,110:110,111:111)+100</f>
        <v>#N/A</v>
      </c>
      <c r="G36" s="1613"/>
      <c r="H36" s="1609" t="e">
        <f>LOOKUP(G36,110:110,111:111)-LOOKUP(C36,110:110,111:111)+100</f>
        <v>#N/A</v>
      </c>
      <c r="I36" s="1613"/>
      <c r="J36" s="1138" t="e">
        <f>LOOKUP(I36,110:110,111:111)-LOOKUP(C36,110:110,111:111)+100</f>
        <v>#N/A</v>
      </c>
      <c r="K36" s="1262"/>
      <c r="L36" s="1251"/>
      <c r="M36" s="1236"/>
      <c r="N36" s="1236"/>
      <c r="O36" s="1236"/>
      <c r="P36" s="1689"/>
      <c r="Q36" s="491" t="str">
        <f t="shared" si="11"/>
        <v>成新度</v>
      </c>
      <c r="R36" s="1295" t="s">
        <v>1045</v>
      </c>
      <c r="S36" s="1296" t="e">
        <f t="shared" si="12"/>
        <v>#N/A</v>
      </c>
      <c r="T36" s="1295" t="s">
        <v>1045</v>
      </c>
      <c r="U36" s="1296" t="e">
        <f t="shared" si="13"/>
        <v>#N/A</v>
      </c>
      <c r="V36" s="1295" t="s">
        <v>1045</v>
      </c>
      <c r="W36" s="1296" t="e">
        <f t="shared" si="14"/>
        <v>#N/A</v>
      </c>
      <c r="X36" s="1282"/>
      <c r="Y36" s="1267"/>
      <c r="Z36" s="1281" t="str">
        <f t="shared" si="15"/>
        <v>成新度</v>
      </c>
      <c r="AA36" s="1312" t="e">
        <f t="shared" si="3"/>
        <v>#N/A</v>
      </c>
      <c r="AB36" s="1312" t="e">
        <f t="shared" si="4"/>
        <v>#N/A</v>
      </c>
      <c r="AC36" s="1312" t="e">
        <f t="shared" si="5"/>
        <v>#N/A</v>
      </c>
    </row>
    <row r="37" s="1080" customFormat="1" ht="15" spans="1:29">
      <c r="A37" s="1187"/>
      <c r="B37" s="1127" t="s">
        <v>1080</v>
      </c>
      <c r="C37" s="1186"/>
      <c r="D37" s="1129">
        <v>100</v>
      </c>
      <c r="E37" s="1186"/>
      <c r="F37" s="1609">
        <f>SUMIF(112:112,E37,113:113)-SUMIF(112:112,C37,113:113)+100</f>
        <v>100</v>
      </c>
      <c r="G37" s="1186"/>
      <c r="H37" s="1138">
        <f>SUMIF(112:112,G37,113:113)-SUMIF(112:112,C37,113:113)+100</f>
        <v>100</v>
      </c>
      <c r="I37" s="1186"/>
      <c r="J37" s="1138">
        <f>SUMIF(112:112,I37,113:113)-SUMIF(112:112,C37,113:113)+100</f>
        <v>100</v>
      </c>
      <c r="K37" s="1262"/>
      <c r="L37" s="1235"/>
      <c r="M37" s="1241"/>
      <c r="N37" s="1241"/>
      <c r="O37" s="1241"/>
      <c r="P37" s="1689"/>
      <c r="Q37" s="1294" t="str">
        <f t="shared" si="11"/>
        <v>市政基础设施</v>
      </c>
      <c r="R37" s="1290" t="s">
        <v>1045</v>
      </c>
      <c r="S37" s="1291">
        <f t="shared" si="12"/>
        <v>100</v>
      </c>
      <c r="T37" s="1290" t="s">
        <v>1045</v>
      </c>
      <c r="U37" s="1291">
        <f t="shared" si="13"/>
        <v>100</v>
      </c>
      <c r="V37" s="1290" t="s">
        <v>1045</v>
      </c>
      <c r="W37" s="1291">
        <f t="shared" si="14"/>
        <v>100</v>
      </c>
      <c r="X37" s="1292"/>
      <c r="Y37" s="1267"/>
      <c r="Z37" s="1311" t="str">
        <f t="shared" si="15"/>
        <v>市政基础设施</v>
      </c>
      <c r="AA37" s="1310">
        <f t="shared" si="3"/>
        <v>1</v>
      </c>
      <c r="AB37" s="1310">
        <f t="shared" si="4"/>
        <v>1</v>
      </c>
      <c r="AC37" s="1310">
        <f t="shared" si="5"/>
        <v>1</v>
      </c>
    </row>
    <row r="38" ht="15" spans="1:29">
      <c r="A38" s="1185"/>
      <c r="B38" s="1127" t="s">
        <v>1477</v>
      </c>
      <c r="C38" s="1186"/>
      <c r="D38" s="1138">
        <v>100</v>
      </c>
      <c r="E38" s="1186"/>
      <c r="F38" s="1609">
        <f>SUMIF(114:114,E38,115:115)-SUMIF(114:114,C38,115:115)+100</f>
        <v>100</v>
      </c>
      <c r="G38" s="1186"/>
      <c r="H38" s="1138">
        <f>SUMIF(114:114,G38,115:115)-SUMIF(114:114,C38,115:115)+100</f>
        <v>100</v>
      </c>
      <c r="I38" s="1186"/>
      <c r="J38" s="1138">
        <f>SUMIF(114:114,I38,115:115)-SUMIF(114:114,C38,115:115)+100</f>
        <v>100</v>
      </c>
      <c r="K38" s="1262"/>
      <c r="L38" s="1251"/>
      <c r="M38" s="1236"/>
      <c r="N38" s="1236"/>
      <c r="O38" s="1236"/>
      <c r="P38" s="1689" t="s">
        <v>1073</v>
      </c>
      <c r="Q38" s="491" t="str">
        <f t="shared" si="11"/>
        <v>业态</v>
      </c>
      <c r="R38" s="1295" t="s">
        <v>1045</v>
      </c>
      <c r="S38" s="1296">
        <f t="shared" si="12"/>
        <v>100</v>
      </c>
      <c r="T38" s="1295" t="s">
        <v>1045</v>
      </c>
      <c r="U38" s="1296">
        <f t="shared" si="13"/>
        <v>100</v>
      </c>
      <c r="V38" s="1295" t="s">
        <v>1045</v>
      </c>
      <c r="W38" s="1296">
        <f t="shared" si="14"/>
        <v>100</v>
      </c>
      <c r="X38" s="1282"/>
      <c r="Y38" s="1267" t="s">
        <v>1073</v>
      </c>
      <c r="Z38" s="1281" t="str">
        <f t="shared" si="15"/>
        <v>业态</v>
      </c>
      <c r="AA38" s="1312">
        <f t="shared" si="3"/>
        <v>1</v>
      </c>
      <c r="AB38" s="1312">
        <f t="shared" si="4"/>
        <v>1</v>
      </c>
      <c r="AC38" s="1312">
        <f t="shared" si="5"/>
        <v>1</v>
      </c>
    </row>
    <row r="39" ht="15" spans="1:29">
      <c r="A39" s="1185"/>
      <c r="B39" s="1127" t="s">
        <v>1478</v>
      </c>
      <c r="C39" s="1186"/>
      <c r="D39" s="1138">
        <v>100</v>
      </c>
      <c r="E39" s="1186"/>
      <c r="F39" s="1609">
        <f>SUMIF(116:116,E39,117:117)-SUMIF(116:116,C39,117:117)+100</f>
        <v>100</v>
      </c>
      <c r="G39" s="1186"/>
      <c r="H39" s="1138">
        <f>SUMIF(116:116,G39,117:117)-SUMIF(116:116,C39,117:117)+100</f>
        <v>100</v>
      </c>
      <c r="I39" s="1186"/>
      <c r="J39" s="1138">
        <f>SUMIF(116:116,I39,117:117)-SUMIF(116:116,C39,117:117)+100</f>
        <v>100</v>
      </c>
      <c r="K39" s="1262"/>
      <c r="L39" s="1251"/>
      <c r="M39" s="1236"/>
      <c r="N39" s="1236"/>
      <c r="O39" s="1236"/>
      <c r="P39" s="1689"/>
      <c r="Q39" s="491" t="str">
        <f t="shared" si="11"/>
        <v>层高</v>
      </c>
      <c r="R39" s="1295" t="s">
        <v>1045</v>
      </c>
      <c r="S39" s="1296">
        <f t="shared" si="12"/>
        <v>100</v>
      </c>
      <c r="T39" s="1295" t="s">
        <v>1045</v>
      </c>
      <c r="U39" s="1296">
        <f t="shared" si="13"/>
        <v>100</v>
      </c>
      <c r="V39" s="1295" t="s">
        <v>1045</v>
      </c>
      <c r="W39" s="1296">
        <f t="shared" si="14"/>
        <v>100</v>
      </c>
      <c r="X39" s="1282"/>
      <c r="Y39" s="1267"/>
      <c r="Z39" s="1281" t="str">
        <f t="shared" si="15"/>
        <v>层高</v>
      </c>
      <c r="AA39" s="1312">
        <f t="shared" si="3"/>
        <v>1</v>
      </c>
      <c r="AB39" s="1312">
        <f t="shared" si="4"/>
        <v>1</v>
      </c>
      <c r="AC39" s="1312">
        <f t="shared" si="5"/>
        <v>1</v>
      </c>
    </row>
    <row r="40" ht="15" spans="1:29">
      <c r="A40" s="1185"/>
      <c r="B40" s="1127" t="s">
        <v>1479</v>
      </c>
      <c r="C40" s="1682"/>
      <c r="D40" s="1138">
        <v>100</v>
      </c>
      <c r="E40" s="1683"/>
      <c r="F40" s="1609">
        <f>SUMIF(118:118,E40,119:119)-SUMIF(118:118,C40,119:119)+100</f>
        <v>100</v>
      </c>
      <c r="G40" s="1683"/>
      <c r="H40" s="1138">
        <f>SUMIF(118:118,G40,119:119)-SUMIF(118:118,C40,119:119)+100</f>
        <v>100</v>
      </c>
      <c r="I40" s="1683"/>
      <c r="J40" s="1138">
        <f>SUMIF(118:118,I40,119:119)-SUMIF(118:118,C40,119:119)+100</f>
        <v>100</v>
      </c>
      <c r="K40" s="1260"/>
      <c r="L40" s="1251"/>
      <c r="M40" s="1236"/>
      <c r="N40" s="1236"/>
      <c r="O40" s="1236"/>
      <c r="P40" s="1689"/>
      <c r="Q40" s="491" t="str">
        <f t="shared" si="11"/>
        <v>单套建筑面积</v>
      </c>
      <c r="R40" s="1295" t="s">
        <v>1045</v>
      </c>
      <c r="S40" s="1296">
        <f t="shared" si="12"/>
        <v>100</v>
      </c>
      <c r="T40" s="1295" t="s">
        <v>1045</v>
      </c>
      <c r="U40" s="1296">
        <f t="shared" si="13"/>
        <v>100</v>
      </c>
      <c r="V40" s="1295" t="s">
        <v>1045</v>
      </c>
      <c r="W40" s="1296">
        <f t="shared" si="14"/>
        <v>100</v>
      </c>
      <c r="X40" s="1282"/>
      <c r="Y40" s="1267"/>
      <c r="Z40" s="1281" t="str">
        <f t="shared" si="15"/>
        <v>单套建筑面积</v>
      </c>
      <c r="AA40" s="1312">
        <f t="shared" si="3"/>
        <v>1</v>
      </c>
      <c r="AB40" s="1312">
        <f t="shared" si="4"/>
        <v>1</v>
      </c>
      <c r="AC40" s="1312">
        <f t="shared" si="5"/>
        <v>1</v>
      </c>
    </row>
    <row r="41" s="1082" customFormat="1" ht="15" spans="1:29">
      <c r="A41" s="1190"/>
      <c r="B41" s="1273" t="s">
        <v>1480</v>
      </c>
      <c r="C41" s="1261"/>
      <c r="D41" s="1138">
        <v>100</v>
      </c>
      <c r="E41" s="1261"/>
      <c r="F41" s="1609">
        <f>SUMIF(120:120,E41,121:121)-SUMIF(120:120,C41,121:121)+100</f>
        <v>100</v>
      </c>
      <c r="G41" s="1261"/>
      <c r="H41" s="1138">
        <f>SUMIF(120:120,G41,121:121)-SUMIF(120:120,C41,121:121)+100</f>
        <v>100</v>
      </c>
      <c r="I41" s="1261"/>
      <c r="J41" s="1138">
        <f>SUMIF(120:120,I41,121:121)-SUMIF(120:120,C41,121:121)+100</f>
        <v>100</v>
      </c>
      <c r="K41" s="1262"/>
      <c r="L41" s="1249"/>
      <c r="M41" s="1265"/>
      <c r="N41" s="1265"/>
      <c r="O41" s="1265"/>
      <c r="P41" s="1689"/>
      <c r="Q41" s="1646" t="str">
        <f t="shared" si="11"/>
        <v>进深比</v>
      </c>
      <c r="R41" s="1297" t="s">
        <v>1045</v>
      </c>
      <c r="S41" s="1298">
        <f t="shared" si="12"/>
        <v>100</v>
      </c>
      <c r="T41" s="1297" t="s">
        <v>1045</v>
      </c>
      <c r="U41" s="1298">
        <f t="shared" si="13"/>
        <v>100</v>
      </c>
      <c r="V41" s="1297" t="s">
        <v>1045</v>
      </c>
      <c r="W41" s="1298">
        <f t="shared" si="14"/>
        <v>100</v>
      </c>
      <c r="X41" s="1299"/>
      <c r="Y41" s="1267"/>
      <c r="Z41" s="1313" t="str">
        <f t="shared" si="15"/>
        <v>进深比</v>
      </c>
      <c r="AA41" s="1312">
        <f t="shared" si="3"/>
        <v>1</v>
      </c>
      <c r="AB41" s="1312">
        <f t="shared" si="4"/>
        <v>1</v>
      </c>
      <c r="AC41" s="1312">
        <f t="shared" si="5"/>
        <v>1</v>
      </c>
    </row>
    <row r="42" ht="15" spans="1:29">
      <c r="A42" s="1185"/>
      <c r="B42" s="1127" t="s">
        <v>1083</v>
      </c>
      <c r="C42" s="1186"/>
      <c r="D42" s="1138">
        <v>100</v>
      </c>
      <c r="E42" s="1186"/>
      <c r="F42" s="1609">
        <f>SUMIF(122:122,E42,123:123)-SUMIF(122:122,C42,123:123)+100</f>
        <v>100</v>
      </c>
      <c r="G42" s="1186"/>
      <c r="H42" s="1138">
        <f>SUMIF(122:122,G42,123:123)-SUMIF(122:122,C42,123:123)+100</f>
        <v>100</v>
      </c>
      <c r="I42" s="1186"/>
      <c r="J42" s="1138">
        <f>SUMIF(122:122,I42,123:123)-SUMIF(122:122,C42,123:123)+100</f>
        <v>100</v>
      </c>
      <c r="K42" s="1262"/>
      <c r="L42" s="1251"/>
      <c r="M42" s="1236"/>
      <c r="N42" s="1236"/>
      <c r="O42" s="1236"/>
      <c r="P42" s="1689"/>
      <c r="Q42" s="491" t="str">
        <f t="shared" si="11"/>
        <v>内部装修</v>
      </c>
      <c r="R42" s="1295" t="s">
        <v>1045</v>
      </c>
      <c r="S42" s="1296">
        <f t="shared" si="12"/>
        <v>100</v>
      </c>
      <c r="T42" s="1295" t="s">
        <v>1045</v>
      </c>
      <c r="U42" s="1296">
        <f t="shared" si="13"/>
        <v>100</v>
      </c>
      <c r="V42" s="1295" t="s">
        <v>1045</v>
      </c>
      <c r="W42" s="1296">
        <f t="shared" si="14"/>
        <v>100</v>
      </c>
      <c r="X42" s="1282"/>
      <c r="Y42" s="1267"/>
      <c r="Z42" s="1281" t="str">
        <f t="shared" si="15"/>
        <v>内部装修</v>
      </c>
      <c r="AA42" s="1312">
        <f t="shared" si="3"/>
        <v>1</v>
      </c>
      <c r="AB42" s="1312">
        <f t="shared" si="4"/>
        <v>1</v>
      </c>
      <c r="AC42" s="1312">
        <f t="shared" si="5"/>
        <v>1</v>
      </c>
    </row>
    <row r="43" ht="15" spans="1:29">
      <c r="A43" s="1185"/>
      <c r="B43" s="1127" t="s">
        <v>215</v>
      </c>
      <c r="C43" s="1186"/>
      <c r="D43" s="1138">
        <v>100</v>
      </c>
      <c r="E43" s="1186"/>
      <c r="F43" s="1609">
        <f>SUMIF(124:124,E43,125:125)-SUMIF(124:124,C43,125:125)+100</f>
        <v>100</v>
      </c>
      <c r="G43" s="1186"/>
      <c r="H43" s="1138">
        <f>SUMIF(124:124,G43,125:125)-SUMIF(124:124,C43,125:125)+100</f>
        <v>100</v>
      </c>
      <c r="I43" s="1186"/>
      <c r="J43" s="1138">
        <f>SUMIF(124:124,I43,125:125)-SUMIF(124:124,C43,125:125)+100</f>
        <v>100</v>
      </c>
      <c r="K43" s="1262"/>
      <c r="L43" s="1251"/>
      <c r="M43" s="1236"/>
      <c r="N43" s="1236"/>
      <c r="O43" s="1236"/>
      <c r="P43" s="1689"/>
      <c r="Q43" s="491" t="str">
        <f t="shared" si="11"/>
        <v>内部装修维护情况</v>
      </c>
      <c r="R43" s="1295" t="s">
        <v>1045</v>
      </c>
      <c r="S43" s="1296">
        <f t="shared" si="12"/>
        <v>100</v>
      </c>
      <c r="T43" s="1295" t="s">
        <v>1045</v>
      </c>
      <c r="U43" s="1296">
        <f t="shared" si="13"/>
        <v>100</v>
      </c>
      <c r="V43" s="1295" t="s">
        <v>1045</v>
      </c>
      <c r="W43" s="1296">
        <f t="shared" si="14"/>
        <v>100</v>
      </c>
      <c r="X43" s="1282"/>
      <c r="Y43" s="1267"/>
      <c r="Z43" s="1281" t="str">
        <f t="shared" si="15"/>
        <v>内部装修维护情况</v>
      </c>
      <c r="AA43" s="1312">
        <f t="shared" si="3"/>
        <v>1</v>
      </c>
      <c r="AB43" s="1312">
        <f t="shared" si="4"/>
        <v>1</v>
      </c>
      <c r="AC43" s="1312">
        <f t="shared" si="5"/>
        <v>1</v>
      </c>
    </row>
    <row r="44" s="1080" customFormat="1" ht="15" spans="1:29">
      <c r="A44" s="1187"/>
      <c r="B44" s="1614">
        <v>111</v>
      </c>
      <c r="C44" s="1610"/>
      <c r="D44" s="1129">
        <v>100</v>
      </c>
      <c r="E44" s="1137"/>
      <c r="F44" s="1611">
        <f>SUMIF(126:126,E44,127:127)-SUMIF(126:126,C44,127:127)+100</f>
        <v>100</v>
      </c>
      <c r="G44" s="1137"/>
      <c r="H44" s="1129">
        <f>SUMIF(126:126,G44,127:127)-SUMIF(126:126,C44,127:127)+100</f>
        <v>100</v>
      </c>
      <c r="I44" s="1137"/>
      <c r="J44" s="1129">
        <f>SUMIF(126:126,I44,127:127)-SUMIF(126:126,C44,127:127)+100</f>
        <v>100</v>
      </c>
      <c r="K44" s="1260"/>
      <c r="L44" s="1235"/>
      <c r="M44" s="1241"/>
      <c r="N44" s="1241"/>
      <c r="O44" s="1241"/>
      <c r="P44" s="1689"/>
      <c r="Q44" s="1294">
        <f t="shared" si="11"/>
        <v>111</v>
      </c>
      <c r="R44" s="1290" t="s">
        <v>1045</v>
      </c>
      <c r="S44" s="1291">
        <f t="shared" si="12"/>
        <v>100</v>
      </c>
      <c r="T44" s="1290" t="s">
        <v>1045</v>
      </c>
      <c r="U44" s="1291">
        <f t="shared" si="13"/>
        <v>100</v>
      </c>
      <c r="V44" s="1290" t="s">
        <v>1045</v>
      </c>
      <c r="W44" s="1291">
        <f t="shared" si="14"/>
        <v>100</v>
      </c>
      <c r="X44" s="1292"/>
      <c r="Y44" s="1267"/>
      <c r="Z44" s="1311">
        <f t="shared" si="15"/>
        <v>111</v>
      </c>
      <c r="AA44" s="1310">
        <f t="shared" si="3"/>
        <v>1</v>
      </c>
      <c r="AB44" s="1310">
        <f t="shared" si="4"/>
        <v>1</v>
      </c>
      <c r="AC44" s="1310">
        <f t="shared" si="5"/>
        <v>1</v>
      </c>
    </row>
    <row r="45" ht="15" spans="1:29">
      <c r="A45" s="1185"/>
      <c r="B45" s="1614">
        <v>111</v>
      </c>
      <c r="C45" s="1137"/>
      <c r="D45" s="1138">
        <v>100</v>
      </c>
      <c r="E45" s="1137"/>
      <c r="F45" s="1609">
        <f>SUMIF(128:128,E45,129:129)-SUMIF(128:128,C45,129:129)+100</f>
        <v>100</v>
      </c>
      <c r="G45" s="1137"/>
      <c r="H45" s="1138">
        <f>SUMIF(128:128,G45,129:129)-SUMIF(128:128,C45,129:129)+100</f>
        <v>100</v>
      </c>
      <c r="I45" s="1137"/>
      <c r="J45" s="1138">
        <f>SUMIF(128:128,I45,129:129)-SUMIF(128:128,C45,129:129)+100</f>
        <v>100</v>
      </c>
      <c r="K45" s="1260"/>
      <c r="L45" s="1251"/>
      <c r="M45" s="1236"/>
      <c r="N45" s="1236"/>
      <c r="O45" s="1236"/>
      <c r="P45" s="1689"/>
      <c r="Q45" s="491">
        <f t="shared" si="11"/>
        <v>111</v>
      </c>
      <c r="R45" s="1295" t="s">
        <v>1045</v>
      </c>
      <c r="S45" s="1296">
        <f t="shared" si="12"/>
        <v>100</v>
      </c>
      <c r="T45" s="1295" t="s">
        <v>1045</v>
      </c>
      <c r="U45" s="1296">
        <f t="shared" si="13"/>
        <v>100</v>
      </c>
      <c r="V45" s="1295" t="s">
        <v>1045</v>
      </c>
      <c r="W45" s="1296">
        <f t="shared" si="14"/>
        <v>100</v>
      </c>
      <c r="X45" s="1282"/>
      <c r="Y45" s="1267"/>
      <c r="Z45" s="1281">
        <f t="shared" si="15"/>
        <v>111</v>
      </c>
      <c r="AA45" s="1312">
        <f t="shared" si="3"/>
        <v>1</v>
      </c>
      <c r="AB45" s="1312">
        <f t="shared" si="4"/>
        <v>1</v>
      </c>
      <c r="AC45" s="1312">
        <f t="shared" si="5"/>
        <v>1</v>
      </c>
    </row>
    <row r="46" ht="15.75" spans="1:29">
      <c r="A46" s="1615"/>
      <c r="B46" s="1142">
        <v>111</v>
      </c>
      <c r="C46" s="1143"/>
      <c r="D46" s="1144">
        <v>100</v>
      </c>
      <c r="E46" s="1137"/>
      <c r="F46" s="1616">
        <f>SUMIF(130:130,E46,131:131)-SUMIF(130:130,C46,131:131)+100</f>
        <v>100</v>
      </c>
      <c r="G46" s="1137"/>
      <c r="H46" s="1144">
        <f>SUMIF(130:130,G46,131:131)-SUMIF(130:130,C46,131:131)+100</f>
        <v>100</v>
      </c>
      <c r="I46" s="1137"/>
      <c r="J46" s="1144">
        <f>SUMIF(130:130,I46,131:131)-SUMIF(130:130,C46,131:131)+100</f>
        <v>100</v>
      </c>
      <c r="K46" s="1260"/>
      <c r="L46" s="1251"/>
      <c r="M46" s="1236"/>
      <c r="N46" s="1236"/>
      <c r="O46" s="1236"/>
      <c r="P46" s="1690"/>
      <c r="Q46" s="491">
        <f t="shared" si="11"/>
        <v>111</v>
      </c>
      <c r="R46" s="1295" t="s">
        <v>1045</v>
      </c>
      <c r="S46" s="1296">
        <f t="shared" si="12"/>
        <v>100</v>
      </c>
      <c r="T46" s="1295" t="s">
        <v>1045</v>
      </c>
      <c r="U46" s="1296">
        <f t="shared" si="13"/>
        <v>100</v>
      </c>
      <c r="V46" s="1295" t="s">
        <v>1045</v>
      </c>
      <c r="W46" s="1296">
        <f t="shared" si="14"/>
        <v>100</v>
      </c>
      <c r="X46" s="1282"/>
      <c r="Y46" s="1314"/>
      <c r="Z46" s="1281">
        <f t="shared" si="15"/>
        <v>111</v>
      </c>
      <c r="AA46" s="1312">
        <f t="shared" si="3"/>
        <v>1</v>
      </c>
      <c r="AB46" s="1312">
        <f t="shared" si="4"/>
        <v>1</v>
      </c>
      <c r="AC46" s="1312">
        <f t="shared" si="5"/>
        <v>1</v>
      </c>
    </row>
    <row r="47" ht="15" spans="1:29">
      <c r="A47" s="1193" t="s">
        <v>1087</v>
      </c>
      <c r="B47" s="1617"/>
      <c r="C47" s="1618" t="s">
        <v>121</v>
      </c>
      <c r="D47" s="1619"/>
      <c r="E47" s="1620"/>
      <c r="F47" s="1621"/>
      <c r="G47" s="1622"/>
      <c r="H47" s="1623"/>
      <c r="I47" s="1620"/>
      <c r="J47" s="1623"/>
      <c r="K47" s="1270"/>
      <c r="L47" s="1271"/>
      <c r="N47" s="1236"/>
      <c r="P47" s="491" t="str">
        <f>A47</f>
        <v>成交单价（元/平方米）</v>
      </c>
      <c r="Q47" s="491"/>
      <c r="R47" s="1312">
        <f>E47</f>
        <v>0</v>
      </c>
      <c r="S47" s="1312"/>
      <c r="T47" s="1312">
        <f>G47</f>
        <v>0</v>
      </c>
      <c r="U47" s="1312"/>
      <c r="V47" s="1312">
        <f>I47</f>
        <v>0</v>
      </c>
      <c r="W47" s="1312"/>
      <c r="X47" s="1300"/>
      <c r="Y47" s="1314"/>
      <c r="Z47" s="1300"/>
      <c r="AA47" s="1300"/>
      <c r="AB47" s="1300"/>
      <c r="AC47" s="1300"/>
    </row>
    <row r="48" ht="15.75" spans="1:29">
      <c r="A48" s="1201" t="s">
        <v>1088</v>
      </c>
      <c r="B48" s="1624"/>
      <c r="C48" s="1625" t="e">
        <f>R49</f>
        <v>#DIV/0!</v>
      </c>
      <c r="D48" s="831" t="s">
        <v>1089</v>
      </c>
      <c r="E48" s="1626" t="e">
        <f>R48</f>
        <v>#DIV/0!</v>
      </c>
      <c r="F48" s="832"/>
      <c r="G48" s="1625" t="e">
        <f>T48</f>
        <v>#DIV/0!</v>
      </c>
      <c r="H48" s="832"/>
      <c r="I48" s="1626" t="e">
        <f>V48</f>
        <v>#DIV/0!</v>
      </c>
      <c r="J48" s="832"/>
      <c r="K48" s="918">
        <f>F48+H48+J48</f>
        <v>0</v>
      </c>
      <c r="L48" s="1271"/>
      <c r="N48" s="1236"/>
      <c r="P48" s="491" t="str">
        <f>A48</f>
        <v>比较价值（元/平方米）</v>
      </c>
      <c r="Q48" s="491"/>
      <c r="R48" s="1312" t="e">
        <f>IF(E1="售价",ROUND(PRODUCT(R47,AA7:AA46),0),ROUND(PRODUCT(R47,AA7:AA46),1))</f>
        <v>#DIV/0!</v>
      </c>
      <c r="S48" s="1312"/>
      <c r="T48" s="1312" t="e">
        <f>IF(E1="售价",ROUND(PRODUCT(T47,AB7:AB46),0),ROUND(PRODUCT(T47,AB7:AB46),1))</f>
        <v>#DIV/0!</v>
      </c>
      <c r="U48" s="1312"/>
      <c r="V48" s="1312" t="e">
        <f>IF(E1="售价",ROUND(PRODUCT(V47,AC7:AC46),0),ROUND(PRODUCT(V47,AC7:AC46),1))</f>
        <v>#DIV/0!</v>
      </c>
      <c r="W48" s="1312"/>
      <c r="X48" s="1300"/>
      <c r="Y48" s="1300"/>
      <c r="Z48" s="1300"/>
      <c r="AA48" s="1300"/>
      <c r="AB48" s="1300"/>
      <c r="AC48" s="1300"/>
    </row>
    <row r="49" ht="15.75" spans="1:29">
      <c r="A49" s="1205" t="s">
        <v>1481</v>
      </c>
      <c r="B49" s="1206"/>
      <c r="C49" s="1627" t="e">
        <f>R49</f>
        <v>#DIV/0!</v>
      </c>
      <c r="D49" s="1627"/>
      <c r="E49" s="1627"/>
      <c r="F49" s="1627"/>
      <c r="G49" s="1627"/>
      <c r="H49" s="1627"/>
      <c r="I49" s="1627"/>
      <c r="J49" s="1627"/>
      <c r="K49" s="1272"/>
      <c r="L49" s="1271"/>
      <c r="N49" s="1236"/>
      <c r="P49" s="1273" t="str">
        <f>A49</f>
        <v>估价对象XX用房的比较价值（楼面单价，元/平方米）</v>
      </c>
      <c r="Q49" s="1302"/>
      <c r="R49" s="1647" t="e">
        <f>IF(E1="售价",ROUND(IF(D48="简单平均",AVERAGE(R48:V48),R48*F48+T48*H48+V48*J48),0),ROUND(IF(D48="简单平均",AVERAGE(R48:V48),R48*F48+T48*H48+V48*J48),1))</f>
        <v>#DIV/0!</v>
      </c>
      <c r="S49" s="1647"/>
      <c r="T49" s="1647"/>
      <c r="U49" s="1647"/>
      <c r="V49" s="1647"/>
      <c r="W49" s="1647"/>
      <c r="X49" s="1300"/>
      <c r="Y49" s="1300"/>
      <c r="Z49" s="1300"/>
      <c r="AA49" s="1300"/>
      <c r="AB49" s="1300"/>
      <c r="AC49" s="1300"/>
    </row>
    <row r="50" spans="7:29">
      <c r="G50" s="1208"/>
      <c r="P50" s="1691"/>
      <c r="Q50" s="1319"/>
      <c r="R50" s="1319"/>
      <c r="S50" s="1319"/>
      <c r="T50" s="1319"/>
      <c r="U50" s="1319"/>
      <c r="V50" s="1319"/>
      <c r="W50" s="1319"/>
      <c r="X50" s="1319"/>
      <c r="Y50" s="1319"/>
      <c r="Z50" s="1319"/>
      <c r="AA50" s="1319"/>
      <c r="AB50" s="1319"/>
      <c r="AC50" s="1319"/>
    </row>
    <row r="51" spans="16:29">
      <c r="P51" s="1691"/>
      <c r="Q51" s="1319"/>
      <c r="R51" s="1319"/>
      <c r="S51" s="1319"/>
      <c r="T51" s="1319"/>
      <c r="U51" s="1319"/>
      <c r="V51" s="1319"/>
      <c r="W51" s="1319"/>
      <c r="X51" s="1319"/>
      <c r="Y51" s="1319"/>
      <c r="Z51" s="1319"/>
      <c r="AA51" s="1319"/>
      <c r="AB51" s="1319"/>
      <c r="AC51" s="1319"/>
    </row>
    <row r="52" ht="13.5" customHeight="1" spans="3:29">
      <c r="C52" s="838" t="s">
        <v>1091</v>
      </c>
      <c r="D52" s="530"/>
      <c r="E52" s="1209" t="e">
        <f>IF(E47&lt;E48,E48/E47-1,E47/E48-1)</f>
        <v>#DIV/0!</v>
      </c>
      <c r="F52" s="1210" t="e">
        <f>IF(OR(E52&gt;=0.3,E52&lt;=-0.3),"超过30%","")</f>
        <v>#DIV/0!</v>
      </c>
      <c r="G52" s="1209" t="e">
        <f>IF(G47&lt;G48,G48/G47-1,G47/G48-1)</f>
        <v>#DIV/0!</v>
      </c>
      <c r="H52" s="1210" t="e">
        <f>IF(OR(G52&gt;=0.3,G52&lt;=-0.3),"超过30%","")</f>
        <v>#DIV/0!</v>
      </c>
      <c r="I52" s="1209" t="e">
        <f>IF(I47&lt;I48,I48/I47-1,I47/I48-1)</f>
        <v>#DIV/0!</v>
      </c>
      <c r="J52" s="1210" t="e">
        <f>IF(OR(I52&gt;=0.3,I52&lt;=-0.3),"超过30%","")</f>
        <v>#DIV/0!</v>
      </c>
      <c r="P52" s="1691"/>
      <c r="Q52" s="1319"/>
      <c r="R52" s="1319"/>
      <c r="S52" s="1319"/>
      <c r="T52" s="1319"/>
      <c r="U52" s="1319"/>
      <c r="V52" s="1319"/>
      <c r="W52" s="1319"/>
      <c r="X52" s="1319"/>
      <c r="Y52" s="1319"/>
      <c r="Z52" s="1319"/>
      <c r="AA52" s="1319"/>
      <c r="AB52" s="1319"/>
      <c r="AC52" s="1319"/>
    </row>
    <row r="53" ht="13.5" customHeight="1" spans="3:29">
      <c r="C53" s="838" t="s">
        <v>1092</v>
      </c>
      <c r="D53" s="529"/>
      <c r="E53" s="1209" t="e">
        <f>IF(E48&lt;G48,G48/E48-1,E48/G48-1)</f>
        <v>#DIV/0!</v>
      </c>
      <c r="F53" s="1210" t="e">
        <f>IF(OR(E53&gt;=0.2,E53&lt;=-0.2),"超过20%","")</f>
        <v>#DIV/0!</v>
      </c>
      <c r="G53" s="1209" t="e">
        <f>IF(G48&lt;I48,I48/G48-1,G48/I48-1)</f>
        <v>#DIV/0!</v>
      </c>
      <c r="H53" s="1210" t="e">
        <f>IF(OR(G53&gt;=0.2,G53&lt;=-0.2),"超过20%","")</f>
        <v>#DIV/0!</v>
      </c>
      <c r="I53" s="1209" t="e">
        <f>IF(I48&lt;E48,E48/I48-1,I48/E48-1)</f>
        <v>#DIV/0!</v>
      </c>
      <c r="J53" s="1210" t="e">
        <f>IF(OR(I53&gt;=0.2,I53&lt;=-0.2),"超过20%","")</f>
        <v>#DIV/0!</v>
      </c>
      <c r="P53" s="1691"/>
      <c r="Q53" s="1319"/>
      <c r="R53" s="1319"/>
      <c r="S53" s="1319"/>
      <c r="T53" s="1319"/>
      <c r="U53" s="1319"/>
      <c r="V53" s="1319"/>
      <c r="W53" s="1319"/>
      <c r="X53" s="1319"/>
      <c r="Y53" s="1319"/>
      <c r="Z53" s="1319"/>
      <c r="AA53" s="1319"/>
      <c r="AB53" s="1319"/>
      <c r="AC53" s="1319"/>
    </row>
    <row r="54" s="1083" customFormat="1" ht="13.5" customHeight="1" spans="3:29">
      <c r="C54" s="838" t="s">
        <v>1093</v>
      </c>
      <c r="D54" s="529"/>
      <c r="E54" s="1209" t="e">
        <f>IF(E47&lt;G47,G47/E47-1,E47/G47-1)</f>
        <v>#DIV/0!</v>
      </c>
      <c r="F54" s="1210" t="e">
        <f>IF(OR(E54&gt;=0.3,E54&lt;=-0.3),"超过30%","")</f>
        <v>#DIV/0!</v>
      </c>
      <c r="G54" s="1209" t="e">
        <f>IF(G47&lt;I47,I47/G47-1,G47/I47-1)</f>
        <v>#DIV/0!</v>
      </c>
      <c r="H54" s="1210" t="e">
        <f>IF(OR(G54&gt;=0.3,G54&lt;=-0.3),"超过30%","")</f>
        <v>#DIV/0!</v>
      </c>
      <c r="I54" s="1209" t="e">
        <f>IF(I47&lt;E47,E47/I47-1,I47/E47-1)</f>
        <v>#DIV/0!</v>
      </c>
      <c r="J54" s="1210" t="e">
        <f>IF(OR(I54&gt;=0.3,I54&lt;=-0.3),"超过30%","")</f>
        <v>#DIV/0!</v>
      </c>
      <c r="K54" s="1274"/>
      <c r="L54" s="1275"/>
      <c r="P54" s="1692"/>
      <c r="Q54" s="1699"/>
      <c r="R54" s="1699"/>
      <c r="S54" s="1699"/>
      <c r="T54" s="1699"/>
      <c r="U54" s="1699"/>
      <c r="V54" s="1699"/>
      <c r="W54" s="1699"/>
      <c r="X54" s="1699"/>
      <c r="Y54" s="1699"/>
      <c r="Z54" s="1699"/>
      <c r="AA54" s="1699"/>
      <c r="AB54" s="1699"/>
      <c r="AC54" s="1699"/>
    </row>
    <row r="55" s="1083" customFormat="1" spans="2:29">
      <c r="B55" s="1211"/>
      <c r="C55" s="1212"/>
      <c r="K55" s="1274"/>
      <c r="L55" s="1275"/>
      <c r="P55" s="1692"/>
      <c r="Q55" s="1699"/>
      <c r="R55" s="1699"/>
      <c r="S55" s="1699"/>
      <c r="T55" s="1699"/>
      <c r="U55" s="1699"/>
      <c r="V55" s="1699"/>
      <c r="W55" s="1699"/>
      <c r="X55" s="1699"/>
      <c r="Y55" s="1699"/>
      <c r="Z55" s="1699"/>
      <c r="AA55" s="1699"/>
      <c r="AB55" s="1699"/>
      <c r="AC55" s="1699"/>
    </row>
    <row r="56" spans="2:29">
      <c r="B56" s="1211"/>
      <c r="C56" s="1212"/>
      <c r="P56" s="1691"/>
      <c r="Q56" s="1319"/>
      <c r="R56" s="1319"/>
      <c r="S56" s="1319"/>
      <c r="T56" s="1319"/>
      <c r="U56" s="1319"/>
      <c r="V56" s="1319"/>
      <c r="W56" s="1319"/>
      <c r="X56" s="1319"/>
      <c r="Y56" s="1319"/>
      <c r="Z56" s="1319"/>
      <c r="AA56" s="1319"/>
      <c r="AB56" s="1319"/>
      <c r="AC56" s="1319"/>
    </row>
    <row r="57" ht="21" spans="1:29">
      <c r="A57" s="1323" t="s">
        <v>1094</v>
      </c>
      <c r="B57" s="1300"/>
      <c r="C57" s="1324"/>
      <c r="D57" s="1324"/>
      <c r="E57" s="1324"/>
      <c r="F57" s="1324"/>
      <c r="G57" s="1324"/>
      <c r="H57" s="1324"/>
      <c r="I57" s="1324"/>
      <c r="J57" s="1324"/>
      <c r="K57" s="1640"/>
      <c r="L57" s="1377"/>
      <c r="M57" s="1375"/>
      <c r="N57" s="1642"/>
      <c r="O57" s="1642"/>
      <c r="P57" s="1693"/>
      <c r="Q57" s="1700"/>
      <c r="R57" s="1319"/>
      <c r="S57" s="1319"/>
      <c r="T57" s="1319"/>
      <c r="U57" s="1319"/>
      <c r="V57" s="1319"/>
      <c r="W57" s="1319"/>
      <c r="X57" s="1319"/>
      <c r="Y57" s="1319"/>
      <c r="Z57" s="1319"/>
      <c r="AA57" s="1319"/>
      <c r="AB57" s="1319"/>
      <c r="AC57" s="1319"/>
    </row>
    <row r="58" s="1575" customFormat="1" ht="15" spans="1:16">
      <c r="A58" s="1628" t="s">
        <v>1043</v>
      </c>
      <c r="B58" s="1629"/>
      <c r="C58" s="1630" t="str">
        <f>YEAR(C7)&amp;"-"&amp;MONTH(C7)</f>
        <v>2022-1</v>
      </c>
      <c r="D58" s="1631">
        <f>EDATE(C58,-1)</f>
        <v>44531</v>
      </c>
      <c r="E58" s="1631">
        <f t="shared" ref="E58:O58" si="16">EDATE(D58,-1)</f>
        <v>44501</v>
      </c>
      <c r="F58" s="1631">
        <f t="shared" si="16"/>
        <v>44470</v>
      </c>
      <c r="G58" s="1631">
        <f t="shared" si="16"/>
        <v>44440</v>
      </c>
      <c r="H58" s="1631">
        <f t="shared" si="16"/>
        <v>44409</v>
      </c>
      <c r="I58" s="1631">
        <f t="shared" si="16"/>
        <v>44378</v>
      </c>
      <c r="J58" s="1631">
        <f t="shared" si="16"/>
        <v>44348</v>
      </c>
      <c r="K58" s="1631">
        <f t="shared" si="16"/>
        <v>44317</v>
      </c>
      <c r="L58" s="1631">
        <f t="shared" si="16"/>
        <v>44287</v>
      </c>
      <c r="M58" s="1631">
        <f t="shared" si="16"/>
        <v>44256</v>
      </c>
      <c r="N58" s="1631">
        <f t="shared" si="16"/>
        <v>44228</v>
      </c>
      <c r="O58" s="1631">
        <f t="shared" si="16"/>
        <v>44197</v>
      </c>
      <c r="P58" s="1694"/>
    </row>
    <row r="59" s="1080" customFormat="1" ht="15" spans="1:16">
      <c r="A59" s="1632"/>
      <c r="B59" s="1336"/>
      <c r="C59" s="1338">
        <v>100</v>
      </c>
      <c r="D59" s="1339"/>
      <c r="E59" s="1339"/>
      <c r="F59" s="1339"/>
      <c r="G59" s="1339"/>
      <c r="H59" s="1339"/>
      <c r="I59" s="1339"/>
      <c r="J59" s="1339"/>
      <c r="K59" s="1339"/>
      <c r="L59" s="1339"/>
      <c r="M59" s="1644"/>
      <c r="N59" s="1339"/>
      <c r="O59" s="1644"/>
      <c r="P59" s="1695"/>
    </row>
    <row r="60" s="1080" customFormat="1" ht="15.75" spans="1:17">
      <c r="A60" s="1331" t="s">
        <v>1095</v>
      </c>
      <c r="B60" s="1332"/>
      <c r="C60" s="1333"/>
      <c r="D60" s="1334"/>
      <c r="E60" s="1334"/>
      <c r="F60" s="1334"/>
      <c r="G60" s="1334"/>
      <c r="H60" s="1334"/>
      <c r="I60" s="1334"/>
      <c r="J60" s="1334"/>
      <c r="K60" s="1334"/>
      <c r="L60" s="1334"/>
      <c r="M60" s="1383"/>
      <c r="N60" s="1334"/>
      <c r="O60" s="1383"/>
      <c r="P60" s="1695"/>
      <c r="Q60" s="1382"/>
    </row>
    <row r="61" s="1080" customFormat="1" ht="15" spans="1:17">
      <c r="A61" s="1335" t="s">
        <v>1046</v>
      </c>
      <c r="B61" s="1336"/>
      <c r="C61" s="1337" t="s">
        <v>1047</v>
      </c>
      <c r="D61" s="1026"/>
      <c r="E61" s="1026"/>
      <c r="F61" s="1026"/>
      <c r="G61" s="1026"/>
      <c r="H61" s="1026"/>
      <c r="I61" s="1026"/>
      <c r="J61" s="1026"/>
      <c r="K61" s="1026"/>
      <c r="L61" s="1026"/>
      <c r="M61" s="1385"/>
      <c r="N61" s="1386"/>
      <c r="O61" s="1386"/>
      <c r="P61" s="1696"/>
      <c r="Q61" s="1382"/>
    </row>
    <row r="62" s="1080" customFormat="1" ht="15.75" spans="1:17">
      <c r="A62" s="1335"/>
      <c r="B62" s="1336"/>
      <c r="C62" s="1633">
        <v>100</v>
      </c>
      <c r="D62" s="1339"/>
      <c r="E62" s="1339"/>
      <c r="F62" s="1339"/>
      <c r="G62" s="1339"/>
      <c r="H62" s="1339"/>
      <c r="I62" s="1339"/>
      <c r="J62" s="1339"/>
      <c r="K62" s="1339"/>
      <c r="L62" s="1339"/>
      <c r="M62" s="1388"/>
      <c r="N62" s="1386"/>
      <c r="O62" s="1386"/>
      <c r="P62" s="1695"/>
      <c r="Q62" s="1382"/>
    </row>
    <row r="63" spans="1:17">
      <c r="A63" s="1340" t="s">
        <v>1096</v>
      </c>
      <c r="B63" s="1341" t="s">
        <v>1051</v>
      </c>
      <c r="C63" s="1361">
        <f>C9</f>
        <v>0</v>
      </c>
      <c r="D63" s="1268"/>
      <c r="E63" s="1268"/>
      <c r="F63" s="1268"/>
      <c r="G63" s="1268"/>
      <c r="H63" s="1268"/>
      <c r="I63" s="1268"/>
      <c r="J63" s="1268"/>
      <c r="K63" s="1032"/>
      <c r="L63" s="1032"/>
      <c r="M63" s="1389"/>
      <c r="N63" s="1390"/>
      <c r="O63" s="1390"/>
      <c r="P63" s="1697"/>
      <c r="Q63" s="1382"/>
    </row>
    <row r="64" ht="15.75" spans="1:17">
      <c r="A64" s="1342"/>
      <c r="B64" s="1343"/>
      <c r="C64" s="1344">
        <v>100</v>
      </c>
      <c r="D64" s="1344"/>
      <c r="E64" s="1344"/>
      <c r="F64" s="1344"/>
      <c r="G64" s="1344"/>
      <c r="H64" s="1344"/>
      <c r="I64" s="1344"/>
      <c r="J64" s="1344"/>
      <c r="K64" s="1344"/>
      <c r="L64" s="1344"/>
      <c r="M64" s="1392"/>
      <c r="N64" s="1393"/>
      <c r="O64" s="1393"/>
      <c r="P64" s="1697"/>
      <c r="Q64" s="1382"/>
    </row>
    <row r="65" ht="27.75" spans="1:17">
      <c r="A65" s="1342"/>
      <c r="B65" s="1345" t="s">
        <v>1054</v>
      </c>
      <c r="C65" s="1346" t="s">
        <v>1097</v>
      </c>
      <c r="D65" s="1346" t="s">
        <v>1098</v>
      </c>
      <c r="E65" s="1346" t="s">
        <v>1099</v>
      </c>
      <c r="F65" s="1346" t="s">
        <v>1100</v>
      </c>
      <c r="G65" s="1346" t="s">
        <v>1101</v>
      </c>
      <c r="H65" s="1346" t="s">
        <v>1102</v>
      </c>
      <c r="I65" s="1346" t="s">
        <v>1103</v>
      </c>
      <c r="J65" s="1346"/>
      <c r="K65" s="1039"/>
      <c r="L65" s="1039"/>
      <c r="M65" s="1394"/>
      <c r="N65" s="1390"/>
      <c r="O65" s="1390"/>
      <c r="P65" s="1697"/>
      <c r="Q65" s="1382"/>
    </row>
    <row r="66" ht="15.75" spans="1:17">
      <c r="A66" s="1342"/>
      <c r="B66" s="1347"/>
      <c r="C66" s="1348" t="s">
        <v>1482</v>
      </c>
      <c r="D66" s="1348" t="s">
        <v>1482</v>
      </c>
      <c r="E66" s="1348" t="s">
        <v>1482</v>
      </c>
      <c r="F66" s="1348">
        <v>100</v>
      </c>
      <c r="G66" s="1348">
        <f>F66-$K10</f>
        <v>100</v>
      </c>
      <c r="H66" s="1348">
        <f>G66-$K10</f>
        <v>100</v>
      </c>
      <c r="I66" s="1348">
        <f>H66-$K10</f>
        <v>100</v>
      </c>
      <c r="J66" s="1348"/>
      <c r="K66" s="1348"/>
      <c r="L66" s="1348"/>
      <c r="M66" s="1395"/>
      <c r="N66" s="1393"/>
      <c r="O66" s="1393"/>
      <c r="P66" s="1697"/>
      <c r="Q66" s="1382"/>
    </row>
    <row r="67" ht="15.75" spans="1:17">
      <c r="A67" s="1342"/>
      <c r="B67" s="1349" t="s">
        <v>1056</v>
      </c>
      <c r="C67" s="1350" t="str">
        <f>C68&amp;"（含）"&amp;"-"&amp;D68</f>
        <v>（含）-</v>
      </c>
      <c r="D67" s="1350" t="str">
        <f t="shared" ref="D67:L67" si="17">D68&amp;"（含）"&amp;"-"&amp;E68</f>
        <v>（含）-</v>
      </c>
      <c r="E67" s="1350" t="str">
        <f t="shared" si="17"/>
        <v>（含）-</v>
      </c>
      <c r="F67" s="1350" t="str">
        <f t="shared" si="17"/>
        <v>（含）-</v>
      </c>
      <c r="G67" s="1350" t="str">
        <f t="shared" si="17"/>
        <v>（含）-</v>
      </c>
      <c r="H67" s="1350" t="str">
        <f t="shared" si="17"/>
        <v>（含）-</v>
      </c>
      <c r="I67" s="1350" t="str">
        <f t="shared" si="17"/>
        <v>（含）-</v>
      </c>
      <c r="J67" s="1350" t="str">
        <f t="shared" si="17"/>
        <v>（含）-</v>
      </c>
      <c r="K67" s="1350" t="str">
        <f t="shared" si="17"/>
        <v>（含）-</v>
      </c>
      <c r="L67" s="1350" t="str">
        <f t="shared" si="17"/>
        <v>（含）-</v>
      </c>
      <c r="M67" s="1151" t="str">
        <f>M68&amp;"（含）"&amp;"-"&amp;P68</f>
        <v>（含）-</v>
      </c>
      <c r="N67" s="1393"/>
      <c r="O67" s="1393"/>
      <c r="P67" s="1697"/>
      <c r="Q67" s="1382"/>
    </row>
    <row r="68" ht="15" spans="1:17">
      <c r="A68" s="1342"/>
      <c r="B68" s="1351"/>
      <c r="C68" s="1139"/>
      <c r="D68" s="1139"/>
      <c r="E68" s="1139"/>
      <c r="F68" s="1139"/>
      <c r="G68" s="1139"/>
      <c r="H68" s="1139"/>
      <c r="I68" s="1139"/>
      <c r="J68" s="1139"/>
      <c r="K68" s="1043"/>
      <c r="L68" s="1043"/>
      <c r="M68" s="1396"/>
      <c r="N68" s="1390"/>
      <c r="O68" s="1390"/>
      <c r="P68" s="1697"/>
      <c r="Q68" s="1382"/>
    </row>
    <row r="69" ht="15.75" spans="1:17">
      <c r="A69" s="1342"/>
      <c r="B69" s="1343"/>
      <c r="C69" s="1348">
        <v>100</v>
      </c>
      <c r="D69" s="1348">
        <f t="shared" ref="D69:M69" si="18">C69-$K11</f>
        <v>100</v>
      </c>
      <c r="E69" s="1348">
        <f t="shared" si="18"/>
        <v>100</v>
      </c>
      <c r="F69" s="1348">
        <f t="shared" si="18"/>
        <v>100</v>
      </c>
      <c r="G69" s="1348">
        <f t="shared" si="18"/>
        <v>100</v>
      </c>
      <c r="H69" s="1348">
        <f t="shared" si="18"/>
        <v>100</v>
      </c>
      <c r="I69" s="1348">
        <f t="shared" si="18"/>
        <v>100</v>
      </c>
      <c r="J69" s="1348">
        <f t="shared" si="18"/>
        <v>100</v>
      </c>
      <c r="K69" s="1348">
        <f t="shared" si="18"/>
        <v>100</v>
      </c>
      <c r="L69" s="1348">
        <f t="shared" si="18"/>
        <v>100</v>
      </c>
      <c r="M69" s="1395">
        <f t="shared" si="18"/>
        <v>100</v>
      </c>
      <c r="N69" s="1393"/>
      <c r="O69" s="1393"/>
      <c r="P69" s="1697"/>
      <c r="Q69" s="1382"/>
    </row>
    <row r="70" s="1082" customFormat="1" ht="15.75" spans="1:17">
      <c r="A70" s="1352"/>
      <c r="B70" s="1345">
        <f>B12</f>
        <v>111</v>
      </c>
      <c r="C70" s="1353"/>
      <c r="D70" s="1353"/>
      <c r="E70" s="1353"/>
      <c r="F70" s="1353"/>
      <c r="G70" s="1353"/>
      <c r="H70" s="1045"/>
      <c r="I70" s="1045"/>
      <c r="J70" s="1045"/>
      <c r="K70" s="1045"/>
      <c r="L70" s="1045"/>
      <c r="M70" s="1397"/>
      <c r="N70" s="1398"/>
      <c r="O70" s="1398"/>
      <c r="P70" s="1702"/>
      <c r="Q70" s="1414"/>
    </row>
    <row r="71" s="1082" customFormat="1" ht="15.75" spans="1:17">
      <c r="A71" s="1352"/>
      <c r="B71" s="1347"/>
      <c r="C71" s="1354"/>
      <c r="D71" s="1344"/>
      <c r="E71" s="1344"/>
      <c r="F71" s="1344"/>
      <c r="G71" s="1344"/>
      <c r="H71" s="1344"/>
      <c r="I71" s="1344"/>
      <c r="J71" s="1344"/>
      <c r="K71" s="1344"/>
      <c r="L71" s="1344"/>
      <c r="M71" s="1392"/>
      <c r="N71" s="1393"/>
      <c r="O71" s="1393"/>
      <c r="P71" s="1702"/>
      <c r="Q71" s="1414"/>
    </row>
    <row r="72" s="1082" customFormat="1" ht="15.75" spans="1:17">
      <c r="A72" s="1352"/>
      <c r="B72" s="1345">
        <f>B13</f>
        <v>111</v>
      </c>
      <c r="C72" s="1353"/>
      <c r="D72" s="1353"/>
      <c r="E72" s="1353"/>
      <c r="F72" s="1353"/>
      <c r="G72" s="1353"/>
      <c r="H72" s="1045"/>
      <c r="I72" s="1045"/>
      <c r="J72" s="1045"/>
      <c r="K72" s="1045"/>
      <c r="L72" s="1045"/>
      <c r="M72" s="1397"/>
      <c r="N72" s="1398"/>
      <c r="O72" s="1398"/>
      <c r="P72" s="1703"/>
      <c r="Q72" s="1415"/>
    </row>
    <row r="73" s="1082" customFormat="1" ht="15.75" spans="1:17">
      <c r="A73" s="1352"/>
      <c r="B73" s="1347"/>
      <c r="C73" s="1354"/>
      <c r="D73" s="1344"/>
      <c r="E73" s="1344"/>
      <c r="F73" s="1344"/>
      <c r="G73" s="1354"/>
      <c r="H73" s="1355"/>
      <c r="I73" s="1355"/>
      <c r="J73" s="1355"/>
      <c r="K73" s="1355"/>
      <c r="L73" s="1355"/>
      <c r="M73" s="1400"/>
      <c r="N73" s="1398"/>
      <c r="O73" s="1398"/>
      <c r="P73" s="1702"/>
      <c r="Q73" s="1414"/>
    </row>
    <row r="74" s="1082" customFormat="1" ht="15.75" spans="1:17">
      <c r="A74" s="1352"/>
      <c r="B74" s="1349">
        <f>B14</f>
        <v>111</v>
      </c>
      <c r="C74" s="1353"/>
      <c r="D74" s="1353"/>
      <c r="E74" s="1353"/>
      <c r="F74" s="1353"/>
      <c r="G74" s="1026"/>
      <c r="H74" s="1050"/>
      <c r="I74" s="1050"/>
      <c r="J74" s="1050"/>
      <c r="K74" s="1050"/>
      <c r="L74" s="1050"/>
      <c r="M74" s="1401"/>
      <c r="N74" s="1398"/>
      <c r="O74" s="1398"/>
      <c r="P74" s="1702"/>
      <c r="Q74" s="1414"/>
    </row>
    <row r="75" s="1082" customFormat="1" ht="15.75" spans="1:17">
      <c r="A75" s="1356"/>
      <c r="B75" s="1357"/>
      <c r="C75" s="1358"/>
      <c r="D75" s="1358"/>
      <c r="E75" s="1358"/>
      <c r="F75" s="1358"/>
      <c r="G75" s="1358"/>
      <c r="H75" s="1359"/>
      <c r="I75" s="1359"/>
      <c r="J75" s="1359"/>
      <c r="K75" s="1359"/>
      <c r="L75" s="1359"/>
      <c r="M75" s="1402"/>
      <c r="N75" s="1398"/>
      <c r="O75" s="1398"/>
      <c r="P75" s="1702"/>
      <c r="Q75" s="1414"/>
    </row>
    <row r="76" spans="1:17">
      <c r="A76" s="1340" t="s">
        <v>1057</v>
      </c>
      <c r="B76" s="1341" t="s">
        <v>205</v>
      </c>
      <c r="C76" s="1360" t="s">
        <v>226</v>
      </c>
      <c r="D76" s="1360" t="s">
        <v>238</v>
      </c>
      <c r="E76" s="1360" t="s">
        <v>249</v>
      </c>
      <c r="F76" s="1360" t="s">
        <v>259</v>
      </c>
      <c r="G76" s="1360" t="s">
        <v>266</v>
      </c>
      <c r="H76" s="1361"/>
      <c r="I76" s="1361"/>
      <c r="J76" s="1361"/>
      <c r="K76" s="1055"/>
      <c r="L76" s="1055"/>
      <c r="M76" s="1403"/>
      <c r="N76" s="1390"/>
      <c r="O76" s="1390"/>
      <c r="P76" s="1697"/>
      <c r="Q76" s="1382"/>
    </row>
    <row r="77" ht="15.75" spans="1:17">
      <c r="A77" s="1342"/>
      <c r="B77" s="1347"/>
      <c r="C77" s="1348">
        <v>100</v>
      </c>
      <c r="D77" s="1348">
        <f>C77-$K15</f>
        <v>100</v>
      </c>
      <c r="E77" s="1348">
        <f>D77-$K15</f>
        <v>100</v>
      </c>
      <c r="F77" s="1348">
        <f>E77-$K15</f>
        <v>100</v>
      </c>
      <c r="G77" s="1348">
        <f>F77-$K15</f>
        <v>100</v>
      </c>
      <c r="H77" s="1348"/>
      <c r="I77" s="1348"/>
      <c r="J77" s="1348"/>
      <c r="K77" s="1348"/>
      <c r="L77" s="1348"/>
      <c r="M77" s="1395"/>
      <c r="N77" s="1393"/>
      <c r="O77" s="1393"/>
      <c r="P77" s="1697"/>
      <c r="Q77" s="1382"/>
    </row>
    <row r="78" ht="15.75" spans="1:17">
      <c r="A78" s="1342"/>
      <c r="B78" s="1345" t="s">
        <v>209</v>
      </c>
      <c r="C78" s="1058" t="s">
        <v>226</v>
      </c>
      <c r="D78" s="1058" t="s">
        <v>238</v>
      </c>
      <c r="E78" s="1058" t="s">
        <v>249</v>
      </c>
      <c r="F78" s="1058" t="s">
        <v>259</v>
      </c>
      <c r="G78" s="1058" t="s">
        <v>266</v>
      </c>
      <c r="H78" s="1346"/>
      <c r="I78" s="1346"/>
      <c r="J78" s="1346"/>
      <c r="K78" s="1039"/>
      <c r="L78" s="1039"/>
      <c r="M78" s="1394"/>
      <c r="N78" s="1390"/>
      <c r="O78" s="1390"/>
      <c r="P78" s="1697"/>
      <c r="Q78" s="1382"/>
    </row>
    <row r="79" ht="15.75" spans="1:17">
      <c r="A79" s="1342"/>
      <c r="B79" s="1347"/>
      <c r="C79" s="1348">
        <v>100</v>
      </c>
      <c r="D79" s="1348">
        <f>C79-$K17</f>
        <v>100</v>
      </c>
      <c r="E79" s="1348">
        <f>D79-$K17</f>
        <v>100</v>
      </c>
      <c r="F79" s="1348">
        <f>E79-$K17</f>
        <v>100</v>
      </c>
      <c r="G79" s="1348">
        <f>F79-$K17</f>
        <v>100</v>
      </c>
      <c r="H79" s="1348"/>
      <c r="I79" s="1348"/>
      <c r="J79" s="1348"/>
      <c r="K79" s="1348"/>
      <c r="L79" s="1348"/>
      <c r="M79" s="1395"/>
      <c r="N79" s="1393"/>
      <c r="O79" s="1393"/>
      <c r="P79" s="1697"/>
      <c r="Q79" s="1382"/>
    </row>
    <row r="80" ht="15.75" spans="1:17">
      <c r="A80" s="1342"/>
      <c r="B80" s="1345" t="s">
        <v>211</v>
      </c>
      <c r="C80" s="1058" t="s">
        <v>226</v>
      </c>
      <c r="D80" s="1058" t="s">
        <v>238</v>
      </c>
      <c r="E80" s="1058" t="s">
        <v>249</v>
      </c>
      <c r="F80" s="1058" t="s">
        <v>259</v>
      </c>
      <c r="G80" s="1058" t="s">
        <v>266</v>
      </c>
      <c r="H80" s="1346"/>
      <c r="I80" s="1346"/>
      <c r="J80" s="1346"/>
      <c r="K80" s="1039"/>
      <c r="L80" s="1039"/>
      <c r="M80" s="1394"/>
      <c r="N80" s="1390"/>
      <c r="O80" s="1390"/>
      <c r="P80" s="1697"/>
      <c r="Q80" s="1382"/>
    </row>
    <row r="81" ht="15.75" spans="1:17">
      <c r="A81" s="1342"/>
      <c r="B81" s="1347"/>
      <c r="C81" s="1348">
        <v>100</v>
      </c>
      <c r="D81" s="1348">
        <f>C81-$K19</f>
        <v>100</v>
      </c>
      <c r="E81" s="1348">
        <f>D81-$K19</f>
        <v>100</v>
      </c>
      <c r="F81" s="1348">
        <f>E81-$K19</f>
        <v>100</v>
      </c>
      <c r="G81" s="1348">
        <f>F81-$K19</f>
        <v>100</v>
      </c>
      <c r="H81" s="1348"/>
      <c r="I81" s="1348"/>
      <c r="J81" s="1348"/>
      <c r="K81" s="1348"/>
      <c r="L81" s="1348"/>
      <c r="M81" s="1395"/>
      <c r="N81" s="1393"/>
      <c r="O81" s="1393"/>
      <c r="P81" s="1697"/>
      <c r="Q81" s="1382"/>
    </row>
    <row r="82" ht="15.75" spans="1:17">
      <c r="A82" s="1342"/>
      <c r="B82" s="1349" t="s">
        <v>212</v>
      </c>
      <c r="C82" s="1346" t="s">
        <v>1104</v>
      </c>
      <c r="D82" s="1346" t="s">
        <v>1105</v>
      </c>
      <c r="E82" s="1346" t="s">
        <v>1106</v>
      </c>
      <c r="F82" s="1346" t="s">
        <v>1107</v>
      </c>
      <c r="G82" s="1346" t="s">
        <v>1108</v>
      </c>
      <c r="H82" s="1346"/>
      <c r="I82" s="1346"/>
      <c r="J82" s="1346"/>
      <c r="K82" s="1346"/>
      <c r="L82" s="1346"/>
      <c r="M82" s="1405"/>
      <c r="N82" s="1393"/>
      <c r="O82" s="1393"/>
      <c r="P82" s="1697"/>
      <c r="Q82" s="1382"/>
    </row>
    <row r="83" ht="15.75" spans="1:17">
      <c r="A83" s="1342"/>
      <c r="B83" s="1349"/>
      <c r="C83" s="1348">
        <v>100</v>
      </c>
      <c r="D83" s="1348">
        <f>C83-$K21</f>
        <v>100</v>
      </c>
      <c r="E83" s="1348">
        <f>D83-$K21</f>
        <v>100</v>
      </c>
      <c r="F83" s="1348">
        <f>E83-$K21</f>
        <v>100</v>
      </c>
      <c r="G83" s="1348">
        <f>F83-$K21</f>
        <v>100</v>
      </c>
      <c r="H83" s="1364"/>
      <c r="I83" s="1364"/>
      <c r="J83" s="1364"/>
      <c r="K83" s="1364"/>
      <c r="L83" s="1364"/>
      <c r="M83" s="1153"/>
      <c r="N83" s="1393"/>
      <c r="O83" s="1393"/>
      <c r="P83" s="1697"/>
      <c r="Q83" s="1382"/>
    </row>
    <row r="84" ht="15.75" spans="1:17">
      <c r="A84" s="1342"/>
      <c r="B84" s="1345" t="s">
        <v>1062</v>
      </c>
      <c r="C84" s="1058" t="s">
        <v>226</v>
      </c>
      <c r="D84" s="1058" t="s">
        <v>238</v>
      </c>
      <c r="E84" s="1058" t="s">
        <v>249</v>
      </c>
      <c r="F84" s="1058" t="s">
        <v>259</v>
      </c>
      <c r="G84" s="1058" t="s">
        <v>266</v>
      </c>
      <c r="H84" s="1346"/>
      <c r="I84" s="1346"/>
      <c r="J84" s="1346"/>
      <c r="K84" s="1039"/>
      <c r="L84" s="1039"/>
      <c r="M84" s="1394"/>
      <c r="N84" s="1390"/>
      <c r="O84" s="1390"/>
      <c r="P84" s="1697"/>
      <c r="Q84" s="1382"/>
    </row>
    <row r="85" ht="15.75" spans="1:17">
      <c r="A85" s="1342"/>
      <c r="B85" s="1347"/>
      <c r="C85" s="1348">
        <v>100</v>
      </c>
      <c r="D85" s="1348">
        <f>C85-$K23</f>
        <v>100</v>
      </c>
      <c r="E85" s="1348">
        <f>D85-$K23</f>
        <v>100</v>
      </c>
      <c r="F85" s="1348">
        <f>E85-$K23</f>
        <v>100</v>
      </c>
      <c r="G85" s="1348">
        <f>F85-$K23</f>
        <v>100</v>
      </c>
      <c r="H85" s="1348"/>
      <c r="I85" s="1348"/>
      <c r="J85" s="1348"/>
      <c r="K85" s="1348"/>
      <c r="L85" s="1348"/>
      <c r="M85" s="1395"/>
      <c r="N85" s="1393"/>
      <c r="O85" s="1393"/>
      <c r="P85" s="1697"/>
      <c r="Q85" s="1382"/>
    </row>
    <row r="86" s="1080" customFormat="1" ht="15.75" spans="1:17">
      <c r="A86" s="1362"/>
      <c r="B86" s="1345" t="s">
        <v>214</v>
      </c>
      <c r="C86" s="1353"/>
      <c r="D86" s="1353"/>
      <c r="E86" s="1353"/>
      <c r="F86" s="1353"/>
      <c r="G86" s="1353"/>
      <c r="H86" s="1353"/>
      <c r="I86" s="1353"/>
      <c r="J86" s="1353"/>
      <c r="K86" s="1353"/>
      <c r="L86" s="1353"/>
      <c r="M86" s="1655"/>
      <c r="N86" s="1386"/>
      <c r="O86" s="1386"/>
      <c r="P86" s="1697"/>
      <c r="Q86" s="1382"/>
    </row>
    <row r="87" s="1080" customFormat="1" ht="15.75" spans="1:17">
      <c r="A87" s="1362"/>
      <c r="B87" s="1347"/>
      <c r="C87" s="1363">
        <v>100</v>
      </c>
      <c r="D87" s="1348">
        <f t="shared" ref="D87:M87" si="19">C87-$K25</f>
        <v>100</v>
      </c>
      <c r="E87" s="1348">
        <f t="shared" si="19"/>
        <v>100</v>
      </c>
      <c r="F87" s="1348">
        <f t="shared" si="19"/>
        <v>100</v>
      </c>
      <c r="G87" s="1348">
        <f t="shared" si="19"/>
        <v>100</v>
      </c>
      <c r="H87" s="1348">
        <f t="shared" si="19"/>
        <v>100</v>
      </c>
      <c r="I87" s="1348">
        <f t="shared" si="19"/>
        <v>100</v>
      </c>
      <c r="J87" s="1348">
        <f t="shared" si="19"/>
        <v>100</v>
      </c>
      <c r="K87" s="1348">
        <f t="shared" si="19"/>
        <v>100</v>
      </c>
      <c r="L87" s="1348">
        <f t="shared" si="19"/>
        <v>100</v>
      </c>
      <c r="M87" s="1348">
        <f t="shared" si="19"/>
        <v>100</v>
      </c>
      <c r="N87" s="1393"/>
      <c r="O87" s="1393"/>
      <c r="P87" s="1697"/>
      <c r="Q87" s="1382"/>
    </row>
    <row r="88" s="1080" customFormat="1" ht="15.75" spans="1:17">
      <c r="A88" s="1362"/>
      <c r="B88" s="1345" t="str">
        <f>B26</f>
        <v>平面位置/可视性</v>
      </c>
      <c r="C88" s="1353"/>
      <c r="D88" s="1353"/>
      <c r="E88" s="1353"/>
      <c r="F88" s="1652"/>
      <c r="G88" s="1353"/>
      <c r="H88" s="1353"/>
      <c r="I88" s="1353"/>
      <c r="J88" s="1353"/>
      <c r="K88" s="1353"/>
      <c r="L88" s="1353"/>
      <c r="M88" s="1655"/>
      <c r="N88" s="1386"/>
      <c r="O88" s="1386"/>
      <c r="P88" s="1697"/>
      <c r="Q88" s="1382"/>
    </row>
    <row r="89" s="1080" customFormat="1" ht="15.75" spans="1:17">
      <c r="A89" s="1362"/>
      <c r="B89" s="1347"/>
      <c r="C89" s="1354"/>
      <c r="D89" s="1344"/>
      <c r="E89" s="1344"/>
      <c r="F89" s="1344"/>
      <c r="G89" s="1344"/>
      <c r="H89" s="1344"/>
      <c r="I89" s="1344"/>
      <c r="J89" s="1344"/>
      <c r="K89" s="1344"/>
      <c r="L89" s="1344"/>
      <c r="M89" s="1344"/>
      <c r="N89" s="1393"/>
      <c r="O89" s="1393"/>
      <c r="P89" s="1697"/>
      <c r="Q89" s="1382"/>
    </row>
    <row r="90" s="1082" customFormat="1" ht="15.75" spans="1:17">
      <c r="A90" s="1352"/>
      <c r="B90" s="1345" t="str">
        <f>B27</f>
        <v>人流量</v>
      </c>
      <c r="C90" s="1353"/>
      <c r="D90" s="1353"/>
      <c r="E90" s="1353"/>
      <c r="F90" s="1353"/>
      <c r="G90" s="1353"/>
      <c r="H90" s="1045"/>
      <c r="I90" s="1045"/>
      <c r="J90" s="1045"/>
      <c r="K90" s="1045"/>
      <c r="L90" s="1045"/>
      <c r="M90" s="1397"/>
      <c r="N90" s="1398"/>
      <c r="O90" s="1398"/>
      <c r="P90" s="1702"/>
      <c r="Q90" s="1414"/>
    </row>
    <row r="91" s="1082" customFormat="1" ht="15.75" spans="1:17">
      <c r="A91" s="1352"/>
      <c r="B91" s="1347"/>
      <c r="C91" s="1363">
        <v>100</v>
      </c>
      <c r="D91" s="1348">
        <f>C91-$K27</f>
        <v>100</v>
      </c>
      <c r="E91" s="1348">
        <f t="shared" ref="E91:M91" si="20">D91-$K27</f>
        <v>100</v>
      </c>
      <c r="F91" s="1348">
        <f t="shared" si="20"/>
        <v>100</v>
      </c>
      <c r="G91" s="1348">
        <f t="shared" si="20"/>
        <v>100</v>
      </c>
      <c r="H91" s="1348">
        <f t="shared" si="20"/>
        <v>100</v>
      </c>
      <c r="I91" s="1348">
        <f t="shared" si="20"/>
        <v>100</v>
      </c>
      <c r="J91" s="1348">
        <f t="shared" si="20"/>
        <v>100</v>
      </c>
      <c r="K91" s="1348">
        <f t="shared" si="20"/>
        <v>100</v>
      </c>
      <c r="L91" s="1348">
        <f t="shared" si="20"/>
        <v>100</v>
      </c>
      <c r="M91" s="1348">
        <f t="shared" si="20"/>
        <v>100</v>
      </c>
      <c r="N91" s="1398"/>
      <c r="O91" s="1398"/>
      <c r="P91" s="1702"/>
      <c r="Q91" s="1414"/>
    </row>
    <row r="92" ht="15.75" spans="1:17">
      <c r="A92" s="1342"/>
      <c r="B92" s="1345" t="str">
        <f>B28</f>
        <v>楼层</v>
      </c>
      <c r="C92" s="1353"/>
      <c r="D92" s="1353"/>
      <c r="E92" s="1353"/>
      <c r="F92" s="1353"/>
      <c r="G92" s="1353"/>
      <c r="H92" s="1353"/>
      <c r="I92" s="1353"/>
      <c r="J92" s="1353"/>
      <c r="K92" s="1353"/>
      <c r="L92" s="1353"/>
      <c r="M92" s="1655"/>
      <c r="N92" s="1390"/>
      <c r="O92" s="1390"/>
      <c r="P92" s="1697"/>
      <c r="Q92" s="1382"/>
    </row>
    <row r="93" ht="15.75" spans="1:17">
      <c r="A93" s="1342"/>
      <c r="B93" s="1347"/>
      <c r="C93" s="1344"/>
      <c r="D93" s="1344"/>
      <c r="E93" s="1344"/>
      <c r="F93" s="1344"/>
      <c r="G93" s="1344"/>
      <c r="H93" s="1344"/>
      <c r="I93" s="1344"/>
      <c r="J93" s="1344"/>
      <c r="K93" s="1344"/>
      <c r="L93" s="1344"/>
      <c r="M93" s="1392"/>
      <c r="N93" s="1393"/>
      <c r="O93" s="1393"/>
      <c r="P93" s="1697"/>
      <c r="Q93" s="1382"/>
    </row>
    <row r="94" ht="15.75" spans="1:17">
      <c r="A94" s="1342"/>
      <c r="B94" s="1345">
        <f>B29</f>
        <v>111</v>
      </c>
      <c r="C94" s="1353"/>
      <c r="D94" s="1353"/>
      <c r="E94" s="1353"/>
      <c r="F94" s="1353"/>
      <c r="G94" s="1366"/>
      <c r="H94" s="1366"/>
      <c r="I94" s="1366"/>
      <c r="J94" s="1366"/>
      <c r="K94" s="1065"/>
      <c r="L94" s="1065"/>
      <c r="M94" s="1408"/>
      <c r="N94" s="1390"/>
      <c r="O94" s="1390"/>
      <c r="P94" s="1697"/>
      <c r="Q94" s="1382"/>
    </row>
    <row r="95" ht="15.75" spans="1:17">
      <c r="A95" s="1342"/>
      <c r="B95" s="1347"/>
      <c r="C95" s="1354"/>
      <c r="D95" s="1344"/>
      <c r="E95" s="1344"/>
      <c r="F95" s="1344"/>
      <c r="G95" s="1344"/>
      <c r="H95" s="1344"/>
      <c r="I95" s="1344"/>
      <c r="J95" s="1344"/>
      <c r="K95" s="1344"/>
      <c r="L95" s="1344"/>
      <c r="M95" s="1392"/>
      <c r="N95" s="1393"/>
      <c r="O95" s="1393"/>
      <c r="P95" s="1697"/>
      <c r="Q95" s="1382"/>
    </row>
    <row r="96" ht="15.75" spans="1:17">
      <c r="A96" s="1342"/>
      <c r="B96" s="1345">
        <f>B30</f>
        <v>111</v>
      </c>
      <c r="C96" s="1353"/>
      <c r="D96" s="1353"/>
      <c r="E96" s="1353"/>
      <c r="F96" s="1353"/>
      <c r="G96" s="1366"/>
      <c r="H96" s="1366"/>
      <c r="I96" s="1366"/>
      <c r="J96" s="1366"/>
      <c r="K96" s="1065"/>
      <c r="L96" s="1065"/>
      <c r="M96" s="1408"/>
      <c r="N96" s="1390"/>
      <c r="O96" s="1390"/>
      <c r="P96" s="1697"/>
      <c r="Q96" s="1382"/>
    </row>
    <row r="97" ht="15.75" spans="1:17">
      <c r="A97" s="1342"/>
      <c r="B97" s="1347"/>
      <c r="C97" s="1354"/>
      <c r="D97" s="1344"/>
      <c r="E97" s="1344"/>
      <c r="F97" s="1344"/>
      <c r="G97" s="1344"/>
      <c r="H97" s="1344"/>
      <c r="I97" s="1344"/>
      <c r="J97" s="1344"/>
      <c r="K97" s="1344"/>
      <c r="L97" s="1344"/>
      <c r="M97" s="1392"/>
      <c r="N97" s="1393"/>
      <c r="O97" s="1393"/>
      <c r="P97" s="1697"/>
      <c r="Q97" s="1382"/>
    </row>
    <row r="98" ht="15.75" spans="1:17">
      <c r="A98" s="1342"/>
      <c r="B98" s="1349">
        <f>B31</f>
        <v>111</v>
      </c>
      <c r="C98" s="1353"/>
      <c r="D98" s="1353"/>
      <c r="E98" s="1353"/>
      <c r="F98" s="1353"/>
      <c r="G98" s="1367"/>
      <c r="H98" s="1367"/>
      <c r="I98" s="1367"/>
      <c r="J98" s="1367"/>
      <c r="K98" s="1068"/>
      <c r="L98" s="1068"/>
      <c r="M98" s="1409"/>
      <c r="N98" s="1390"/>
      <c r="O98" s="1390"/>
      <c r="P98" s="1697"/>
      <c r="Q98" s="1382"/>
    </row>
    <row r="99" ht="15.75" spans="1:17">
      <c r="A99" s="1653"/>
      <c r="B99" s="1357"/>
      <c r="C99" s="1358"/>
      <c r="D99" s="1358"/>
      <c r="E99" s="1358"/>
      <c r="F99" s="1358"/>
      <c r="G99" s="1368"/>
      <c r="H99" s="1368"/>
      <c r="I99" s="1368"/>
      <c r="J99" s="1368"/>
      <c r="K99" s="1368"/>
      <c r="L99" s="1368"/>
      <c r="M99" s="1410"/>
      <c r="N99" s="1393"/>
      <c r="O99" s="1393"/>
      <c r="P99" s="1697"/>
      <c r="Q99" s="1382"/>
    </row>
    <row r="100" spans="1:17">
      <c r="A100" s="1340" t="s">
        <v>1070</v>
      </c>
      <c r="B100" s="1341" t="s">
        <v>1476</v>
      </c>
      <c r="C100" s="1268"/>
      <c r="D100" s="1268"/>
      <c r="E100" s="1268"/>
      <c r="F100" s="1268"/>
      <c r="G100" s="1268"/>
      <c r="H100" s="1268"/>
      <c r="I100" s="1268"/>
      <c r="J100" s="1268"/>
      <c r="K100" s="1032"/>
      <c r="L100" s="1032"/>
      <c r="M100" s="1389"/>
      <c r="N100" s="1390"/>
      <c r="O100" s="1390"/>
      <c r="P100" s="1697"/>
      <c r="Q100" s="1382"/>
    </row>
    <row r="101" ht="15.75" spans="1:17">
      <c r="A101" s="1342"/>
      <c r="B101" s="1347"/>
      <c r="C101" s="1348">
        <v>100</v>
      </c>
      <c r="D101" s="1348">
        <f t="shared" ref="D101:M101" si="21">C101-$K32</f>
        <v>100</v>
      </c>
      <c r="E101" s="1348">
        <f t="shared" si="21"/>
        <v>100</v>
      </c>
      <c r="F101" s="1348">
        <f t="shared" si="21"/>
        <v>100</v>
      </c>
      <c r="G101" s="1348">
        <f t="shared" si="21"/>
        <v>100</v>
      </c>
      <c r="H101" s="1348">
        <f t="shared" si="21"/>
        <v>100</v>
      </c>
      <c r="I101" s="1348">
        <f t="shared" si="21"/>
        <v>100</v>
      </c>
      <c r="J101" s="1348">
        <f t="shared" si="21"/>
        <v>100</v>
      </c>
      <c r="K101" s="1348">
        <f t="shared" si="21"/>
        <v>100</v>
      </c>
      <c r="L101" s="1348">
        <f t="shared" si="21"/>
        <v>100</v>
      </c>
      <c r="M101" s="1395">
        <f t="shared" si="21"/>
        <v>100</v>
      </c>
      <c r="N101" s="1393"/>
      <c r="O101" s="1393"/>
      <c r="P101" s="1697"/>
      <c r="Q101" s="1382"/>
    </row>
    <row r="102" ht="15.75" spans="1:17">
      <c r="A102" s="1342"/>
      <c r="B102" s="1345" t="s">
        <v>1074</v>
      </c>
      <c r="C102" s="1058" t="str">
        <f>C103&amp;"(含)"&amp;"-"&amp;D103</f>
        <v>(含)-</v>
      </c>
      <c r="D102" s="1058" t="str">
        <f t="shared" ref="D102:L102" si="22">D103&amp;"(含)"&amp;"-"&amp;E103</f>
        <v>(含)-</v>
      </c>
      <c r="E102" s="1058" t="str">
        <f t="shared" si="22"/>
        <v>(含)-</v>
      </c>
      <c r="F102" s="1058" t="str">
        <f t="shared" si="22"/>
        <v>(含)-</v>
      </c>
      <c r="G102" s="1058" t="str">
        <f t="shared" si="22"/>
        <v>(含)-</v>
      </c>
      <c r="H102" s="1058" t="str">
        <f t="shared" si="22"/>
        <v>(含)-</v>
      </c>
      <c r="I102" s="1058" t="str">
        <f t="shared" si="22"/>
        <v>(含)-</v>
      </c>
      <c r="J102" s="1058" t="str">
        <f t="shared" si="22"/>
        <v>(含)-</v>
      </c>
      <c r="K102" s="1058" t="str">
        <f t="shared" si="22"/>
        <v>(含)-</v>
      </c>
      <c r="L102" s="1058" t="str">
        <f t="shared" si="22"/>
        <v>(含)-</v>
      </c>
      <c r="M102" s="1404" t="str">
        <f>M103&amp;"(含)"&amp;"-"&amp;P103</f>
        <v>(含)-</v>
      </c>
      <c r="N102" s="1386"/>
      <c r="O102" s="1386"/>
      <c r="P102" s="1697"/>
      <c r="Q102" s="1382"/>
    </row>
    <row r="103" s="1082" customFormat="1" ht="15" spans="1:17">
      <c r="A103" s="1369"/>
      <c r="B103" s="1370"/>
      <c r="C103" s="1330"/>
      <c r="D103" s="1330"/>
      <c r="E103" s="1330"/>
      <c r="F103" s="1330"/>
      <c r="G103" s="1330"/>
      <c r="H103" s="1330"/>
      <c r="I103" s="1330"/>
      <c r="J103" s="1072"/>
      <c r="K103" s="1072"/>
      <c r="L103" s="1072"/>
      <c r="M103" s="1411"/>
      <c r="N103" s="1398"/>
      <c r="O103" s="1398"/>
      <c r="P103" s="1702"/>
      <c r="Q103" s="1414"/>
    </row>
    <row r="104" s="1082" customFormat="1" ht="15.75" spans="1:17">
      <c r="A104" s="1352"/>
      <c r="B104" s="1347"/>
      <c r="C104" s="1354"/>
      <c r="D104" s="1344"/>
      <c r="E104" s="1344"/>
      <c r="F104" s="1344"/>
      <c r="G104" s="1344"/>
      <c r="H104" s="1344"/>
      <c r="I104" s="1344"/>
      <c r="J104" s="1344"/>
      <c r="K104" s="1344"/>
      <c r="L104" s="1344"/>
      <c r="M104" s="1392"/>
      <c r="N104" s="1393"/>
      <c r="O104" s="1393"/>
      <c r="P104" s="1702"/>
      <c r="Q104" s="1414"/>
    </row>
    <row r="105" ht="15.75" spans="1:17">
      <c r="A105" s="1372"/>
      <c r="B105" s="1345" t="s">
        <v>1075</v>
      </c>
      <c r="C105" s="1353"/>
      <c r="D105" s="1353"/>
      <c r="E105" s="1366"/>
      <c r="F105" s="1366"/>
      <c r="G105" s="1366"/>
      <c r="H105" s="1366"/>
      <c r="I105" s="1366"/>
      <c r="J105" s="1366"/>
      <c r="K105" s="1065"/>
      <c r="L105" s="1065"/>
      <c r="M105" s="1408"/>
      <c r="N105" s="1390"/>
      <c r="O105" s="1390"/>
      <c r="P105" s="1697"/>
      <c r="Q105" s="1382"/>
    </row>
    <row r="106" ht="15.75" spans="1:17">
      <c r="A106" s="1342"/>
      <c r="B106" s="1347"/>
      <c r="C106" s="1348">
        <v>100</v>
      </c>
      <c r="D106" s="1348">
        <f t="shared" ref="D106:M106" si="23">C106-$K34</f>
        <v>100</v>
      </c>
      <c r="E106" s="1348">
        <f t="shared" si="23"/>
        <v>100</v>
      </c>
      <c r="F106" s="1348">
        <f t="shared" si="23"/>
        <v>100</v>
      </c>
      <c r="G106" s="1348">
        <f t="shared" si="23"/>
        <v>100</v>
      </c>
      <c r="H106" s="1348">
        <f t="shared" si="23"/>
        <v>100</v>
      </c>
      <c r="I106" s="1348">
        <f t="shared" si="23"/>
        <v>100</v>
      </c>
      <c r="J106" s="1348">
        <f t="shared" si="23"/>
        <v>100</v>
      </c>
      <c r="K106" s="1348">
        <f t="shared" si="23"/>
        <v>100</v>
      </c>
      <c r="L106" s="1348">
        <f t="shared" si="23"/>
        <v>100</v>
      </c>
      <c r="M106" s="1395">
        <f t="shared" si="23"/>
        <v>100</v>
      </c>
      <c r="N106" s="1393"/>
      <c r="O106" s="1393"/>
      <c r="P106" s="1697"/>
      <c r="Q106" s="1382"/>
    </row>
    <row r="107" ht="15.75" spans="1:17">
      <c r="A107" s="1372"/>
      <c r="B107" s="1345" t="s">
        <v>1077</v>
      </c>
      <c r="C107" s="1353"/>
      <c r="D107" s="1353"/>
      <c r="E107" s="1353"/>
      <c r="F107" s="1366"/>
      <c r="G107" s="1366"/>
      <c r="H107" s="1366"/>
      <c r="I107" s="1366"/>
      <c r="J107" s="1366"/>
      <c r="K107" s="1065"/>
      <c r="L107" s="1065"/>
      <c r="M107" s="1408"/>
      <c r="N107" s="1390"/>
      <c r="O107" s="1390"/>
      <c r="P107" s="1697"/>
      <c r="Q107" s="1382"/>
    </row>
    <row r="108" ht="15.75" spans="1:17">
      <c r="A108" s="1342"/>
      <c r="B108" s="1347"/>
      <c r="C108" s="1348">
        <v>100</v>
      </c>
      <c r="D108" s="1348">
        <f t="shared" ref="D108:M108" si="24">C108-$K35</f>
        <v>100</v>
      </c>
      <c r="E108" s="1348">
        <f t="shared" si="24"/>
        <v>100</v>
      </c>
      <c r="F108" s="1348">
        <f t="shared" si="24"/>
        <v>100</v>
      </c>
      <c r="G108" s="1348">
        <f t="shared" si="24"/>
        <v>100</v>
      </c>
      <c r="H108" s="1348">
        <f t="shared" si="24"/>
        <v>100</v>
      </c>
      <c r="I108" s="1348">
        <f t="shared" si="24"/>
        <v>100</v>
      </c>
      <c r="J108" s="1348">
        <f t="shared" si="24"/>
        <v>100</v>
      </c>
      <c r="K108" s="1348">
        <f t="shared" si="24"/>
        <v>100</v>
      </c>
      <c r="L108" s="1348">
        <f t="shared" si="24"/>
        <v>100</v>
      </c>
      <c r="M108" s="1395">
        <f t="shared" si="24"/>
        <v>100</v>
      </c>
      <c r="N108" s="1393"/>
      <c r="O108" s="1393"/>
      <c r="P108" s="1697"/>
      <c r="Q108" s="1382"/>
    </row>
    <row r="109" ht="15.75" spans="1:17">
      <c r="A109" s="1372"/>
      <c r="B109" s="1345" t="s">
        <v>1078</v>
      </c>
      <c r="C109" s="1058" t="str">
        <f>C110&amp;"(含)"&amp;"-"&amp;D110</f>
        <v>0.5(含)-0.6</v>
      </c>
      <c r="D109" s="1058" t="str">
        <f>D110&amp;"(含)"&amp;"-"&amp;E110</f>
        <v>0.6(含)-0.7</v>
      </c>
      <c r="E109" s="1058" t="str">
        <f>E110&amp;"(含)"&amp;"-"&amp;F110</f>
        <v>0.7(含)-0.8</v>
      </c>
      <c r="F109" s="1058" t="str">
        <f>F110&amp;"(含)"&amp;"-"&amp;G110</f>
        <v>0.8(含)-0.9</v>
      </c>
      <c r="G109" s="1058" t="str">
        <f>G110&amp;"(含)"&amp;"-"&amp;H110</f>
        <v>0.9(含)-1</v>
      </c>
      <c r="H109" s="1058"/>
      <c r="I109" s="1366"/>
      <c r="J109" s="1366"/>
      <c r="K109" s="1065"/>
      <c r="L109" s="1065"/>
      <c r="M109" s="1408"/>
      <c r="N109" s="1390"/>
      <c r="O109" s="1390"/>
      <c r="P109" s="1697"/>
      <c r="Q109" s="1382"/>
    </row>
    <row r="110" ht="15" spans="1:17">
      <c r="A110" s="1372"/>
      <c r="B110" s="1349"/>
      <c r="C110" s="642">
        <v>0.5</v>
      </c>
      <c r="D110" s="642">
        <v>0.6</v>
      </c>
      <c r="E110" s="642">
        <v>0.7</v>
      </c>
      <c r="F110" s="642">
        <v>0.8</v>
      </c>
      <c r="G110" s="642">
        <v>0.9</v>
      </c>
      <c r="H110" s="642">
        <v>1</v>
      </c>
      <c r="I110" s="1656"/>
      <c r="J110" s="1656"/>
      <c r="K110" s="1560"/>
      <c r="L110" s="1560"/>
      <c r="M110" s="1657"/>
      <c r="N110" s="1390"/>
      <c r="O110" s="1390"/>
      <c r="P110" s="1697"/>
      <c r="Q110" s="1382"/>
    </row>
    <row r="111" ht="15.75" spans="1:17">
      <c r="A111" s="1342"/>
      <c r="B111" s="1347"/>
      <c r="C111" s="1363">
        <v>100</v>
      </c>
      <c r="D111" s="1348">
        <f>C111+$K36</f>
        <v>100</v>
      </c>
      <c r="E111" s="1348">
        <f t="shared" ref="E111:M111" si="25">D111+$K36</f>
        <v>100</v>
      </c>
      <c r="F111" s="1348">
        <f t="shared" si="25"/>
        <v>100</v>
      </c>
      <c r="G111" s="1348">
        <f t="shared" si="25"/>
        <v>100</v>
      </c>
      <c r="H111" s="1348">
        <f t="shared" si="25"/>
        <v>100</v>
      </c>
      <c r="I111" s="1348">
        <f t="shared" si="25"/>
        <v>100</v>
      </c>
      <c r="J111" s="1348">
        <f t="shared" si="25"/>
        <v>100</v>
      </c>
      <c r="K111" s="1348">
        <f t="shared" si="25"/>
        <v>100</v>
      </c>
      <c r="L111" s="1348">
        <f t="shared" si="25"/>
        <v>100</v>
      </c>
      <c r="M111" s="1348">
        <f t="shared" si="25"/>
        <v>100</v>
      </c>
      <c r="N111" s="1393"/>
      <c r="O111" s="1393"/>
      <c r="P111" s="1697"/>
      <c r="Q111" s="1382"/>
    </row>
    <row r="112" s="1082" customFormat="1" ht="15.75" spans="1:17">
      <c r="A112" s="1369"/>
      <c r="B112" s="1345" t="s">
        <v>1080</v>
      </c>
      <c r="C112" s="1353"/>
      <c r="D112" s="1353"/>
      <c r="E112" s="1353"/>
      <c r="F112" s="1353"/>
      <c r="G112" s="1353"/>
      <c r="H112" s="1366"/>
      <c r="I112" s="1366"/>
      <c r="J112" s="1366"/>
      <c r="K112" s="1065"/>
      <c r="L112" s="1065"/>
      <c r="M112" s="1408"/>
      <c r="N112" s="1398"/>
      <c r="O112" s="1398"/>
      <c r="P112" s="1702"/>
      <c r="Q112" s="1414"/>
    </row>
    <row r="113" s="1082" customFormat="1" ht="15.75" spans="1:17">
      <c r="A113" s="1352"/>
      <c r="B113" s="1347"/>
      <c r="C113" s="1348">
        <v>100</v>
      </c>
      <c r="D113" s="1348">
        <f>C113-$K37</f>
        <v>100</v>
      </c>
      <c r="E113" s="1348">
        <f t="shared" ref="E113:M113" si="26">D113-$K37</f>
        <v>100</v>
      </c>
      <c r="F113" s="1348">
        <f t="shared" si="26"/>
        <v>100</v>
      </c>
      <c r="G113" s="1348">
        <f t="shared" si="26"/>
        <v>100</v>
      </c>
      <c r="H113" s="1348">
        <f t="shared" si="26"/>
        <v>100</v>
      </c>
      <c r="I113" s="1348">
        <f t="shared" si="26"/>
        <v>100</v>
      </c>
      <c r="J113" s="1348">
        <f t="shared" si="26"/>
        <v>100</v>
      </c>
      <c r="K113" s="1348">
        <f t="shared" si="26"/>
        <v>100</v>
      </c>
      <c r="L113" s="1348">
        <f t="shared" si="26"/>
        <v>100</v>
      </c>
      <c r="M113" s="1348">
        <f t="shared" si="26"/>
        <v>100</v>
      </c>
      <c r="N113" s="1398"/>
      <c r="O113" s="1398"/>
      <c r="P113" s="1702"/>
      <c r="Q113" s="1414"/>
    </row>
    <row r="114" ht="15.75" spans="1:17">
      <c r="A114" s="1372"/>
      <c r="B114" s="1345" t="s">
        <v>1477</v>
      </c>
      <c r="C114" s="1353"/>
      <c r="D114" s="1353"/>
      <c r="E114" s="1366"/>
      <c r="F114" s="1366"/>
      <c r="G114" s="1366"/>
      <c r="H114" s="1366"/>
      <c r="I114" s="1366"/>
      <c r="J114" s="1366"/>
      <c r="K114" s="1065"/>
      <c r="L114" s="1065"/>
      <c r="M114" s="1408"/>
      <c r="N114" s="1390"/>
      <c r="O114" s="1390"/>
      <c r="P114" s="1697"/>
      <c r="Q114" s="1382"/>
    </row>
    <row r="115" ht="15.75" spans="1:17">
      <c r="A115" s="1342"/>
      <c r="B115" s="1347"/>
      <c r="C115" s="1348">
        <v>100</v>
      </c>
      <c r="D115" s="1348">
        <f t="shared" ref="D115:M115" si="27">C115-$K38</f>
        <v>100</v>
      </c>
      <c r="E115" s="1348">
        <f t="shared" si="27"/>
        <v>100</v>
      </c>
      <c r="F115" s="1348">
        <f t="shared" si="27"/>
        <v>100</v>
      </c>
      <c r="G115" s="1348">
        <f t="shared" si="27"/>
        <v>100</v>
      </c>
      <c r="H115" s="1348">
        <f t="shared" si="27"/>
        <v>100</v>
      </c>
      <c r="I115" s="1348">
        <f t="shared" si="27"/>
        <v>100</v>
      </c>
      <c r="J115" s="1348">
        <f t="shared" si="27"/>
        <v>100</v>
      </c>
      <c r="K115" s="1348">
        <f t="shared" si="27"/>
        <v>100</v>
      </c>
      <c r="L115" s="1348">
        <f t="shared" si="27"/>
        <v>100</v>
      </c>
      <c r="M115" s="1395">
        <f t="shared" si="27"/>
        <v>100</v>
      </c>
      <c r="N115" s="1393"/>
      <c r="O115" s="1393"/>
      <c r="P115" s="1697"/>
      <c r="Q115" s="1382"/>
    </row>
    <row r="116" ht="15.75" spans="1:17">
      <c r="A116" s="1372"/>
      <c r="B116" s="1345" t="s">
        <v>1478</v>
      </c>
      <c r="C116" s="1353"/>
      <c r="D116" s="1353"/>
      <c r="E116" s="1353"/>
      <c r="F116" s="1353"/>
      <c r="G116" s="1353"/>
      <c r="H116" s="1366"/>
      <c r="I116" s="1366"/>
      <c r="J116" s="1366"/>
      <c r="K116" s="1065"/>
      <c r="L116" s="1065"/>
      <c r="M116" s="1408"/>
      <c r="N116" s="1390"/>
      <c r="O116" s="1390"/>
      <c r="P116" s="1697"/>
      <c r="Q116" s="1382"/>
    </row>
    <row r="117" ht="15.75" spans="1:17">
      <c r="A117" s="1342"/>
      <c r="B117" s="1347"/>
      <c r="C117" s="1348">
        <v>100</v>
      </c>
      <c r="D117" s="1348">
        <f>C117-$K39</f>
        <v>100</v>
      </c>
      <c r="E117" s="1348">
        <f>D117-$K39</f>
        <v>100</v>
      </c>
      <c r="F117" s="1348">
        <f>E117-$K39</f>
        <v>100</v>
      </c>
      <c r="G117" s="1348">
        <f>F117-$K39</f>
        <v>100</v>
      </c>
      <c r="H117" s="1348"/>
      <c r="I117" s="1348"/>
      <c r="J117" s="1348"/>
      <c r="K117" s="1348"/>
      <c r="L117" s="1348"/>
      <c r="M117" s="1395"/>
      <c r="N117" s="1393"/>
      <c r="O117" s="1393"/>
      <c r="P117" s="1697"/>
      <c r="Q117" s="1382"/>
    </row>
    <row r="118" ht="15.75" spans="1:17">
      <c r="A118" s="1372"/>
      <c r="B118" s="1345" t="s">
        <v>1479</v>
      </c>
      <c r="C118" s="1701"/>
      <c r="D118" s="1701"/>
      <c r="E118" s="1701"/>
      <c r="F118" s="1701"/>
      <c r="G118" s="1701"/>
      <c r="H118" s="1045"/>
      <c r="I118" s="1045"/>
      <c r="J118" s="1045"/>
      <c r="K118" s="1045"/>
      <c r="L118" s="1045"/>
      <c r="M118" s="1397"/>
      <c r="N118" s="1390"/>
      <c r="O118" s="1390"/>
      <c r="P118" s="1697"/>
      <c r="Q118" s="1382"/>
    </row>
    <row r="119" ht="15.75" spans="1:17">
      <c r="A119" s="1342"/>
      <c r="B119" s="1347"/>
      <c r="C119" s="1354"/>
      <c r="D119" s="1344"/>
      <c r="E119" s="1344"/>
      <c r="F119" s="1344"/>
      <c r="G119" s="1344"/>
      <c r="H119" s="1344"/>
      <c r="I119" s="1344"/>
      <c r="J119" s="1344"/>
      <c r="K119" s="1344"/>
      <c r="L119" s="1344"/>
      <c r="M119" s="1392"/>
      <c r="N119" s="1393"/>
      <c r="O119" s="1393"/>
      <c r="P119" s="1697"/>
      <c r="Q119" s="1382"/>
    </row>
    <row r="120" s="1082" customFormat="1" ht="15.75" spans="1:17">
      <c r="A120" s="1369"/>
      <c r="B120" s="1345" t="s">
        <v>1483</v>
      </c>
      <c r="C120" s="1366"/>
      <c r="D120" s="1366"/>
      <c r="E120" s="1366"/>
      <c r="F120" s="1366"/>
      <c r="G120" s="1045"/>
      <c r="H120" s="1045"/>
      <c r="I120" s="1045"/>
      <c r="J120" s="1045"/>
      <c r="K120" s="1045"/>
      <c r="L120" s="1045"/>
      <c r="M120" s="1397"/>
      <c r="N120" s="1398"/>
      <c r="O120" s="1398"/>
      <c r="P120" s="1702"/>
      <c r="Q120" s="1414"/>
    </row>
    <row r="121" s="1082" customFormat="1" ht="15.75" spans="1:17">
      <c r="A121" s="1352"/>
      <c r="B121" s="1343"/>
      <c r="C121" s="1363">
        <v>100</v>
      </c>
      <c r="D121" s="1348">
        <f>C121-$K41</f>
        <v>100</v>
      </c>
      <c r="E121" s="1348">
        <f t="shared" ref="E121:M121" si="28">D121-$K41</f>
        <v>100</v>
      </c>
      <c r="F121" s="1348">
        <f t="shared" si="28"/>
        <v>100</v>
      </c>
      <c r="G121" s="1348">
        <f t="shared" si="28"/>
        <v>100</v>
      </c>
      <c r="H121" s="1348">
        <f t="shared" si="28"/>
        <v>100</v>
      </c>
      <c r="I121" s="1348">
        <f t="shared" si="28"/>
        <v>100</v>
      </c>
      <c r="J121" s="1348">
        <f t="shared" si="28"/>
        <v>100</v>
      </c>
      <c r="K121" s="1348">
        <f t="shared" si="28"/>
        <v>100</v>
      </c>
      <c r="L121" s="1348">
        <f t="shared" si="28"/>
        <v>100</v>
      </c>
      <c r="M121" s="1395">
        <f t="shared" si="28"/>
        <v>100</v>
      </c>
      <c r="N121" s="1398"/>
      <c r="O121" s="1398"/>
      <c r="P121" s="1702"/>
      <c r="Q121" s="1414"/>
    </row>
    <row r="122" ht="15.75" spans="1:17">
      <c r="A122" s="1372"/>
      <c r="B122" s="1345" t="s">
        <v>1083</v>
      </c>
      <c r="C122" s="1353"/>
      <c r="D122" s="1353"/>
      <c r="E122" s="1353"/>
      <c r="F122" s="1366"/>
      <c r="G122" s="1366"/>
      <c r="H122" s="1366"/>
      <c r="I122" s="1366"/>
      <c r="J122" s="1366"/>
      <c r="K122" s="1065"/>
      <c r="L122" s="1065"/>
      <c r="M122" s="1408"/>
      <c r="N122" s="1390"/>
      <c r="O122" s="1390"/>
      <c r="P122" s="1697"/>
      <c r="Q122" s="1382"/>
    </row>
    <row r="123" ht="15.75" spans="1:17">
      <c r="A123" s="1342"/>
      <c r="B123" s="1347"/>
      <c r="C123" s="1348">
        <v>100</v>
      </c>
      <c r="D123" s="1348">
        <f t="shared" ref="D123:M123" si="29">C123-$K42</f>
        <v>100</v>
      </c>
      <c r="E123" s="1348">
        <f t="shared" si="29"/>
        <v>100</v>
      </c>
      <c r="F123" s="1348">
        <f t="shared" si="29"/>
        <v>100</v>
      </c>
      <c r="G123" s="1348">
        <f t="shared" si="29"/>
        <v>100</v>
      </c>
      <c r="H123" s="1348">
        <f t="shared" si="29"/>
        <v>100</v>
      </c>
      <c r="I123" s="1348">
        <f t="shared" si="29"/>
        <v>100</v>
      </c>
      <c r="J123" s="1348">
        <f t="shared" si="29"/>
        <v>100</v>
      </c>
      <c r="K123" s="1348">
        <f t="shared" si="29"/>
        <v>100</v>
      </c>
      <c r="L123" s="1348">
        <f t="shared" si="29"/>
        <v>100</v>
      </c>
      <c r="M123" s="1395">
        <f t="shared" si="29"/>
        <v>100</v>
      </c>
      <c r="N123" s="1393"/>
      <c r="O123" s="1393"/>
      <c r="P123" s="1697"/>
      <c r="Q123" s="1382"/>
    </row>
    <row r="124" ht="15.75" spans="1:17">
      <c r="A124" s="1372"/>
      <c r="B124" s="1345" t="s">
        <v>215</v>
      </c>
      <c r="C124" s="1058" t="s">
        <v>226</v>
      </c>
      <c r="D124" s="1058" t="s">
        <v>238</v>
      </c>
      <c r="E124" s="1058" t="s">
        <v>249</v>
      </c>
      <c r="F124" s="1058" t="s">
        <v>259</v>
      </c>
      <c r="G124" s="1058" t="s">
        <v>266</v>
      </c>
      <c r="H124" s="1346"/>
      <c r="I124" s="1346"/>
      <c r="J124" s="1346"/>
      <c r="K124" s="1039"/>
      <c r="L124" s="1039"/>
      <c r="M124" s="1394"/>
      <c r="N124" s="1390"/>
      <c r="O124" s="1390"/>
      <c r="P124" s="1702"/>
      <c r="Q124" s="1382"/>
    </row>
    <row r="125" ht="15.75" spans="1:17">
      <c r="A125" s="1342"/>
      <c r="B125" s="1347"/>
      <c r="C125" s="1348">
        <v>100</v>
      </c>
      <c r="D125" s="1348">
        <f>C125-$K43</f>
        <v>100</v>
      </c>
      <c r="E125" s="1348">
        <f>D125-$K43</f>
        <v>100</v>
      </c>
      <c r="F125" s="1348">
        <f>E125-$K43</f>
        <v>100</v>
      </c>
      <c r="G125" s="1348">
        <f>F125-$K43</f>
        <v>100</v>
      </c>
      <c r="H125" s="1348"/>
      <c r="I125" s="1348"/>
      <c r="J125" s="1348"/>
      <c r="K125" s="1348"/>
      <c r="L125" s="1348"/>
      <c r="M125" s="1395"/>
      <c r="N125" s="1393"/>
      <c r="O125" s="1393"/>
      <c r="P125" s="1697"/>
      <c r="Q125" s="1382"/>
    </row>
    <row r="126" s="1082" customFormat="1" ht="15.75" spans="1:17">
      <c r="A126" s="1369"/>
      <c r="B126" s="1345">
        <f>B44</f>
        <v>111</v>
      </c>
      <c r="C126" s="1353"/>
      <c r="D126" s="1353"/>
      <c r="E126" s="1353"/>
      <c r="F126" s="1353"/>
      <c r="G126" s="1353"/>
      <c r="H126" s="1045"/>
      <c r="I126" s="1045"/>
      <c r="J126" s="1045"/>
      <c r="K126" s="1045"/>
      <c r="L126" s="1045"/>
      <c r="M126" s="1397"/>
      <c r="N126" s="1398"/>
      <c r="O126" s="1398"/>
      <c r="P126" s="1702"/>
      <c r="Q126" s="1414"/>
    </row>
    <row r="127" s="1082" customFormat="1" ht="15.75" spans="1:17">
      <c r="A127" s="1352"/>
      <c r="B127" s="1347"/>
      <c r="C127" s="1354"/>
      <c r="D127" s="1344"/>
      <c r="E127" s="1344"/>
      <c r="F127" s="1344"/>
      <c r="G127" s="1354"/>
      <c r="H127" s="1355"/>
      <c r="I127" s="1355"/>
      <c r="J127" s="1355"/>
      <c r="K127" s="1355"/>
      <c r="L127" s="1355"/>
      <c r="M127" s="1400"/>
      <c r="N127" s="1398"/>
      <c r="O127" s="1398"/>
      <c r="P127" s="1702"/>
      <c r="Q127" s="1414"/>
    </row>
    <row r="128" ht="15.75" spans="1:17">
      <c r="A128" s="1372"/>
      <c r="B128" s="1345">
        <f>B45</f>
        <v>111</v>
      </c>
      <c r="C128" s="1353"/>
      <c r="D128" s="1353"/>
      <c r="E128" s="1353"/>
      <c r="F128" s="1353"/>
      <c r="G128" s="1366"/>
      <c r="H128" s="1366"/>
      <c r="I128" s="1366"/>
      <c r="J128" s="1366"/>
      <c r="K128" s="1065"/>
      <c r="L128" s="1065"/>
      <c r="M128" s="1408"/>
      <c r="N128" s="1390"/>
      <c r="O128" s="1390"/>
      <c r="P128" s="1697"/>
      <c r="Q128" s="1382"/>
    </row>
    <row r="129" ht="15.75" spans="1:17">
      <c r="A129" s="1342"/>
      <c r="B129" s="1347"/>
      <c r="C129" s="1354"/>
      <c r="D129" s="1344"/>
      <c r="E129" s="1344"/>
      <c r="F129" s="1344"/>
      <c r="G129" s="1344"/>
      <c r="H129" s="1344"/>
      <c r="I129" s="1344"/>
      <c r="J129" s="1344"/>
      <c r="K129" s="1344"/>
      <c r="L129" s="1344"/>
      <c r="M129" s="1392"/>
      <c r="N129" s="1393"/>
      <c r="O129" s="1393"/>
      <c r="P129" s="1697"/>
      <c r="Q129" s="1382"/>
    </row>
    <row r="130" ht="15.75" spans="1:17">
      <c r="A130" s="1372"/>
      <c r="B130" s="1349">
        <f>B46</f>
        <v>111</v>
      </c>
      <c r="C130" s="1353"/>
      <c r="D130" s="1353"/>
      <c r="E130" s="1353"/>
      <c r="F130" s="1353"/>
      <c r="G130" s="1367"/>
      <c r="H130" s="1367"/>
      <c r="I130" s="1367"/>
      <c r="J130" s="1367"/>
      <c r="K130" s="1026"/>
      <c r="L130" s="1026"/>
      <c r="M130" s="1409"/>
      <c r="N130" s="1390"/>
      <c r="O130" s="1390"/>
      <c r="P130" s="1697"/>
      <c r="Q130" s="1382"/>
    </row>
    <row r="131" ht="15.75" spans="1:17">
      <c r="A131" s="1653"/>
      <c r="B131" s="1357"/>
      <c r="C131" s="1358"/>
      <c r="D131" s="1358"/>
      <c r="E131" s="1358"/>
      <c r="F131" s="1358"/>
      <c r="G131" s="1368"/>
      <c r="H131" s="1368"/>
      <c r="I131" s="1368"/>
      <c r="J131" s="1368"/>
      <c r="K131" s="1368"/>
      <c r="L131" s="1368"/>
      <c r="M131" s="1410"/>
      <c r="N131" s="1393"/>
      <c r="O131" s="1393"/>
      <c r="P131" s="1697"/>
      <c r="Q131" s="1382"/>
    </row>
  </sheetData>
  <sheetProtection password="CEE9" sheet="1" formatCells="0" formatColumns="0" formatRows="0" objects="1" scenarios="1"/>
  <mergeCells count="40">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47:Q47"/>
    <mergeCell ref="R47:S47"/>
    <mergeCell ref="T47:U47"/>
    <mergeCell ref="V47:W47"/>
    <mergeCell ref="P48:Q48"/>
    <mergeCell ref="R48:S48"/>
    <mergeCell ref="T48:U48"/>
    <mergeCell ref="V48:W48"/>
    <mergeCell ref="P49:Q49"/>
    <mergeCell ref="R49:W49"/>
    <mergeCell ref="P9:P14"/>
    <mergeCell ref="P15:P31"/>
    <mergeCell ref="P32:P46"/>
    <mergeCell ref="Y9:Y14"/>
    <mergeCell ref="Y15:Y31"/>
    <mergeCell ref="Y32:Y46"/>
    <mergeCell ref="AA4:AA6"/>
    <mergeCell ref="AB4:AB6"/>
    <mergeCell ref="AC4:AC6"/>
    <mergeCell ref="Y4:Z6"/>
    <mergeCell ref="P4:Q6"/>
    <mergeCell ref="R4:S6"/>
    <mergeCell ref="T4:U6"/>
    <mergeCell ref="V4:W6"/>
  </mergeCells>
  <conditionalFormatting sqref="F48">
    <cfRule type="expression" dxfId="5" priority="4">
      <formula>$D$48="简单平均"</formula>
    </cfRule>
  </conditionalFormatting>
  <conditionalFormatting sqref="H48">
    <cfRule type="expression" dxfId="5" priority="3">
      <formula>$D$48="简单平均"</formula>
    </cfRule>
  </conditionalFormatting>
  <conditionalFormatting sqref="J48">
    <cfRule type="expression" dxfId="5" priority="2">
      <formula>$D$48="简单平均"</formula>
    </cfRule>
  </conditionalFormatting>
  <conditionalFormatting sqref="E52">
    <cfRule type="expression" dxfId="8" priority="16" stopIfTrue="1">
      <formula>$F$52="超过30%"</formula>
    </cfRule>
  </conditionalFormatting>
  <conditionalFormatting sqref="G52">
    <cfRule type="expression" dxfId="8" priority="12" stopIfTrue="1">
      <formula>$H$52="超过30%"</formula>
    </cfRule>
  </conditionalFormatting>
  <conditionalFormatting sqref="I52">
    <cfRule type="expression" dxfId="8" priority="7" stopIfTrue="1">
      <formula>$J$52="超过30%"</formula>
    </cfRule>
  </conditionalFormatting>
  <conditionalFormatting sqref="J52">
    <cfRule type="containsText" dxfId="9" priority="10" stopIfTrue="1" operator="between" text="超过">
      <formula>NOT(ISERROR(SEARCH("超过",J52)))</formula>
    </cfRule>
  </conditionalFormatting>
  <conditionalFormatting sqref="E53">
    <cfRule type="expression" dxfId="8" priority="15" stopIfTrue="1">
      <formula>$F$53="超过20%"</formula>
    </cfRule>
  </conditionalFormatting>
  <conditionalFormatting sqref="G53">
    <cfRule type="expression" dxfId="8" priority="11" stopIfTrue="1">
      <formula>$H$53="超过20%"</formula>
    </cfRule>
  </conditionalFormatting>
  <conditionalFormatting sqref="I53">
    <cfRule type="expression" dxfId="8" priority="6" stopIfTrue="1">
      <formula>$J$53="超过20%"</formula>
    </cfRule>
  </conditionalFormatting>
  <conditionalFormatting sqref="J53">
    <cfRule type="containsText" dxfId="9" priority="8" stopIfTrue="1" operator="between" text="超过">
      <formula>NOT(ISERROR(SEARCH("超过",J53)))</formula>
    </cfRule>
  </conditionalFormatting>
  <conditionalFormatting sqref="E54">
    <cfRule type="expression" dxfId="8" priority="14" stopIfTrue="1">
      <formula>$F$54="超过30%"</formula>
    </cfRule>
  </conditionalFormatting>
  <conditionalFormatting sqref="F54">
    <cfRule type="containsText" dxfId="9" priority="18" stopIfTrue="1" operator="between" text="超过">
      <formula>NOT(ISERROR(SEARCH("超过",F54)))</formula>
    </cfRule>
  </conditionalFormatting>
  <conditionalFormatting sqref="G54">
    <cfRule type="expression" dxfId="8" priority="13" stopIfTrue="1">
      <formula>$H$54="超过30%"</formula>
    </cfRule>
  </conditionalFormatting>
  <conditionalFormatting sqref="H54">
    <cfRule type="containsText" dxfId="9" priority="19" stopIfTrue="1" operator="between" text="超过">
      <formula>NOT(ISERROR(SEARCH("超过",H54)))</formula>
    </cfRule>
  </conditionalFormatting>
  <conditionalFormatting sqref="I54">
    <cfRule type="expression" dxfId="8" priority="5" stopIfTrue="1">
      <formula>$J$54="超过30%"</formula>
    </cfRule>
  </conditionalFormatting>
  <conditionalFormatting sqref="J54">
    <cfRule type="containsText" dxfId="9" priority="9" stopIfTrue="1" operator="between" text="超过">
      <formula>NOT(ISERROR(SEARCH("超过",J54)))</formula>
    </cfRule>
  </conditionalFormatting>
  <conditionalFormatting sqref="F7:F46 H7:H46 J7:J46">
    <cfRule type="cellIs" dxfId="10" priority="1" operator="notEqual">
      <formula>100</formula>
    </cfRule>
  </conditionalFormatting>
  <conditionalFormatting sqref="F52 H52">
    <cfRule type="containsText" dxfId="9" priority="21" stopIfTrue="1" operator="between" text="超过">
      <formula>NOT(ISERROR(SEARCH("超过",F52)))</formula>
    </cfRule>
  </conditionalFormatting>
  <conditionalFormatting sqref="F53 H53">
    <cfRule type="containsText" dxfId="9" priority="17" stopIfTrue="1" operator="between" text="超过">
      <formula>NOT(ISERROR(SEARCH("超过",F53)))</formula>
    </cfRule>
  </conditionalFormatting>
  <dataValidations count="26">
    <dataValidation type="list" allowBlank="1" showInputMessage="1" showErrorMessage="1" sqref="C1">
      <formula1>"估价对象,仅计算典型户型"</formula1>
    </dataValidation>
    <dataValidation type="list" allowBlank="1" showInputMessage="1" showErrorMessage="1" sqref="E9 G9 I9">
      <formula1>商业用途</formula1>
    </dataValidation>
    <dataValidation type="list" allowBlank="1" showInputMessage="1" showErrorMessage="1" sqref="G2">
      <formula1>估价方法</formula1>
    </dataValidation>
    <dataValidation type="list" allowBlank="1" showInputMessage="1" showErrorMessage="1" sqref="C35 E35 G35 I35">
      <formula1>商业公共部分装修</formula1>
    </dataValidation>
    <dataValidation type="list" allowBlank="1" showInputMessage="1" showErrorMessage="1" sqref="D1">
      <formula1>项目类型汇总</formula1>
    </dataValidation>
    <dataValidation type="list" allowBlank="1" showInputMessage="1" showErrorMessage="1" sqref="C28 E28 G28 I28">
      <formula1>商业楼层</formula1>
    </dataValidation>
    <dataValidation type="list" allowBlank="1" showInputMessage="1" showErrorMessage="1" sqref="E1">
      <formula1>"售价,租金"</formula1>
    </dataValidation>
    <dataValidation type="list" allowBlank="1" showInputMessage="1" showErrorMessage="1" sqref="C8 E8 G8 I8">
      <formula1>商业交易情况</formula1>
    </dataValidation>
    <dataValidation type="list" allowBlank="1" showInputMessage="1" showErrorMessage="1" sqref="D2">
      <formula1>"需扣减承租人权益,——"</formula1>
    </dataValidation>
    <dataValidation type="list" allowBlank="1" showInputMessage="1" showErrorMessage="1" sqref="C10 E10 G10 I10">
      <formula1>土地年限区间</formula1>
    </dataValidation>
    <dataValidation type="list" allowBlank="1" showInputMessage="1" showErrorMessage="1" sqref="C16 E16 G16 I16">
      <formula1>商业繁华度</formula1>
    </dataValidation>
    <dataValidation type="list" allowBlank="1" showInputMessage="1" showErrorMessage="1" sqref="C18 E18 G18 I18">
      <formula1>交通便捷度</formula1>
    </dataValidation>
    <dataValidation type="list" allowBlank="1" showInputMessage="1" showErrorMessage="1" sqref="C20 E20 G20 I20">
      <formula1>公共配套设施</formula1>
    </dataValidation>
    <dataValidation type="list" allowBlank="1" showInputMessage="1" showErrorMessage="1" sqref="C22 E22 G22 I22">
      <formula1>基础设施水平</formula1>
    </dataValidation>
    <dataValidation type="list" allowBlank="1" showInputMessage="1" showErrorMessage="1" sqref="C24 E24 G24 I24">
      <formula1>环境</formula1>
    </dataValidation>
    <dataValidation type="list" allowBlank="1" showInputMessage="1" showErrorMessage="1" sqref="C42 E42 G42 I42">
      <formula1>商业内部装修</formula1>
    </dataValidation>
    <dataValidation type="list" allowBlank="1" showInputMessage="1" showErrorMessage="1" sqref="C25 E25 G25 I25">
      <formula1>商业临街状况</formula1>
    </dataValidation>
    <dataValidation type="list" allowBlank="1" showInputMessage="1" showErrorMessage="1" sqref="D48">
      <formula1>"简单平均,加权平均"</formula1>
    </dataValidation>
    <dataValidation type="list" allowBlank="1" showInputMessage="1" showErrorMessage="1" sqref="C27 E27 G27 I27">
      <formula1>商业人流量</formula1>
    </dataValidation>
    <dataValidation type="list" allowBlank="1" showInputMessage="1" showErrorMessage="1" sqref="C32 E32 G32 I32">
      <formula1>商业类型</formula1>
    </dataValidation>
    <dataValidation type="list" allowBlank="1" showInputMessage="1" showErrorMessage="1" sqref="C34 E34 G34 I34">
      <formula1>商业建筑结构</formula1>
    </dataValidation>
    <dataValidation type="list" allowBlank="1" showInputMessage="1" showErrorMessage="1" sqref="C37 E37 G37 I37">
      <formula1>商业基础设施水平</formula1>
    </dataValidation>
    <dataValidation type="list" allowBlank="1" showInputMessage="1" showErrorMessage="1" sqref="C38 E38 G38 I38">
      <formula1>商业业态</formula1>
    </dataValidation>
    <dataValidation type="list" allowBlank="1" showInputMessage="1" showErrorMessage="1" sqref="C39 E39 G39 I39">
      <formula1>商业层高</formula1>
    </dataValidation>
    <dataValidation type="list" allowBlank="1" showInputMessage="1" showErrorMessage="1" sqref="C41 E41 G41 I41">
      <formula1>商业进深比</formula1>
    </dataValidation>
    <dataValidation type="list" allowBlank="1" showInputMessage="1" showErrorMessage="1" sqref="C43 E43 G43 I43">
      <formula1>内部装修维护情况</formula1>
    </dataValidation>
  </dataValidations>
  <pageMargins left="0.708661417322835" right="0.708661417322835" top="1.06299212598425" bottom="0.94488188976378" header="0.31496062992126" footer="0.31496062992126"/>
  <pageSetup paperSize="9" scale="52" fitToHeight="0" orientation="portrait"/>
  <headerFooter/>
  <legacyDrawing r:id="rId2"/>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4">
    <tabColor rgb="FF92D050"/>
    <pageSetUpPr fitToPage="1"/>
  </sheetPr>
  <dimension ref="A1:AC132"/>
  <sheetViews>
    <sheetView view="pageBreakPreview" zoomScale="70" zoomScaleNormal="60" workbookViewId="0">
      <selection activeCell="C13" sqref="C13:H13"/>
    </sheetView>
  </sheetViews>
  <sheetFormatPr defaultColWidth="9" defaultRowHeight="14.25"/>
  <cols>
    <col min="1" max="1" width="10.5" style="581" customWidth="1"/>
    <col min="2" max="2" width="15.75" style="581" customWidth="1"/>
    <col min="3" max="3" width="14.375" style="581" customWidth="1"/>
    <col min="4" max="4" width="12.25" style="581" customWidth="1"/>
    <col min="5" max="5" width="14.375" style="581" customWidth="1"/>
    <col min="6" max="6" width="12.25" style="581" customWidth="1"/>
    <col min="7" max="7" width="14.5" style="581" customWidth="1"/>
    <col min="8" max="8" width="12.25" style="581" customWidth="1"/>
    <col min="9" max="9" width="14.5" style="581" customWidth="1"/>
    <col min="10" max="10" width="12.25" style="581" customWidth="1"/>
    <col min="11" max="11" width="12.25" style="1087" customWidth="1"/>
    <col min="12" max="12" width="12.25" style="1088" customWidth="1"/>
    <col min="13" max="15" width="12.25" style="581" customWidth="1"/>
    <col min="16" max="16" width="4.75" style="581" customWidth="1"/>
    <col min="17" max="17" width="19.5" style="581" customWidth="1"/>
    <col min="18" max="22" width="6.125" style="581" customWidth="1"/>
    <col min="23" max="23" width="5.75" style="581" customWidth="1"/>
    <col min="24" max="24" width="4.25" style="581" customWidth="1"/>
    <col min="25" max="25" width="3.5" style="581" customWidth="1"/>
    <col min="26" max="26" width="19.75" style="581" customWidth="1"/>
    <col min="27" max="28" width="9.375" style="581" customWidth="1"/>
    <col min="29" max="16384" width="9" style="581"/>
  </cols>
  <sheetData>
    <row r="1" s="1574" customFormat="1" ht="28.5" customHeight="1" spans="1:29">
      <c r="A1" s="1576" t="s">
        <v>1026</v>
      </c>
      <c r="B1" s="1577" t="s">
        <v>1484</v>
      </c>
      <c r="C1" s="1578"/>
      <c r="D1" s="1577"/>
      <c r="E1" s="1579"/>
      <c r="F1" s="1580" t="s">
        <v>1030</v>
      </c>
      <c r="G1" s="1577"/>
      <c r="H1" s="1577"/>
      <c r="I1" s="1577"/>
      <c r="J1" s="1577"/>
      <c r="K1" s="1634"/>
      <c r="L1" s="1635"/>
      <c r="M1" s="1577"/>
      <c r="N1" s="1577"/>
      <c r="O1" s="1577"/>
      <c r="P1" s="1577"/>
      <c r="Q1" s="1577"/>
      <c r="R1" s="1577"/>
      <c r="S1" s="1577"/>
      <c r="T1" s="1577"/>
      <c r="U1" s="1577"/>
      <c r="V1" s="1577"/>
      <c r="W1" s="1577"/>
      <c r="X1" s="1577"/>
      <c r="Y1" s="1577"/>
      <c r="Z1" s="1577"/>
      <c r="AA1" s="1577"/>
      <c r="AB1" s="1648"/>
      <c r="AC1" s="1649"/>
    </row>
    <row r="2" s="1079" customFormat="1" ht="28.5" customHeight="1" spans="1:29">
      <c r="A2" s="1581" t="s">
        <v>868</v>
      </c>
      <c r="B2" s="1582" t="e">
        <f ca="1">IF(D2="——",IF(C2="元",ROUND(C50*D3,0),ROUND(C50*D3/10000,0)),IF(C2="元",ROUND(C50*D3,0),ROUND(C50*D3/10000,0))-E2)</f>
        <v>#DIV/0!</v>
      </c>
      <c r="C2" s="1583" t="str">
        <f>'数据-取费表'!B3</f>
        <v>元</v>
      </c>
      <c r="D2" s="1584"/>
      <c r="E2" s="1585" t="e">
        <f ca="1">SUMIF(INDIRECT("'"&amp;G2&amp;"'"&amp;"!A:A"),"承租人权益价值",INDIRECT("'"&amp;G2&amp;"'"&amp;"!c:c"))</f>
        <v>#REF!</v>
      </c>
      <c r="F2" s="1586" t="str">
        <f>C2</f>
        <v>元</v>
      </c>
      <c r="G2" s="1587"/>
      <c r="H2" s="1095"/>
      <c r="I2" s="1095"/>
      <c r="J2" s="1095"/>
      <c r="K2" s="1095"/>
      <c r="L2" s="1233"/>
      <c r="M2" s="1095"/>
      <c r="N2" s="1095"/>
      <c r="O2" s="1095"/>
      <c r="P2" s="1231"/>
      <c r="Q2" s="1231"/>
      <c r="R2" s="1231"/>
      <c r="S2" s="1231"/>
      <c r="T2" s="1231"/>
      <c r="U2" s="1231"/>
      <c r="V2" s="1231"/>
      <c r="W2" s="1231"/>
      <c r="X2" s="1231"/>
      <c r="Y2" s="1231"/>
      <c r="Z2" s="1231"/>
      <c r="AA2" s="1231"/>
      <c r="AB2" s="1650"/>
      <c r="AC2" s="1307"/>
    </row>
    <row r="3" s="1079" customFormat="1" ht="28.5" customHeight="1" spans="1:29">
      <c r="A3" s="402" t="s">
        <v>869</v>
      </c>
      <c r="B3" s="1097" t="e">
        <f ca="1">ROUND(IF(D2="——",C50,IF(C2="万元",B2*10000/D3,B2/D3)),0)</f>
        <v>#DIV/0!</v>
      </c>
      <c r="C3" s="1588" t="s">
        <v>1031</v>
      </c>
      <c r="D3" s="1588">
        <f>IF(C1="仅计算典型户型",'数据-取费表'!E5,'数据-取费表'!B5)</f>
        <v>246.59</v>
      </c>
      <c r="F3" s="1096"/>
      <c r="G3" s="1095"/>
      <c r="H3" s="1095"/>
      <c r="I3" s="1095"/>
      <c r="J3" s="1095"/>
      <c r="K3" s="1232"/>
      <c r="L3" s="1233"/>
      <c r="M3" s="1095"/>
      <c r="N3" s="1095"/>
      <c r="O3" s="1095"/>
      <c r="P3" s="1636"/>
      <c r="Q3" s="1090"/>
      <c r="R3" s="1090"/>
      <c r="S3" s="1090"/>
      <c r="T3" s="1090"/>
      <c r="U3" s="1090"/>
      <c r="V3" s="1090"/>
      <c r="W3" s="1090"/>
      <c r="X3" s="1231"/>
      <c r="Y3" s="1090"/>
      <c r="Z3" s="1090"/>
      <c r="AA3" s="1090"/>
      <c r="AB3" s="1651"/>
      <c r="AC3" s="1307"/>
    </row>
    <row r="4" ht="15" spans="1:29">
      <c r="A4" s="1098" t="s">
        <v>1032</v>
      </c>
      <c r="B4" s="1099"/>
      <c r="C4" s="602" t="s">
        <v>1033</v>
      </c>
      <c r="D4" s="612"/>
      <c r="E4" s="1100" t="s">
        <v>1034</v>
      </c>
      <c r="F4" s="1101"/>
      <c r="G4" s="602" t="s">
        <v>1035</v>
      </c>
      <c r="H4" s="612"/>
      <c r="I4" s="602" t="s">
        <v>1036</v>
      </c>
      <c r="J4" s="612"/>
      <c r="K4" s="1234" t="s">
        <v>1037</v>
      </c>
      <c r="L4" s="1235"/>
      <c r="M4" s="1236"/>
      <c r="N4" s="1236"/>
      <c r="O4" s="1236"/>
      <c r="P4" s="1237" t="s">
        <v>1038</v>
      </c>
      <c r="Q4" s="580"/>
      <c r="R4" s="1279" t="s">
        <v>1034</v>
      </c>
      <c r="S4" s="1280"/>
      <c r="T4" s="1279" t="s">
        <v>1035</v>
      </c>
      <c r="U4" s="1280"/>
      <c r="V4" s="1281" t="s">
        <v>1036</v>
      </c>
      <c r="W4" s="1281"/>
      <c r="X4" s="1282"/>
      <c r="Y4" s="1279" t="s">
        <v>1038</v>
      </c>
      <c r="Z4" s="1280"/>
      <c r="AA4" s="1308" t="s">
        <v>1034</v>
      </c>
      <c r="AB4" s="1308" t="s">
        <v>1035</v>
      </c>
      <c r="AC4" s="1308" t="s">
        <v>1036</v>
      </c>
    </row>
    <row r="5" ht="15" spans="1:29">
      <c r="A5" s="1102"/>
      <c r="B5" s="1103"/>
      <c r="C5" s="1104" t="s">
        <v>1039</v>
      </c>
      <c r="D5" s="1105"/>
      <c r="E5" s="1106" t="s">
        <v>1470</v>
      </c>
      <c r="F5" s="1107"/>
      <c r="G5" s="1104" t="s">
        <v>1471</v>
      </c>
      <c r="H5" s="1105"/>
      <c r="I5" s="1104" t="s">
        <v>1472</v>
      </c>
      <c r="J5" s="1105"/>
      <c r="K5" s="1234"/>
      <c r="L5" s="1235"/>
      <c r="M5" s="1236"/>
      <c r="N5" s="1236"/>
      <c r="O5" s="1236"/>
      <c r="P5" s="1238"/>
      <c r="Q5" s="1283"/>
      <c r="R5" s="1284"/>
      <c r="S5" s="1285"/>
      <c r="T5" s="1284"/>
      <c r="U5" s="1285"/>
      <c r="V5" s="1281"/>
      <c r="W5" s="1281"/>
      <c r="X5" s="1282"/>
      <c r="Y5" s="1284"/>
      <c r="Z5" s="1285"/>
      <c r="AA5" s="1282"/>
      <c r="AB5" s="1282"/>
      <c r="AC5" s="1282"/>
    </row>
    <row r="6" ht="15.75" spans="1:29">
      <c r="A6" s="1108"/>
      <c r="B6" s="1109"/>
      <c r="C6" s="1110" t="s">
        <v>1041</v>
      </c>
      <c r="D6" s="1111"/>
      <c r="E6" s="1112" t="s">
        <v>1041</v>
      </c>
      <c r="F6" s="1113"/>
      <c r="G6" s="1110" t="s">
        <v>1041</v>
      </c>
      <c r="H6" s="1111"/>
      <c r="I6" s="1110" t="s">
        <v>1041</v>
      </c>
      <c r="J6" s="1111"/>
      <c r="K6" s="1234" t="s">
        <v>1042</v>
      </c>
      <c r="L6" s="1235"/>
      <c r="M6" s="1236"/>
      <c r="N6" s="1236"/>
      <c r="O6" s="1236"/>
      <c r="P6" s="1239"/>
      <c r="Q6" s="1286"/>
      <c r="R6" s="1284"/>
      <c r="S6" s="1285"/>
      <c r="T6" s="1287"/>
      <c r="U6" s="1288"/>
      <c r="V6" s="1281"/>
      <c r="W6" s="1281"/>
      <c r="X6" s="1282"/>
      <c r="Y6" s="1287"/>
      <c r="Z6" s="1288"/>
      <c r="AA6" s="1309"/>
      <c r="AB6" s="1309"/>
      <c r="AC6" s="1309"/>
    </row>
    <row r="7" s="1080" customFormat="1" ht="15.75" spans="1:29">
      <c r="A7" s="1114" t="s">
        <v>1043</v>
      </c>
      <c r="B7" s="1115"/>
      <c r="C7" s="1116">
        <f>'数据-取费表'!B2</f>
        <v>44567</v>
      </c>
      <c r="D7" s="1117">
        <v>100</v>
      </c>
      <c r="E7" s="1118"/>
      <c r="F7" s="1119">
        <f>SUMIF(59:59,YEAR(E7)&amp;"-"&amp;MONTH(E7),60:60)</f>
        <v>0</v>
      </c>
      <c r="G7" s="1120"/>
      <c r="H7" s="1117">
        <f>SUMIF(59:59,YEAR(G7)&amp;"-"&amp;MONTH(G7),60:60)</f>
        <v>0</v>
      </c>
      <c r="I7" s="1120"/>
      <c r="J7" s="1117">
        <f>SUMIF(59:59,YEAR(I7)&amp;"-"&amp;MONTH(I7),60:60)</f>
        <v>0</v>
      </c>
      <c r="K7" s="1240"/>
      <c r="L7" s="1235"/>
      <c r="M7" s="1241"/>
      <c r="N7" s="1241"/>
      <c r="O7" s="1241"/>
      <c r="P7" s="1242" t="s">
        <v>1044</v>
      </c>
      <c r="Q7" s="1289"/>
      <c r="R7" s="1290" t="s">
        <v>1045</v>
      </c>
      <c r="S7" s="1291">
        <f t="shared" ref="S7:S15" si="0">F7</f>
        <v>0</v>
      </c>
      <c r="T7" s="1290" t="s">
        <v>1045</v>
      </c>
      <c r="U7" s="1291">
        <f t="shared" ref="U7:U15" si="1">H7</f>
        <v>0</v>
      </c>
      <c r="V7" s="1290" t="s">
        <v>1045</v>
      </c>
      <c r="W7" s="1291">
        <f t="shared" ref="W7:W15" si="2">J7</f>
        <v>0</v>
      </c>
      <c r="X7" s="1292"/>
      <c r="Y7" s="1242" t="s">
        <v>1044</v>
      </c>
      <c r="Z7" s="1293"/>
      <c r="AA7" s="1310" t="e">
        <f>D7/F7</f>
        <v>#DIV/0!</v>
      </c>
      <c r="AB7" s="1310" t="e">
        <f>D7/H7</f>
        <v>#DIV/0!</v>
      </c>
      <c r="AC7" s="1310" t="e">
        <f>D7/J7</f>
        <v>#DIV/0!</v>
      </c>
    </row>
    <row r="8" s="1080" customFormat="1" ht="15.75" spans="1:29">
      <c r="A8" s="1114" t="s">
        <v>1046</v>
      </c>
      <c r="B8" s="1115"/>
      <c r="C8" s="1121" t="s">
        <v>1047</v>
      </c>
      <c r="D8" s="1117">
        <v>100</v>
      </c>
      <c r="E8" s="1121"/>
      <c r="F8" s="1119">
        <f>SUMIF(62:62,E8,63:63)-SUMIF(62:62,C8,63:63)+100</f>
        <v>0</v>
      </c>
      <c r="G8" s="1121"/>
      <c r="H8" s="1117">
        <f>SUMIF(62:62,G8,63:63)-SUMIF(62:62,C8,63:63)+100</f>
        <v>0</v>
      </c>
      <c r="I8" s="1121"/>
      <c r="J8" s="1117">
        <f>SUMIF(62:62,I8,63:63)-SUMIF(62:62,C8,63:63)+100</f>
        <v>0</v>
      </c>
      <c r="K8" s="1240"/>
      <c r="L8" s="1235"/>
      <c r="M8" s="1241"/>
      <c r="N8" s="1241"/>
      <c r="O8" s="1241"/>
      <c r="P8" s="1242" t="s">
        <v>1049</v>
      </c>
      <c r="Q8" s="1293"/>
      <c r="R8" s="1290" t="s">
        <v>1045</v>
      </c>
      <c r="S8" s="1291">
        <f t="shared" si="0"/>
        <v>0</v>
      </c>
      <c r="T8" s="1290" t="s">
        <v>1045</v>
      </c>
      <c r="U8" s="1291">
        <f t="shared" si="1"/>
        <v>0</v>
      </c>
      <c r="V8" s="1290" t="s">
        <v>1045</v>
      </c>
      <c r="W8" s="1291">
        <f t="shared" si="2"/>
        <v>0</v>
      </c>
      <c r="X8" s="1292"/>
      <c r="Y8" s="1242" t="s">
        <v>1049</v>
      </c>
      <c r="Z8" s="1293"/>
      <c r="AA8" s="1310" t="e">
        <f t="shared" ref="AA8:AA47" si="3">D8/F8</f>
        <v>#DIV/0!</v>
      </c>
      <c r="AB8" s="1310" t="e">
        <f t="shared" ref="AB8:AB47" si="4">D8/H8</f>
        <v>#DIV/0!</v>
      </c>
      <c r="AC8" s="1310" t="e">
        <f t="shared" ref="AC8:AC47" si="5">D8/J8</f>
        <v>#DIV/0!</v>
      </c>
    </row>
    <row r="9" s="1080" customFormat="1" spans="1:29">
      <c r="A9" s="1122" t="s">
        <v>1050</v>
      </c>
      <c r="B9" s="1123" t="s">
        <v>1051</v>
      </c>
      <c r="C9" s="1589"/>
      <c r="D9" s="1125">
        <v>100</v>
      </c>
      <c r="E9" s="1590"/>
      <c r="F9" s="1125">
        <f>SUMIF(64:64,E9,65:65)-SUMIF(64:64,C9,65:65)+100</f>
        <v>100</v>
      </c>
      <c r="G9" s="1591"/>
      <c r="H9" s="1125">
        <f>SUMIF(64:64,G9,65:65)-SUMIF(64:64,C9,65:65)+100</f>
        <v>100</v>
      </c>
      <c r="I9" s="1591"/>
      <c r="J9" s="1125">
        <f>SUMIF(64:64,I9,65:65)-SUMIF(64:64,C9,65:65)+100</f>
        <v>100</v>
      </c>
      <c r="K9" s="1240"/>
      <c r="L9" s="1235"/>
      <c r="M9" s="1241"/>
      <c r="N9" s="1241"/>
      <c r="O9" s="1241"/>
      <c r="P9" s="491" t="s">
        <v>1052</v>
      </c>
      <c r="Q9" s="1294" t="str">
        <f t="shared" ref="Q9:Q15" si="6">B9</f>
        <v>用途</v>
      </c>
      <c r="R9" s="1290" t="s">
        <v>1045</v>
      </c>
      <c r="S9" s="1291">
        <f t="shared" si="0"/>
        <v>100</v>
      </c>
      <c r="T9" s="1290" t="s">
        <v>1045</v>
      </c>
      <c r="U9" s="1291">
        <f t="shared" si="1"/>
        <v>100</v>
      </c>
      <c r="V9" s="1290" t="s">
        <v>1045</v>
      </c>
      <c r="W9" s="1291">
        <f t="shared" si="2"/>
        <v>100</v>
      </c>
      <c r="X9" s="1292"/>
      <c r="Y9" s="1294" t="s">
        <v>1053</v>
      </c>
      <c r="Z9" s="1311" t="str">
        <f t="shared" ref="Z9:Z15" si="7">Q9</f>
        <v>用途</v>
      </c>
      <c r="AA9" s="1310">
        <f t="shared" si="3"/>
        <v>1</v>
      </c>
      <c r="AB9" s="1310">
        <f t="shared" si="4"/>
        <v>1</v>
      </c>
      <c r="AC9" s="1310">
        <f t="shared" si="5"/>
        <v>1</v>
      </c>
    </row>
    <row r="10" s="1081" customFormat="1" ht="27" spans="1:29">
      <c r="A10" s="1126"/>
      <c r="B10" s="1127" t="s">
        <v>1054</v>
      </c>
      <c r="C10" s="1592"/>
      <c r="D10" s="1129">
        <v>100</v>
      </c>
      <c r="E10" s="1592"/>
      <c r="F10" s="1129">
        <f>SUMIF(66:66,E10,67:67)-SUMIF(66:66,C10,67:67)+100</f>
        <v>100</v>
      </c>
      <c r="G10" s="1593"/>
      <c r="H10" s="1129">
        <f>SUMIF(66:66,G10,67:67)-SUMIF(66:66,C10,67:67)+100</f>
        <v>100</v>
      </c>
      <c r="I10" s="1592"/>
      <c r="J10" s="1129">
        <f>SUMIF(66:66,I10,67:67)-SUMIF(66:66,C10,67:67)+100</f>
        <v>100</v>
      </c>
      <c r="K10" s="1262"/>
      <c r="L10" s="1245"/>
      <c r="M10" s="1246"/>
      <c r="N10" s="1246"/>
      <c r="O10" s="1246"/>
      <c r="P10" s="491"/>
      <c r="Q10" s="1294" t="str">
        <f t="shared" si="6"/>
        <v>土地使用年限（年）</v>
      </c>
      <c r="R10" s="1290" t="s">
        <v>1045</v>
      </c>
      <c r="S10" s="1291">
        <f t="shared" si="0"/>
        <v>100</v>
      </c>
      <c r="T10" s="1290" t="s">
        <v>1045</v>
      </c>
      <c r="U10" s="1291">
        <f t="shared" si="1"/>
        <v>100</v>
      </c>
      <c r="V10" s="1290" t="s">
        <v>1045</v>
      </c>
      <c r="W10" s="1291">
        <f t="shared" si="2"/>
        <v>100</v>
      </c>
      <c r="X10" s="1292"/>
      <c r="Y10" s="1294"/>
      <c r="Z10" s="1311" t="str">
        <f t="shared" si="7"/>
        <v>土地使用年限（年）</v>
      </c>
      <c r="AA10" s="1310">
        <f t="shared" si="3"/>
        <v>1</v>
      </c>
      <c r="AB10" s="1310">
        <f t="shared" si="4"/>
        <v>1</v>
      </c>
      <c r="AC10" s="1310">
        <f t="shared" si="5"/>
        <v>1</v>
      </c>
    </row>
    <row r="11" ht="15" spans="1:29">
      <c r="A11" s="504"/>
      <c r="B11" s="1127" t="s">
        <v>1056</v>
      </c>
      <c r="C11" s="1132"/>
      <c r="D11" s="1129">
        <v>100</v>
      </c>
      <c r="E11" s="1132"/>
      <c r="F11" s="1129" t="e">
        <f>LOOKUP(E11,69:69,70:70)-LOOKUP(C11,69:69,70:70)+100</f>
        <v>#N/A</v>
      </c>
      <c r="G11" s="1133"/>
      <c r="H11" s="1129" t="e">
        <f>LOOKUP(G11,69:69,70:70)-LOOKUP(C11,69:69,70:70)+100</f>
        <v>#N/A</v>
      </c>
      <c r="I11" s="1132"/>
      <c r="J11" s="1129" t="e">
        <f>LOOKUP(I11,69:69,70:70)-LOOKUP(C11,69:69,70:70)+100</f>
        <v>#N/A</v>
      </c>
      <c r="K11" s="1262"/>
      <c r="L11" s="1249"/>
      <c r="M11" s="1236"/>
      <c r="N11" s="1236"/>
      <c r="O11" s="1236"/>
      <c r="P11" s="491"/>
      <c r="Q11" s="1294" t="str">
        <f t="shared" si="6"/>
        <v>容积率</v>
      </c>
      <c r="R11" s="1290" t="s">
        <v>1045</v>
      </c>
      <c r="S11" s="1291" t="e">
        <f t="shared" si="0"/>
        <v>#N/A</v>
      </c>
      <c r="T11" s="1290" t="s">
        <v>1045</v>
      </c>
      <c r="U11" s="1291" t="e">
        <f t="shared" si="1"/>
        <v>#N/A</v>
      </c>
      <c r="V11" s="1290" t="s">
        <v>1045</v>
      </c>
      <c r="W11" s="1291" t="e">
        <f t="shared" si="2"/>
        <v>#N/A</v>
      </c>
      <c r="X11" s="1292"/>
      <c r="Y11" s="1294"/>
      <c r="Z11" s="1311" t="str">
        <f t="shared" si="7"/>
        <v>容积率</v>
      </c>
      <c r="AA11" s="1310" t="e">
        <f t="shared" si="3"/>
        <v>#N/A</v>
      </c>
      <c r="AB11" s="1310" t="e">
        <f t="shared" si="4"/>
        <v>#N/A</v>
      </c>
      <c r="AC11" s="1310" t="e">
        <f t="shared" si="5"/>
        <v>#N/A</v>
      </c>
    </row>
    <row r="12" s="1080" customFormat="1" ht="15" spans="1:29">
      <c r="A12" s="1134"/>
      <c r="B12" s="1135">
        <v>111</v>
      </c>
      <c r="C12" s="1128"/>
      <c r="D12" s="1136">
        <v>100</v>
      </c>
      <c r="E12" s="1128"/>
      <c r="F12" s="1129">
        <f>SUMIF(71:71,E12,72:72)-SUMIF(71:71,C12,72:72)+100</f>
        <v>100</v>
      </c>
      <c r="G12" s="1594"/>
      <c r="H12" s="1129">
        <f>SUMIF(71:71,G12,72:72)-SUMIF(71:71,C12,72:72)+100</f>
        <v>100</v>
      </c>
      <c r="I12" s="1128"/>
      <c r="J12" s="1129">
        <f>SUMIF(71:71,I12,72:72)-SUMIF(71:71,C12,72:72)+100</f>
        <v>100</v>
      </c>
      <c r="K12" s="1260"/>
      <c r="L12" s="1235"/>
      <c r="M12" s="1241"/>
      <c r="N12" s="1241"/>
      <c r="O12" s="1241"/>
      <c r="P12" s="491"/>
      <c r="Q12" s="1294">
        <f t="shared" si="6"/>
        <v>111</v>
      </c>
      <c r="R12" s="1290" t="s">
        <v>1045</v>
      </c>
      <c r="S12" s="1291">
        <f t="shared" si="0"/>
        <v>100</v>
      </c>
      <c r="T12" s="1290" t="s">
        <v>1045</v>
      </c>
      <c r="U12" s="1291">
        <f t="shared" si="1"/>
        <v>100</v>
      </c>
      <c r="V12" s="1290" t="s">
        <v>1045</v>
      </c>
      <c r="W12" s="1291">
        <f t="shared" si="2"/>
        <v>100</v>
      </c>
      <c r="X12" s="1292"/>
      <c r="Y12" s="1294"/>
      <c r="Z12" s="1311">
        <f t="shared" si="7"/>
        <v>111</v>
      </c>
      <c r="AA12" s="1310">
        <f t="shared" si="3"/>
        <v>1</v>
      </c>
      <c r="AB12" s="1310">
        <f t="shared" si="4"/>
        <v>1</v>
      </c>
      <c r="AC12" s="1310">
        <f t="shared" si="5"/>
        <v>1</v>
      </c>
    </row>
    <row r="13" ht="15" spans="1:29">
      <c r="A13" s="504"/>
      <c r="B13" s="1135">
        <v>111</v>
      </c>
      <c r="C13" s="1137"/>
      <c r="D13" s="1138">
        <v>100</v>
      </c>
      <c r="E13" s="1128"/>
      <c r="F13" s="1129">
        <f>SUMIF(73:73,E13,74:74)-SUMIF(73:73,C13,74:74)+100</f>
        <v>100</v>
      </c>
      <c r="G13" s="1594"/>
      <c r="H13" s="1138">
        <f>SUMIF(73:73,G13,74:74)-SUMIF(73:73,C13,74:74)+100</f>
        <v>100</v>
      </c>
      <c r="I13" s="1128"/>
      <c r="J13" s="1138">
        <f>SUMIF(73:73,I13,74:74)-SUMIF(73:73,C13,74:74)+100</f>
        <v>100</v>
      </c>
      <c r="K13" s="1260"/>
      <c r="L13" s="1251"/>
      <c r="M13" s="1236"/>
      <c r="N13" s="1236"/>
      <c r="O13" s="1236"/>
      <c r="P13" s="491"/>
      <c r="Q13" s="1294">
        <f t="shared" si="6"/>
        <v>111</v>
      </c>
      <c r="R13" s="1290" t="s">
        <v>1045</v>
      </c>
      <c r="S13" s="1291">
        <f t="shared" si="0"/>
        <v>100</v>
      </c>
      <c r="T13" s="1290" t="s">
        <v>1045</v>
      </c>
      <c r="U13" s="1291">
        <f t="shared" si="1"/>
        <v>100</v>
      </c>
      <c r="V13" s="1290" t="s">
        <v>1045</v>
      </c>
      <c r="W13" s="1291">
        <f t="shared" si="2"/>
        <v>100</v>
      </c>
      <c r="X13" s="1292"/>
      <c r="Y13" s="1294"/>
      <c r="Z13" s="1311">
        <f t="shared" si="7"/>
        <v>111</v>
      </c>
      <c r="AA13" s="1310">
        <f t="shared" si="3"/>
        <v>1</v>
      </c>
      <c r="AB13" s="1310">
        <f t="shared" si="4"/>
        <v>1</v>
      </c>
      <c r="AC13" s="1310">
        <f t="shared" si="5"/>
        <v>1</v>
      </c>
    </row>
    <row r="14" ht="15.75" spans="1:29">
      <c r="A14" s="1141"/>
      <c r="B14" s="1142">
        <v>111</v>
      </c>
      <c r="C14" s="1143"/>
      <c r="D14" s="1144">
        <v>100</v>
      </c>
      <c r="E14" s="1595"/>
      <c r="F14" s="1144">
        <f>SUMIF(75:75,E14,76:76)-SUMIF(75:75,C14,76:76)+100</f>
        <v>100</v>
      </c>
      <c r="G14" s="1594"/>
      <c r="H14" s="1144">
        <f>SUMIF(75:75,G14,76:76)-SUMIF(75:75,C14,76:76)+100</f>
        <v>100</v>
      </c>
      <c r="I14" s="1128"/>
      <c r="J14" s="1144">
        <f>SUMIF(75:75,I14,76:76)-SUMIF(75:75,C14,76:76)+100</f>
        <v>100</v>
      </c>
      <c r="K14" s="1260"/>
      <c r="L14" s="1251"/>
      <c r="M14" s="1236"/>
      <c r="N14" s="1236"/>
      <c r="O14" s="1236"/>
      <c r="P14" s="491"/>
      <c r="Q14" s="1294">
        <f t="shared" si="6"/>
        <v>111</v>
      </c>
      <c r="R14" s="1290" t="s">
        <v>1045</v>
      </c>
      <c r="S14" s="1291">
        <f t="shared" si="0"/>
        <v>100</v>
      </c>
      <c r="T14" s="1290" t="s">
        <v>1045</v>
      </c>
      <c r="U14" s="1291">
        <f t="shared" si="1"/>
        <v>100</v>
      </c>
      <c r="V14" s="1290" t="s">
        <v>1045</v>
      </c>
      <c r="W14" s="1291">
        <f t="shared" si="2"/>
        <v>100</v>
      </c>
      <c r="X14" s="1292"/>
      <c r="Y14" s="1294"/>
      <c r="Z14" s="1311">
        <f t="shared" si="7"/>
        <v>111</v>
      </c>
      <c r="AA14" s="1310">
        <f t="shared" si="3"/>
        <v>1</v>
      </c>
      <c r="AB14" s="1310">
        <f t="shared" si="4"/>
        <v>1</v>
      </c>
      <c r="AC14" s="1310">
        <f t="shared" si="5"/>
        <v>1</v>
      </c>
    </row>
    <row r="15" ht="68.25" spans="1:29">
      <c r="A15" s="480" t="s">
        <v>1057</v>
      </c>
      <c r="B15" s="1596" t="s">
        <v>207</v>
      </c>
      <c r="C15" s="1146" t="str">
        <f>估价对象房地状况!C5</f>
        <v>估价对象位于XX商圈，周边办公楼项目较多，入驻率高，办公集聚程度较好</v>
      </c>
      <c r="D15" s="1147">
        <v>100</v>
      </c>
      <c r="E15" s="1252"/>
      <c r="F15" s="1147">
        <f>SUMIF(77:77,E16,78:78)-SUMIF(77:77,C16,78:78)+100</f>
        <v>100</v>
      </c>
      <c r="G15" s="1148"/>
      <c r="H15" s="1147">
        <f>SUMIF(77:77,G16,78:78)-SUMIF(77:77,C16,78:78)+100</f>
        <v>100</v>
      </c>
      <c r="I15" s="1148"/>
      <c r="J15" s="1147">
        <f>SUMIF(77:77,I16,78:78)-SUMIF(77:77,C16,78:78)+100</f>
        <v>100</v>
      </c>
      <c r="K15" s="1637"/>
      <c r="L15" s="1251"/>
      <c r="M15" s="1236"/>
      <c r="N15" s="1236"/>
      <c r="O15" s="1236"/>
      <c r="P15" s="1253" t="s">
        <v>1058</v>
      </c>
      <c r="Q15" s="491" t="str">
        <f t="shared" si="6"/>
        <v>办公集聚程度</v>
      </c>
      <c r="R15" s="1295" t="s">
        <v>1045</v>
      </c>
      <c r="S15" s="1296">
        <f t="shared" si="0"/>
        <v>100</v>
      </c>
      <c r="T15" s="1295" t="s">
        <v>1045</v>
      </c>
      <c r="U15" s="1296">
        <f t="shared" si="1"/>
        <v>100</v>
      </c>
      <c r="V15" s="1295" t="s">
        <v>1045</v>
      </c>
      <c r="W15" s="1296">
        <f t="shared" si="2"/>
        <v>100</v>
      </c>
      <c r="X15" s="1282"/>
      <c r="Y15" s="1253" t="s">
        <v>1058</v>
      </c>
      <c r="Z15" s="1281" t="str">
        <f t="shared" si="7"/>
        <v>办公集聚程度</v>
      </c>
      <c r="AA15" s="1312">
        <f t="shared" si="3"/>
        <v>1</v>
      </c>
      <c r="AB15" s="1312">
        <f t="shared" si="4"/>
        <v>1</v>
      </c>
      <c r="AC15" s="1312">
        <f t="shared" si="5"/>
        <v>1</v>
      </c>
    </row>
    <row r="16" ht="15" spans="1:29">
      <c r="A16" s="504"/>
      <c r="B16" s="1597"/>
      <c r="C16" s="1150"/>
      <c r="D16" s="1151"/>
      <c r="E16" s="1258"/>
      <c r="F16" s="1151"/>
      <c r="G16" s="1150"/>
      <c r="H16" s="1153"/>
      <c r="I16" s="1258"/>
      <c r="J16" s="1151"/>
      <c r="K16" s="1638"/>
      <c r="L16" s="1251"/>
      <c r="M16" s="1236"/>
      <c r="N16" s="1236"/>
      <c r="O16" s="1236"/>
      <c r="P16" s="1254"/>
      <c r="Q16" s="491"/>
      <c r="R16" s="1295"/>
      <c r="S16" s="1296"/>
      <c r="T16" s="1295"/>
      <c r="U16" s="1296"/>
      <c r="V16" s="1295"/>
      <c r="W16" s="1296"/>
      <c r="X16" s="1282"/>
      <c r="Y16" s="1254"/>
      <c r="Z16" s="1281"/>
      <c r="AA16" s="1312">
        <v>1</v>
      </c>
      <c r="AB16" s="1312">
        <v>1</v>
      </c>
      <c r="AC16" s="1312">
        <v>1</v>
      </c>
    </row>
    <row r="17" ht="81" spans="1:29">
      <c r="A17" s="504"/>
      <c r="B17" s="1598" t="s">
        <v>209</v>
      </c>
      <c r="C17" s="1162" t="str">
        <f>估价对象房地状况!C6</f>
        <v>估价对象周边道路状况、公共交通通达情况、停车便捷程度，综合评价交通便捷度较好</v>
      </c>
      <c r="D17" s="1153">
        <v>100</v>
      </c>
      <c r="E17" s="1166"/>
      <c r="F17" s="1153">
        <f>SUMIF(79:79,E18,80:80)-SUMIF(79:79,C18,80:80)+100</f>
        <v>100</v>
      </c>
      <c r="G17" s="1156"/>
      <c r="H17" s="1157">
        <f>SUMIF(79:79,G18,80:80)-SUMIF(79:79,C18,80:80)+100</f>
        <v>100</v>
      </c>
      <c r="I17" s="1156"/>
      <c r="J17" s="1157">
        <f>SUMIF(79:79,I18,80:80)-SUMIF(79:79,C18,80:80)+100</f>
        <v>100</v>
      </c>
      <c r="K17" s="1637"/>
      <c r="L17" s="1251"/>
      <c r="M17" s="1236"/>
      <c r="N17" s="1236"/>
      <c r="O17" s="1236"/>
      <c r="P17" s="1254"/>
      <c r="Q17" s="491" t="str">
        <f>B17</f>
        <v>交通便捷度</v>
      </c>
      <c r="R17" s="1295" t="s">
        <v>1045</v>
      </c>
      <c r="S17" s="1296">
        <f>F17</f>
        <v>100</v>
      </c>
      <c r="T17" s="1295" t="s">
        <v>1045</v>
      </c>
      <c r="U17" s="1296">
        <f>H17</f>
        <v>100</v>
      </c>
      <c r="V17" s="1295" t="s">
        <v>1045</v>
      </c>
      <c r="W17" s="1296">
        <f>J17</f>
        <v>100</v>
      </c>
      <c r="X17" s="1282"/>
      <c r="Y17" s="1254"/>
      <c r="Z17" s="1281" t="str">
        <f>Q17</f>
        <v>交通便捷度</v>
      </c>
      <c r="AA17" s="1312">
        <f t="shared" si="3"/>
        <v>1</v>
      </c>
      <c r="AB17" s="1312">
        <f t="shared" si="4"/>
        <v>1</v>
      </c>
      <c r="AC17" s="1312">
        <f t="shared" si="5"/>
        <v>1</v>
      </c>
    </row>
    <row r="18" ht="15" spans="1:29">
      <c r="A18" s="504"/>
      <c r="B18" s="1599"/>
      <c r="C18" s="1159"/>
      <c r="D18" s="1153"/>
      <c r="E18" s="1255"/>
      <c r="F18" s="1153"/>
      <c r="G18" s="1160"/>
      <c r="H18" s="1151"/>
      <c r="I18" s="1160"/>
      <c r="J18" s="1151"/>
      <c r="K18" s="1638"/>
      <c r="L18" s="1251"/>
      <c r="M18" s="1236"/>
      <c r="N18" s="1236"/>
      <c r="O18" s="1236"/>
      <c r="P18" s="1254"/>
      <c r="Q18" s="491"/>
      <c r="R18" s="1295"/>
      <c r="S18" s="1296"/>
      <c r="T18" s="1295"/>
      <c r="U18" s="1296"/>
      <c r="V18" s="1295"/>
      <c r="W18" s="1296"/>
      <c r="X18" s="1282"/>
      <c r="Y18" s="1254"/>
      <c r="Z18" s="1281"/>
      <c r="AA18" s="1312">
        <v>1</v>
      </c>
      <c r="AB18" s="1312">
        <v>1</v>
      </c>
      <c r="AC18" s="1312">
        <v>1</v>
      </c>
    </row>
    <row r="19" ht="40.5" spans="1:29">
      <c r="A19" s="504"/>
      <c r="B19" s="1598" t="s">
        <v>211</v>
      </c>
      <c r="C19" s="1162" t="str">
        <f>估价对象房地状况!C7</f>
        <v>估价对象所在区域公共配套设施齐备情况</v>
      </c>
      <c r="D19" s="1157">
        <v>100</v>
      </c>
      <c r="E19" s="1256"/>
      <c r="F19" s="1157">
        <f>SUMIF(81:81,E20,82:82)-SUMIF(81:81,C20,82:82)+100</f>
        <v>100</v>
      </c>
      <c r="G19" s="1161"/>
      <c r="H19" s="1153">
        <f>SUMIF(81:81,G20,82:82)-SUMIF(81:81,C20,82:82)+100</f>
        <v>100</v>
      </c>
      <c r="I19" s="1161"/>
      <c r="J19" s="1153">
        <f>SUMIF(81:81,I20,82:82)-SUMIF(81:81,C20,82:82)+100</f>
        <v>100</v>
      </c>
      <c r="K19" s="1637"/>
      <c r="L19" s="1251"/>
      <c r="M19" s="1236"/>
      <c r="N19" s="1236"/>
      <c r="O19" s="1236"/>
      <c r="P19" s="1254"/>
      <c r="Q19" s="491" t="str">
        <f>B19</f>
        <v>公共配套设施</v>
      </c>
      <c r="R19" s="1295" t="s">
        <v>1045</v>
      </c>
      <c r="S19" s="1296">
        <f>F19</f>
        <v>100</v>
      </c>
      <c r="T19" s="1295" t="s">
        <v>1045</v>
      </c>
      <c r="U19" s="1296">
        <f>H19</f>
        <v>100</v>
      </c>
      <c r="V19" s="1295" t="s">
        <v>1045</v>
      </c>
      <c r="W19" s="1296">
        <f>J19</f>
        <v>100</v>
      </c>
      <c r="X19" s="1282"/>
      <c r="Y19" s="1254"/>
      <c r="Z19" s="1281" t="str">
        <f>Q19</f>
        <v>公共配套设施</v>
      </c>
      <c r="AA19" s="1312">
        <f t="shared" si="3"/>
        <v>1</v>
      </c>
      <c r="AB19" s="1312">
        <f t="shared" si="4"/>
        <v>1</v>
      </c>
      <c r="AC19" s="1312">
        <f t="shared" si="5"/>
        <v>1</v>
      </c>
    </row>
    <row r="20" ht="15" spans="1:29">
      <c r="A20" s="504"/>
      <c r="B20" s="1599"/>
      <c r="C20" s="1150"/>
      <c r="D20" s="1151"/>
      <c r="E20" s="1169"/>
      <c r="F20" s="1151"/>
      <c r="G20" s="1152"/>
      <c r="H20" s="1151"/>
      <c r="I20" s="1152"/>
      <c r="J20" s="1151"/>
      <c r="K20" s="1638"/>
      <c r="L20" s="1251"/>
      <c r="M20" s="1236"/>
      <c r="N20" s="1236"/>
      <c r="O20" s="1236"/>
      <c r="P20" s="1254"/>
      <c r="Q20" s="491"/>
      <c r="R20" s="1295"/>
      <c r="S20" s="1296"/>
      <c r="T20" s="1295"/>
      <c r="U20" s="1296"/>
      <c r="V20" s="1295"/>
      <c r="W20" s="1296"/>
      <c r="X20" s="1282"/>
      <c r="Y20" s="1254"/>
      <c r="Z20" s="1281"/>
      <c r="AA20" s="1312">
        <v>1</v>
      </c>
      <c r="AB20" s="1312">
        <v>1</v>
      </c>
      <c r="AC20" s="1312">
        <v>1</v>
      </c>
    </row>
    <row r="21" ht="27" spans="1:29">
      <c r="A21" s="504"/>
      <c r="B21" s="1600" t="s">
        <v>212</v>
      </c>
      <c r="C21" s="1162" t="str">
        <f>估价对象房地状况!C8</f>
        <v>估价对象所在区域基础设施水平</v>
      </c>
      <c r="D21" s="1157">
        <v>100</v>
      </c>
      <c r="E21" s="1256"/>
      <c r="F21" s="1157">
        <f>SUMIF(83:83,E22,84:84)-SUMIF(83:83,C22,84:84)+100</f>
        <v>100</v>
      </c>
      <c r="G21" s="1161"/>
      <c r="H21" s="1153">
        <f>SUMIF(83:83,G22,84:84)-SUMIF(83:83,C22,84:84)+100</f>
        <v>100</v>
      </c>
      <c r="I21" s="1161"/>
      <c r="J21" s="1153">
        <f>SUMIF(83:83,I22,84:84)-SUMIF(83:83,C22,84:84)+100</f>
        <v>100</v>
      </c>
      <c r="K21" s="1637"/>
      <c r="L21" s="1251"/>
      <c r="M21" s="1236"/>
      <c r="N21" s="1236"/>
      <c r="O21" s="1236"/>
      <c r="P21" s="1254"/>
      <c r="Q21" s="491" t="str">
        <f>B21</f>
        <v>基础设施水平</v>
      </c>
      <c r="R21" s="1295" t="s">
        <v>1045</v>
      </c>
      <c r="S21" s="1296">
        <f>F21</f>
        <v>100</v>
      </c>
      <c r="T21" s="1295" t="s">
        <v>1045</v>
      </c>
      <c r="U21" s="1296">
        <f>H21</f>
        <v>100</v>
      </c>
      <c r="V21" s="1295" t="s">
        <v>1045</v>
      </c>
      <c r="W21" s="1296">
        <f>J21</f>
        <v>100</v>
      </c>
      <c r="X21" s="1282"/>
      <c r="Y21" s="1254"/>
      <c r="Z21" s="1281" t="str">
        <f>Q21</f>
        <v>基础设施水平</v>
      </c>
      <c r="AA21" s="1312">
        <f t="shared" ref="AA21" si="8">D21/F21</f>
        <v>1</v>
      </c>
      <c r="AB21" s="1312">
        <f t="shared" ref="AB21" si="9">D21/H21</f>
        <v>1</v>
      </c>
      <c r="AC21" s="1312">
        <f t="shared" ref="AC21" si="10">D21/J21</f>
        <v>1</v>
      </c>
    </row>
    <row r="22" ht="15" spans="1:29">
      <c r="A22" s="504"/>
      <c r="B22" s="1600"/>
      <c r="C22" s="1159"/>
      <c r="D22" s="1151"/>
      <c r="E22" s="1258"/>
      <c r="F22" s="1151"/>
      <c r="G22" s="1150"/>
      <c r="H22" s="1151"/>
      <c r="I22" s="1150"/>
      <c r="J22" s="1151"/>
      <c r="K22" s="1639"/>
      <c r="L22" s="1251"/>
      <c r="M22" s="1236"/>
      <c r="N22" s="1236"/>
      <c r="O22" s="1236"/>
      <c r="P22" s="1254"/>
      <c r="Q22" s="491"/>
      <c r="R22" s="1295"/>
      <c r="S22" s="1296"/>
      <c r="T22" s="1295"/>
      <c r="U22" s="1296"/>
      <c r="V22" s="1295"/>
      <c r="W22" s="1296"/>
      <c r="X22" s="1282"/>
      <c r="Y22" s="1254"/>
      <c r="Z22" s="1281"/>
      <c r="AA22" s="1312">
        <v>1</v>
      </c>
      <c r="AB22" s="1312">
        <v>1</v>
      </c>
      <c r="AC22" s="1312">
        <v>1</v>
      </c>
    </row>
    <row r="23" ht="54" spans="1:29">
      <c r="A23" s="504"/>
      <c r="B23" s="1598" t="s">
        <v>213</v>
      </c>
      <c r="C23" s="1162" t="str">
        <f>估价对象房地状况!C9</f>
        <v>区域自然环境：；人文环境；综合评价环境状况一般</v>
      </c>
      <c r="D23" s="1153">
        <v>100</v>
      </c>
      <c r="E23" s="1166"/>
      <c r="F23" s="1153">
        <f>SUMIF(85:85,E24,86:86)-SUMIF(85:85,C24,86:86)+100</f>
        <v>100</v>
      </c>
      <c r="G23" s="1156"/>
      <c r="H23" s="1153">
        <f>SUMIF(85:85,G24,86:86)-SUMIF(85:85,C24,86:86)+100</f>
        <v>100</v>
      </c>
      <c r="I23" s="1156"/>
      <c r="J23" s="1153">
        <f>SUMIF(85:85,I24,86:86)-SUMIF(85:85,C24,86:86)+100</f>
        <v>100</v>
      </c>
      <c r="K23" s="1637"/>
      <c r="L23" s="1251"/>
      <c r="M23" s="1236"/>
      <c r="N23" s="1236"/>
      <c r="O23" s="1236"/>
      <c r="P23" s="1254"/>
      <c r="Q23" s="491" t="str">
        <f>B23</f>
        <v>环境质量</v>
      </c>
      <c r="R23" s="1295" t="s">
        <v>1045</v>
      </c>
      <c r="S23" s="1296">
        <f>F23</f>
        <v>100</v>
      </c>
      <c r="T23" s="1295" t="s">
        <v>1045</v>
      </c>
      <c r="U23" s="1296">
        <f>H23</f>
        <v>100</v>
      </c>
      <c r="V23" s="1295" t="s">
        <v>1045</v>
      </c>
      <c r="W23" s="1296">
        <f>J23</f>
        <v>100</v>
      </c>
      <c r="X23" s="1282"/>
      <c r="Y23" s="1254"/>
      <c r="Z23" s="1281" t="str">
        <f>Q23</f>
        <v>环境质量</v>
      </c>
      <c r="AA23" s="1312">
        <f t="shared" si="3"/>
        <v>1</v>
      </c>
      <c r="AB23" s="1312">
        <f t="shared" si="4"/>
        <v>1</v>
      </c>
      <c r="AC23" s="1312">
        <f t="shared" si="5"/>
        <v>1</v>
      </c>
    </row>
    <row r="24" ht="15" spans="1:29">
      <c r="A24" s="504"/>
      <c r="B24" s="1600"/>
      <c r="C24" s="1150"/>
      <c r="D24" s="1151"/>
      <c r="E24" s="1169"/>
      <c r="F24" s="1151"/>
      <c r="G24" s="1152"/>
      <c r="H24" s="1151"/>
      <c r="I24" s="1152"/>
      <c r="J24" s="1151"/>
      <c r="K24" s="1638"/>
      <c r="L24" s="1251"/>
      <c r="M24" s="1236"/>
      <c r="N24" s="1236"/>
      <c r="O24" s="1236"/>
      <c r="P24" s="1254"/>
      <c r="Q24" s="491"/>
      <c r="R24" s="1295"/>
      <c r="S24" s="1296"/>
      <c r="T24" s="1295"/>
      <c r="U24" s="1296"/>
      <c r="V24" s="1295"/>
      <c r="W24" s="1296"/>
      <c r="X24" s="1282"/>
      <c r="Y24" s="1254"/>
      <c r="Z24" s="1281"/>
      <c r="AA24" s="1312">
        <v>1</v>
      </c>
      <c r="AB24" s="1312">
        <v>1</v>
      </c>
      <c r="AC24" s="1312">
        <v>1</v>
      </c>
    </row>
    <row r="25" ht="27" spans="1:29">
      <c r="A25" s="1102"/>
      <c r="B25" s="1598" t="s">
        <v>1485</v>
      </c>
      <c r="C25" s="1601"/>
      <c r="D25" s="1138">
        <v>100</v>
      </c>
      <c r="E25" s="1137"/>
      <c r="F25" s="1138">
        <f>SUMIF(87:87,E26,88:88)-SUMIF(87:87,C26,88:88)+100</f>
        <v>100</v>
      </c>
      <c r="G25" s="1601"/>
      <c r="H25" s="1138">
        <f>SUMIF(87:87,G26,88:88)-SUMIF(87:87,C26,88:88)+100</f>
        <v>100</v>
      </c>
      <c r="I25" s="1137"/>
      <c r="J25" s="1138">
        <f>SUMIF(87:87,I26,88:88)-SUMIF(87:87,C26,88:88)+100</f>
        <v>100</v>
      </c>
      <c r="K25" s="1637"/>
      <c r="L25" s="1251"/>
      <c r="M25" s="1236"/>
      <c r="N25" s="1236"/>
      <c r="O25" s="1236"/>
      <c r="P25" s="1254"/>
      <c r="Q25" s="491" t="str">
        <f>B25</f>
        <v>毗邻道路的类型与等级</v>
      </c>
      <c r="R25" s="1295" t="s">
        <v>1045</v>
      </c>
      <c r="S25" s="1296">
        <f>F25</f>
        <v>100</v>
      </c>
      <c r="T25" s="1295" t="s">
        <v>1045</v>
      </c>
      <c r="U25" s="1296">
        <f>H25</f>
        <v>100</v>
      </c>
      <c r="V25" s="1295" t="s">
        <v>1045</v>
      </c>
      <c r="W25" s="1296">
        <f>J25</f>
        <v>100</v>
      </c>
      <c r="X25" s="1282"/>
      <c r="Y25" s="1254"/>
      <c r="Z25" s="1281" t="str">
        <f>Q25</f>
        <v>毗邻道路的类型与等级</v>
      </c>
      <c r="AA25" s="1312">
        <f t="shared" si="3"/>
        <v>1</v>
      </c>
      <c r="AB25" s="1312">
        <f t="shared" si="4"/>
        <v>1</v>
      </c>
      <c r="AC25" s="1312">
        <f t="shared" si="5"/>
        <v>1</v>
      </c>
    </row>
    <row r="26" ht="15" spans="1:29">
      <c r="A26" s="1102"/>
      <c r="B26" s="1599"/>
      <c r="C26" s="1168"/>
      <c r="D26" s="1138"/>
      <c r="E26" s="1261"/>
      <c r="F26" s="1138"/>
      <c r="G26" s="1168"/>
      <c r="H26" s="1138"/>
      <c r="I26" s="1261"/>
      <c r="J26" s="1138"/>
      <c r="K26" s="1638"/>
      <c r="L26" s="1251"/>
      <c r="M26" s="1236"/>
      <c r="N26" s="1236"/>
      <c r="O26" s="1236"/>
      <c r="P26" s="1254"/>
      <c r="Q26" s="491"/>
      <c r="R26" s="1295"/>
      <c r="S26" s="1296"/>
      <c r="T26" s="1295"/>
      <c r="U26" s="1296"/>
      <c r="V26" s="1295"/>
      <c r="W26" s="1296"/>
      <c r="X26" s="1282"/>
      <c r="Y26" s="1254"/>
      <c r="Z26" s="1281"/>
      <c r="AA26" s="1312">
        <v>1</v>
      </c>
      <c r="AB26" s="1312">
        <v>1</v>
      </c>
      <c r="AC26" s="1312">
        <v>1</v>
      </c>
    </row>
    <row r="27" ht="15" spans="1:29">
      <c r="A27" s="504"/>
      <c r="B27" s="1599" t="s">
        <v>1475</v>
      </c>
      <c r="C27" s="1168"/>
      <c r="D27" s="1138">
        <v>100</v>
      </c>
      <c r="E27" s="1261"/>
      <c r="F27" s="1138">
        <f>SUMIF(89:89,E27,90:90)-SUMIF(89:89,C27,90:90)+100</f>
        <v>100</v>
      </c>
      <c r="G27" s="1168"/>
      <c r="H27" s="1138">
        <f>SUMIF(89:89,G27,90:90)-SUMIF(89:89,C27,90:90)+100</f>
        <v>100</v>
      </c>
      <c r="I27" s="1261"/>
      <c r="J27" s="1138">
        <f>SUMIF(89:89,I27,90:90)-SUMIF(89:89,C27,90:90)+100</f>
        <v>100</v>
      </c>
      <c r="K27" s="1262"/>
      <c r="L27" s="1251"/>
      <c r="M27" s="1236"/>
      <c r="N27" s="1236"/>
      <c r="O27" s="1236"/>
      <c r="P27" s="1254"/>
      <c r="Q27" s="491" t="str">
        <f t="shared" ref="Q27:Q47" si="11">B27</f>
        <v>楼层</v>
      </c>
      <c r="R27" s="1295" t="s">
        <v>1045</v>
      </c>
      <c r="S27" s="1296">
        <f>F27</f>
        <v>100</v>
      </c>
      <c r="T27" s="1295" t="s">
        <v>1045</v>
      </c>
      <c r="U27" s="1296">
        <f>H27</f>
        <v>100</v>
      </c>
      <c r="V27" s="1295" t="s">
        <v>1045</v>
      </c>
      <c r="W27" s="1296">
        <f>J27</f>
        <v>100</v>
      </c>
      <c r="X27" s="1282"/>
      <c r="Y27" s="1254"/>
      <c r="Z27" s="1281" t="str">
        <f>Q27</f>
        <v>楼层</v>
      </c>
      <c r="AA27" s="1312">
        <f t="shared" si="3"/>
        <v>1</v>
      </c>
      <c r="AB27" s="1312">
        <f t="shared" si="4"/>
        <v>1</v>
      </c>
      <c r="AC27" s="1312">
        <f t="shared" si="5"/>
        <v>1</v>
      </c>
    </row>
    <row r="28" s="1080" customFormat="1" ht="15" spans="1:29">
      <c r="A28" s="1134"/>
      <c r="B28" s="1598" t="s">
        <v>1064</v>
      </c>
      <c r="C28" s="1602"/>
      <c r="D28" s="1603">
        <v>100</v>
      </c>
      <c r="E28" s="1604"/>
      <c r="F28" s="1603">
        <f>SUMIF(91:91,E28,92:92)-SUMIF(91:91,C28,92:92)+100</f>
        <v>100</v>
      </c>
      <c r="G28" s="1602"/>
      <c r="H28" s="1603">
        <f>SUMIF(91:91,G28,92:92)-SUMIF(91:91,C28,92:92)+100</f>
        <v>100</v>
      </c>
      <c r="I28" s="1604"/>
      <c r="J28" s="1603">
        <f>SUMIF(91:91,I28,92:92)-SUMIF(91:91,C28,92:92)+100</f>
        <v>100</v>
      </c>
      <c r="K28" s="1262"/>
      <c r="L28" s="1235"/>
      <c r="M28" s="1241"/>
      <c r="N28" s="1241"/>
      <c r="O28" s="1241"/>
      <c r="P28" s="1254"/>
      <c r="Q28" s="1294" t="str">
        <f t="shared" si="11"/>
        <v>朝向</v>
      </c>
      <c r="R28" s="1290" t="s">
        <v>1045</v>
      </c>
      <c r="S28" s="1291">
        <f>F28</f>
        <v>100</v>
      </c>
      <c r="T28" s="1290" t="s">
        <v>1045</v>
      </c>
      <c r="U28" s="1291">
        <f>H28</f>
        <v>100</v>
      </c>
      <c r="V28" s="1290" t="s">
        <v>1045</v>
      </c>
      <c r="W28" s="1291">
        <f>J28</f>
        <v>100</v>
      </c>
      <c r="X28" s="1292"/>
      <c r="Y28" s="1254"/>
      <c r="Z28" s="1311" t="str">
        <f>Q28</f>
        <v>朝向</v>
      </c>
      <c r="AA28" s="1312">
        <f t="shared" si="3"/>
        <v>1</v>
      </c>
      <c r="AB28" s="1312">
        <f t="shared" si="4"/>
        <v>1</v>
      </c>
      <c r="AC28" s="1312">
        <f t="shared" si="5"/>
        <v>1</v>
      </c>
    </row>
    <row r="29" ht="15" spans="1:29">
      <c r="A29" s="504"/>
      <c r="B29" s="1605">
        <v>111</v>
      </c>
      <c r="C29" s="1601"/>
      <c r="D29" s="1138">
        <v>100</v>
      </c>
      <c r="E29" s="1128"/>
      <c r="F29" s="1138">
        <f>SUMIF(93:93,E29,94:94)-SUMIF(93:93,C29,94:94)+100</f>
        <v>100</v>
      </c>
      <c r="G29" s="1594"/>
      <c r="H29" s="1138">
        <f>SUMIF(93:93,G29,94:94)-SUMIF(93:93,C29,94:94)+100</f>
        <v>100</v>
      </c>
      <c r="I29" s="1128"/>
      <c r="J29" s="1138">
        <f>SUMIF(93:93,I29,94:94)-SUMIF(93:93,C29,94:94)+100</f>
        <v>100</v>
      </c>
      <c r="K29" s="1260"/>
      <c r="L29" s="1251"/>
      <c r="M29" s="1236"/>
      <c r="N29" s="1236"/>
      <c r="O29" s="1236"/>
      <c r="P29" s="1254"/>
      <c r="Q29" s="491">
        <f t="shared" si="11"/>
        <v>111</v>
      </c>
      <c r="R29" s="1295" t="s">
        <v>1045</v>
      </c>
      <c r="S29" s="1296">
        <f t="shared" ref="S29:S47" si="12">F29</f>
        <v>100</v>
      </c>
      <c r="T29" s="1295" t="s">
        <v>1045</v>
      </c>
      <c r="U29" s="1296">
        <f t="shared" ref="U29:U47" si="13">H29</f>
        <v>100</v>
      </c>
      <c r="V29" s="1295" t="s">
        <v>1045</v>
      </c>
      <c r="W29" s="1296">
        <f t="shared" ref="W29:W47" si="14">J29</f>
        <v>100</v>
      </c>
      <c r="X29" s="1282"/>
      <c r="Y29" s="1254"/>
      <c r="Z29" s="1281">
        <f t="shared" ref="Z29:Z47" si="15">Q29</f>
        <v>111</v>
      </c>
      <c r="AA29" s="1312">
        <f t="shared" si="3"/>
        <v>1</v>
      </c>
      <c r="AB29" s="1312">
        <f t="shared" si="4"/>
        <v>1</v>
      </c>
      <c r="AC29" s="1312">
        <f t="shared" si="5"/>
        <v>1</v>
      </c>
    </row>
    <row r="30" ht="15" spans="1:29">
      <c r="A30" s="504"/>
      <c r="B30" s="1605">
        <v>111</v>
      </c>
      <c r="C30" s="1601"/>
      <c r="D30" s="1138">
        <v>100</v>
      </c>
      <c r="E30" s="1128"/>
      <c r="F30" s="1138">
        <f>SUMIF(95:95,E30,96:96)-SUMIF(95:95,C30,96:96)+100</f>
        <v>100</v>
      </c>
      <c r="G30" s="1594"/>
      <c r="H30" s="1138">
        <f>SUMIF(95:95,G30,96:96)-SUMIF(95:95,C30,96:96)+100</f>
        <v>100</v>
      </c>
      <c r="I30" s="1128"/>
      <c r="J30" s="1138">
        <f>SUMIF(95:95,I30,96:96)-SUMIF(95:95,C30,96:96)+100</f>
        <v>100</v>
      </c>
      <c r="K30" s="1260"/>
      <c r="L30" s="1251"/>
      <c r="M30" s="1236"/>
      <c r="N30" s="1236"/>
      <c r="O30" s="1236"/>
      <c r="P30" s="1254"/>
      <c r="Q30" s="491">
        <f t="shared" si="11"/>
        <v>111</v>
      </c>
      <c r="R30" s="1295" t="s">
        <v>1045</v>
      </c>
      <c r="S30" s="1296">
        <f t="shared" si="12"/>
        <v>100</v>
      </c>
      <c r="T30" s="1295" t="s">
        <v>1045</v>
      </c>
      <c r="U30" s="1296">
        <f t="shared" si="13"/>
        <v>100</v>
      </c>
      <c r="V30" s="1295" t="s">
        <v>1045</v>
      </c>
      <c r="W30" s="1296">
        <f t="shared" si="14"/>
        <v>100</v>
      </c>
      <c r="X30" s="1282"/>
      <c r="Y30" s="1254"/>
      <c r="Z30" s="1281">
        <f t="shared" si="15"/>
        <v>111</v>
      </c>
      <c r="AA30" s="1312">
        <f t="shared" si="3"/>
        <v>1</v>
      </c>
      <c r="AB30" s="1312">
        <f t="shared" si="4"/>
        <v>1</v>
      </c>
      <c r="AC30" s="1312">
        <f t="shared" si="5"/>
        <v>1</v>
      </c>
    </row>
    <row r="31" ht="15" spans="1:29">
      <c r="A31" s="504"/>
      <c r="B31" s="1605">
        <v>111</v>
      </c>
      <c r="C31" s="1601"/>
      <c r="D31" s="1138">
        <v>100</v>
      </c>
      <c r="E31" s="1128"/>
      <c r="F31" s="1138">
        <f>SUMIF(97:97,E31,98:98)-SUMIF(97:97,C31,98:98)+100</f>
        <v>100</v>
      </c>
      <c r="G31" s="1594"/>
      <c r="H31" s="1138">
        <f>SUMIF(97:97,G31,98:98)-SUMIF(97:97,C31,98:98)+100</f>
        <v>100</v>
      </c>
      <c r="I31" s="1128"/>
      <c r="J31" s="1138">
        <f>SUMIF(97:97,I31,98:98)-SUMIF(97:97,C31,98:98)+100</f>
        <v>100</v>
      </c>
      <c r="K31" s="1260"/>
      <c r="L31" s="1251"/>
      <c r="M31" s="1236"/>
      <c r="N31" s="1236"/>
      <c r="O31" s="1236"/>
      <c r="P31" s="1254"/>
      <c r="Q31" s="491">
        <f t="shared" si="11"/>
        <v>111</v>
      </c>
      <c r="R31" s="1295" t="s">
        <v>1045</v>
      </c>
      <c r="S31" s="1296">
        <f t="shared" si="12"/>
        <v>100</v>
      </c>
      <c r="T31" s="1295" t="s">
        <v>1045</v>
      </c>
      <c r="U31" s="1296">
        <f t="shared" si="13"/>
        <v>100</v>
      </c>
      <c r="V31" s="1295" t="s">
        <v>1045</v>
      </c>
      <c r="W31" s="1296">
        <f t="shared" si="14"/>
        <v>100</v>
      </c>
      <c r="X31" s="1282"/>
      <c r="Y31" s="1254"/>
      <c r="Z31" s="1281">
        <f t="shared" si="15"/>
        <v>111</v>
      </c>
      <c r="AA31" s="1312">
        <f t="shared" si="3"/>
        <v>1</v>
      </c>
      <c r="AB31" s="1312">
        <f t="shared" si="4"/>
        <v>1</v>
      </c>
      <c r="AC31" s="1312">
        <f t="shared" si="5"/>
        <v>1</v>
      </c>
    </row>
    <row r="32" ht="15.75" spans="1:29">
      <c r="A32" s="1141"/>
      <c r="B32" s="1606">
        <v>111</v>
      </c>
      <c r="C32" s="1607"/>
      <c r="D32" s="1144">
        <v>100</v>
      </c>
      <c r="E32" s="1595"/>
      <c r="F32" s="1144">
        <f>SUMIF(99:99,E32,100:100)-SUMIF(99:99,C32,100:100)+100</f>
        <v>100</v>
      </c>
      <c r="G32" s="1594"/>
      <c r="H32" s="1144">
        <f>SUMIF(99:99,G32,100:100)-SUMIF(99:99,C32,100:100)+100</f>
        <v>100</v>
      </c>
      <c r="I32" s="1128"/>
      <c r="J32" s="1144">
        <f>SUMIF(99:99,I32,100:100)-SUMIF(99:99,C32,100:100)+100</f>
        <v>100</v>
      </c>
      <c r="K32" s="1260"/>
      <c r="L32" s="1251"/>
      <c r="M32" s="1236"/>
      <c r="N32" s="1236"/>
      <c r="O32" s="1236"/>
      <c r="P32" s="1254"/>
      <c r="Q32" s="491">
        <f t="shared" si="11"/>
        <v>111</v>
      </c>
      <c r="R32" s="1295" t="s">
        <v>1045</v>
      </c>
      <c r="S32" s="1296">
        <f t="shared" si="12"/>
        <v>100</v>
      </c>
      <c r="T32" s="1295" t="s">
        <v>1045</v>
      </c>
      <c r="U32" s="1296">
        <f t="shared" si="13"/>
        <v>100</v>
      </c>
      <c r="V32" s="1295" t="s">
        <v>1045</v>
      </c>
      <c r="W32" s="1296">
        <f t="shared" si="14"/>
        <v>100</v>
      </c>
      <c r="X32" s="1282"/>
      <c r="Y32" s="1254"/>
      <c r="Z32" s="1281">
        <f t="shared" si="15"/>
        <v>111</v>
      </c>
      <c r="AA32" s="1312">
        <f t="shared" si="3"/>
        <v>1</v>
      </c>
      <c r="AB32" s="1312">
        <f t="shared" si="4"/>
        <v>1</v>
      </c>
      <c r="AC32" s="1312">
        <f t="shared" si="5"/>
        <v>1</v>
      </c>
    </row>
    <row r="33" ht="15" spans="1:29">
      <c r="A33" s="480" t="s">
        <v>1070</v>
      </c>
      <c r="B33" s="1123" t="s">
        <v>1071</v>
      </c>
      <c r="C33" s="1608"/>
      <c r="D33" s="1184">
        <v>100</v>
      </c>
      <c r="E33" s="1608"/>
      <c r="F33" s="1609">
        <f>SUMIF(101:101,E33,102:102)-SUMIF(101:101,C33,102:102)+100</f>
        <v>100</v>
      </c>
      <c r="G33" s="1608"/>
      <c r="H33" s="1138">
        <f>SUMIF(101:101,G33,102:102)-SUMIF(101:101,C33,102:102)+100</f>
        <v>100</v>
      </c>
      <c r="I33" s="1608"/>
      <c r="J33" s="1184">
        <f>SUMIF(101:101,I33,102:102)-SUMIF(101:101,C33,102:102)+100</f>
        <v>100</v>
      </c>
      <c r="K33" s="1262"/>
      <c r="L33" s="1251"/>
      <c r="M33" s="1236"/>
      <c r="N33" s="1236"/>
      <c r="O33" s="1236"/>
      <c r="P33" s="1263" t="s">
        <v>1073</v>
      </c>
      <c r="Q33" s="491" t="str">
        <f t="shared" si="11"/>
        <v>建筑类型</v>
      </c>
      <c r="R33" s="1295" t="s">
        <v>1045</v>
      </c>
      <c r="S33" s="1296">
        <f t="shared" si="12"/>
        <v>100</v>
      </c>
      <c r="T33" s="1295" t="s">
        <v>1045</v>
      </c>
      <c r="U33" s="1296">
        <f t="shared" si="13"/>
        <v>100</v>
      </c>
      <c r="V33" s="1295" t="s">
        <v>1045</v>
      </c>
      <c r="W33" s="1296">
        <f t="shared" si="14"/>
        <v>100</v>
      </c>
      <c r="X33" s="1282"/>
      <c r="Y33" s="1267" t="s">
        <v>1073</v>
      </c>
      <c r="Z33" s="1281" t="str">
        <f t="shared" si="15"/>
        <v>建筑类型</v>
      </c>
      <c r="AA33" s="1312">
        <f t="shared" si="3"/>
        <v>1</v>
      </c>
      <c r="AB33" s="1312">
        <f t="shared" si="4"/>
        <v>1</v>
      </c>
      <c r="AC33" s="1312">
        <f t="shared" si="5"/>
        <v>1</v>
      </c>
    </row>
    <row r="34" s="1082" customFormat="1" ht="15" spans="1:29">
      <c r="A34" s="1190"/>
      <c r="B34" s="1127" t="s">
        <v>1074</v>
      </c>
      <c r="C34" s="1610"/>
      <c r="D34" s="1129">
        <v>100</v>
      </c>
      <c r="E34" s="1133"/>
      <c r="F34" s="1611" t="e">
        <f>LOOKUP(E34,104:104,105:105)-LOOKUP(C34,104:104,105:105)+100</f>
        <v>#N/A</v>
      </c>
      <c r="G34" s="1132"/>
      <c r="H34" s="1129" t="e">
        <f>LOOKUP(G34,104:104,105:105)-LOOKUP(C34,104:104,105:105)+100</f>
        <v>#N/A</v>
      </c>
      <c r="I34" s="1132"/>
      <c r="J34" s="1129" t="e">
        <f>LOOKUP(I34,104:104,105:105)-LOOKUP(C34,104:104,105:105)+100</f>
        <v>#N/A</v>
      </c>
      <c r="K34" s="1260"/>
      <c r="L34" s="1249"/>
      <c r="M34" s="1265"/>
      <c r="N34" s="1265"/>
      <c r="O34" s="1265"/>
      <c r="P34" s="1267"/>
      <c r="Q34" s="1646" t="str">
        <f t="shared" si="11"/>
        <v>项目建筑规模</v>
      </c>
      <c r="R34" s="1297" t="s">
        <v>1045</v>
      </c>
      <c r="S34" s="1298" t="e">
        <f t="shared" si="12"/>
        <v>#N/A</v>
      </c>
      <c r="T34" s="1297" t="s">
        <v>1045</v>
      </c>
      <c r="U34" s="1298" t="e">
        <f t="shared" si="13"/>
        <v>#N/A</v>
      </c>
      <c r="V34" s="1297" t="s">
        <v>1045</v>
      </c>
      <c r="W34" s="1298" t="e">
        <f t="shared" si="14"/>
        <v>#N/A</v>
      </c>
      <c r="X34" s="1299"/>
      <c r="Y34" s="1267"/>
      <c r="Z34" s="1313" t="str">
        <f t="shared" si="15"/>
        <v>项目建筑规模</v>
      </c>
      <c r="AA34" s="1312" t="e">
        <f t="shared" si="3"/>
        <v>#N/A</v>
      </c>
      <c r="AB34" s="1312" t="e">
        <f t="shared" si="4"/>
        <v>#N/A</v>
      </c>
      <c r="AC34" s="1312" t="e">
        <f t="shared" si="5"/>
        <v>#N/A</v>
      </c>
    </row>
    <row r="35" ht="15" spans="1:29">
      <c r="A35" s="1185"/>
      <c r="B35" s="1127" t="s">
        <v>1075</v>
      </c>
      <c r="C35" s="1612"/>
      <c r="D35" s="1138">
        <v>100</v>
      </c>
      <c r="E35" s="1612"/>
      <c r="F35" s="1609">
        <f>SUMIF(106:106,E35,107:107)-SUMIF(106:106,C35,107:107)+100</f>
        <v>100</v>
      </c>
      <c r="G35" s="1612"/>
      <c r="H35" s="1138">
        <f>SUMIF(106:106,G35,107:107)-SUMIF(106:106,C35,107:107)+100</f>
        <v>100</v>
      </c>
      <c r="I35" s="1612"/>
      <c r="J35" s="1138">
        <f>SUMIF(106:106,I35,107:107)-SUMIF(106:106,C35,107:107)+100</f>
        <v>100</v>
      </c>
      <c r="K35" s="1262"/>
      <c r="L35" s="1251"/>
      <c r="M35" s="1236"/>
      <c r="N35" s="1236"/>
      <c r="O35" s="1236"/>
      <c r="P35" s="1267"/>
      <c r="Q35" s="491" t="str">
        <f t="shared" si="11"/>
        <v>建筑结构</v>
      </c>
      <c r="R35" s="1295" t="s">
        <v>1045</v>
      </c>
      <c r="S35" s="1296">
        <f t="shared" si="12"/>
        <v>100</v>
      </c>
      <c r="T35" s="1295" t="s">
        <v>1045</v>
      </c>
      <c r="U35" s="1296">
        <f t="shared" si="13"/>
        <v>100</v>
      </c>
      <c r="V35" s="1295" t="s">
        <v>1045</v>
      </c>
      <c r="W35" s="1296">
        <f t="shared" si="14"/>
        <v>100</v>
      </c>
      <c r="X35" s="1282"/>
      <c r="Y35" s="1267"/>
      <c r="Z35" s="1281" t="str">
        <f t="shared" si="15"/>
        <v>建筑结构</v>
      </c>
      <c r="AA35" s="1312">
        <f t="shared" si="3"/>
        <v>1</v>
      </c>
      <c r="AB35" s="1312">
        <f t="shared" si="4"/>
        <v>1</v>
      </c>
      <c r="AC35" s="1312">
        <f t="shared" si="5"/>
        <v>1</v>
      </c>
    </row>
    <row r="36" ht="15" spans="1:29">
      <c r="A36" s="1185"/>
      <c r="B36" s="1127" t="s">
        <v>1077</v>
      </c>
      <c r="C36" s="1612"/>
      <c r="D36" s="1138">
        <v>100</v>
      </c>
      <c r="E36" s="1612"/>
      <c r="F36" s="1609">
        <f>SUMIF(108:108,E36,109:109)-SUMIF(108:108,C36,109:109)+100</f>
        <v>100</v>
      </c>
      <c r="G36" s="1612"/>
      <c r="H36" s="1138">
        <f>SUMIF(108:108,G36,109:109)-SUMIF(108:108,C36,109:109)+100</f>
        <v>100</v>
      </c>
      <c r="I36" s="1612"/>
      <c r="J36" s="1138">
        <f>SUMIF(108:108,I36,109:109)-SUMIF(108:108,C36,109:109)+100</f>
        <v>100</v>
      </c>
      <c r="K36" s="1262"/>
      <c r="L36" s="1251"/>
      <c r="M36" s="1236"/>
      <c r="N36" s="1236"/>
      <c r="O36" s="1236"/>
      <c r="P36" s="1267"/>
      <c r="Q36" s="491" t="str">
        <f t="shared" si="11"/>
        <v>公共部分装修</v>
      </c>
      <c r="R36" s="1295" t="s">
        <v>1045</v>
      </c>
      <c r="S36" s="1296">
        <f t="shared" si="12"/>
        <v>100</v>
      </c>
      <c r="T36" s="1295" t="s">
        <v>1045</v>
      </c>
      <c r="U36" s="1296">
        <f t="shared" si="13"/>
        <v>100</v>
      </c>
      <c r="V36" s="1295" t="s">
        <v>1045</v>
      </c>
      <c r="W36" s="1296">
        <f t="shared" si="14"/>
        <v>100</v>
      </c>
      <c r="X36" s="1282"/>
      <c r="Y36" s="1267"/>
      <c r="Z36" s="1281" t="str">
        <f t="shared" si="15"/>
        <v>公共部分装修</v>
      </c>
      <c r="AA36" s="1312">
        <f t="shared" si="3"/>
        <v>1</v>
      </c>
      <c r="AB36" s="1312">
        <f t="shared" si="4"/>
        <v>1</v>
      </c>
      <c r="AC36" s="1312">
        <f t="shared" si="5"/>
        <v>1</v>
      </c>
    </row>
    <row r="37" ht="15" spans="1:29">
      <c r="A37" s="1185"/>
      <c r="B37" s="1127" t="s">
        <v>1078</v>
      </c>
      <c r="C37" s="1613"/>
      <c r="D37" s="1138">
        <v>100</v>
      </c>
      <c r="E37" s="1613"/>
      <c r="F37" s="1609" t="e">
        <f>LOOKUP(E37,111:111,112:112)-LOOKUP(C37,111:111,112:112)+100</f>
        <v>#N/A</v>
      </c>
      <c r="G37" s="1613"/>
      <c r="H37" s="1609" t="e">
        <f>LOOKUP(G37,111:111,112:112)-LOOKUP(C37,111:111,112:112)+100</f>
        <v>#N/A</v>
      </c>
      <c r="I37" s="1613"/>
      <c r="J37" s="1138" t="e">
        <f>LOOKUP(I37,111:111,112:112)-LOOKUP(C37,111:111,112:112)+100</f>
        <v>#N/A</v>
      </c>
      <c r="K37" s="1262"/>
      <c r="L37" s="1251"/>
      <c r="M37" s="1236"/>
      <c r="N37" s="1236"/>
      <c r="O37" s="1236"/>
      <c r="P37" s="1267"/>
      <c r="Q37" s="491" t="str">
        <f t="shared" si="11"/>
        <v>成新度</v>
      </c>
      <c r="R37" s="1295" t="s">
        <v>1045</v>
      </c>
      <c r="S37" s="1296" t="e">
        <f t="shared" si="12"/>
        <v>#N/A</v>
      </c>
      <c r="T37" s="1295" t="s">
        <v>1045</v>
      </c>
      <c r="U37" s="1296" t="e">
        <f t="shared" si="13"/>
        <v>#N/A</v>
      </c>
      <c r="V37" s="1295" t="s">
        <v>1045</v>
      </c>
      <c r="W37" s="1296" t="e">
        <f t="shared" si="14"/>
        <v>#N/A</v>
      </c>
      <c r="X37" s="1282"/>
      <c r="Y37" s="1267"/>
      <c r="Z37" s="1281" t="str">
        <f t="shared" si="15"/>
        <v>成新度</v>
      </c>
      <c r="AA37" s="1312" t="e">
        <f t="shared" si="3"/>
        <v>#N/A</v>
      </c>
      <c r="AB37" s="1312" t="e">
        <f t="shared" si="4"/>
        <v>#N/A</v>
      </c>
      <c r="AC37" s="1312" t="e">
        <f t="shared" si="5"/>
        <v>#N/A</v>
      </c>
    </row>
    <row r="38" s="1080" customFormat="1" ht="15" spans="1:29">
      <c r="A38" s="1187"/>
      <c r="B38" s="1127" t="s">
        <v>1486</v>
      </c>
      <c r="C38" s="1612"/>
      <c r="D38" s="1129">
        <v>100</v>
      </c>
      <c r="E38" s="1612"/>
      <c r="F38" s="1609">
        <f>SUMIF(113:113,E38,114:114)-SUMIF(113:113,C38,114:114)+100</f>
        <v>100</v>
      </c>
      <c r="G38" s="1612"/>
      <c r="H38" s="1138">
        <f>SUMIF(113:113,G38,114:114)-SUMIF(113:113,C38,114:114)+100</f>
        <v>100</v>
      </c>
      <c r="I38" s="1612"/>
      <c r="J38" s="1138">
        <f>SUMIF(113:113,I38,114:114)-SUMIF(113:113,C38,114:114)+100</f>
        <v>100</v>
      </c>
      <c r="K38" s="1262"/>
      <c r="L38" s="1235"/>
      <c r="M38" s="1241"/>
      <c r="N38" s="1241"/>
      <c r="O38" s="1241"/>
      <c r="P38" s="1267"/>
      <c r="Q38" s="1294" t="str">
        <f t="shared" si="11"/>
        <v>写字楼等级</v>
      </c>
      <c r="R38" s="1290" t="s">
        <v>1045</v>
      </c>
      <c r="S38" s="1291">
        <f t="shared" si="12"/>
        <v>100</v>
      </c>
      <c r="T38" s="1290" t="s">
        <v>1045</v>
      </c>
      <c r="U38" s="1291">
        <f t="shared" si="13"/>
        <v>100</v>
      </c>
      <c r="V38" s="1290" t="s">
        <v>1045</v>
      </c>
      <c r="W38" s="1291">
        <f t="shared" si="14"/>
        <v>100</v>
      </c>
      <c r="X38" s="1292"/>
      <c r="Y38" s="1267"/>
      <c r="Z38" s="1311" t="str">
        <f t="shared" si="15"/>
        <v>写字楼等级</v>
      </c>
      <c r="AA38" s="1310">
        <f t="shared" si="3"/>
        <v>1</v>
      </c>
      <c r="AB38" s="1310">
        <f t="shared" si="4"/>
        <v>1</v>
      </c>
      <c r="AC38" s="1310">
        <f t="shared" si="5"/>
        <v>1</v>
      </c>
    </row>
    <row r="39" ht="15" spans="1:29">
      <c r="A39" s="1185"/>
      <c r="B39" s="1127" t="s">
        <v>1079</v>
      </c>
      <c r="C39" s="1612"/>
      <c r="D39" s="1138">
        <v>100</v>
      </c>
      <c r="E39" s="1612"/>
      <c r="F39" s="1609">
        <f>SUMIF(115:115,E39,116:116)-SUMIF(115:115,C39,116:116)+100</f>
        <v>100</v>
      </c>
      <c r="G39" s="1612"/>
      <c r="H39" s="1138">
        <f>SUMIF(115:115,G39,116:116)-SUMIF(115:115,C39,116:116)+100</f>
        <v>100</v>
      </c>
      <c r="I39" s="1612"/>
      <c r="J39" s="1138">
        <f>SUMIF(115:115,I39,116:116)-SUMIF(115:115,C39,116:116)+100</f>
        <v>100</v>
      </c>
      <c r="K39" s="1262"/>
      <c r="L39" s="1251"/>
      <c r="M39" s="1236"/>
      <c r="N39" s="1236"/>
      <c r="O39" s="1236"/>
      <c r="P39" s="1267" t="s">
        <v>1073</v>
      </c>
      <c r="Q39" s="491" t="str">
        <f t="shared" si="11"/>
        <v>物业管理</v>
      </c>
      <c r="R39" s="1295" t="s">
        <v>1045</v>
      </c>
      <c r="S39" s="1296">
        <f t="shared" si="12"/>
        <v>100</v>
      </c>
      <c r="T39" s="1295" t="s">
        <v>1045</v>
      </c>
      <c r="U39" s="1296">
        <f t="shared" si="13"/>
        <v>100</v>
      </c>
      <c r="V39" s="1295" t="s">
        <v>1045</v>
      </c>
      <c r="W39" s="1296">
        <f t="shared" si="14"/>
        <v>100</v>
      </c>
      <c r="X39" s="1282"/>
      <c r="Y39" s="1267" t="s">
        <v>1073</v>
      </c>
      <c r="Z39" s="1281" t="str">
        <f t="shared" si="15"/>
        <v>物业管理</v>
      </c>
      <c r="AA39" s="1312">
        <f t="shared" si="3"/>
        <v>1</v>
      </c>
      <c r="AB39" s="1312">
        <f t="shared" si="4"/>
        <v>1</v>
      </c>
      <c r="AC39" s="1312">
        <f t="shared" si="5"/>
        <v>1</v>
      </c>
    </row>
    <row r="40" ht="15" spans="1:29">
      <c r="A40" s="1185"/>
      <c r="B40" s="1127" t="s">
        <v>1080</v>
      </c>
      <c r="C40" s="1612"/>
      <c r="D40" s="1138">
        <v>100</v>
      </c>
      <c r="E40" s="1612"/>
      <c r="F40" s="1609">
        <f>SUMIF(117:117,E40,118:118)-SUMIF(117:117,C40,118:118)+100</f>
        <v>100</v>
      </c>
      <c r="G40" s="1612"/>
      <c r="H40" s="1138">
        <f>SUMIF(117:117,G40,118:118)-SUMIF(117:117,C40,118:118)+100</f>
        <v>100</v>
      </c>
      <c r="I40" s="1612"/>
      <c r="J40" s="1138">
        <f>SUMIF(117:117,I40,118:118)-SUMIF(117:117,C40,118:118)+100</f>
        <v>100</v>
      </c>
      <c r="K40" s="1262"/>
      <c r="L40" s="1251"/>
      <c r="M40" s="1236"/>
      <c r="N40" s="1236"/>
      <c r="O40" s="1236"/>
      <c r="P40" s="1267"/>
      <c r="Q40" s="491" t="str">
        <f t="shared" si="11"/>
        <v>市政基础设施</v>
      </c>
      <c r="R40" s="1295" t="s">
        <v>1045</v>
      </c>
      <c r="S40" s="1296">
        <f t="shared" si="12"/>
        <v>100</v>
      </c>
      <c r="T40" s="1295" t="s">
        <v>1045</v>
      </c>
      <c r="U40" s="1296">
        <f t="shared" si="13"/>
        <v>100</v>
      </c>
      <c r="V40" s="1295" t="s">
        <v>1045</v>
      </c>
      <c r="W40" s="1296">
        <f t="shared" si="14"/>
        <v>100</v>
      </c>
      <c r="X40" s="1282"/>
      <c r="Y40" s="1267"/>
      <c r="Z40" s="1281" t="str">
        <f t="shared" si="15"/>
        <v>市政基础设施</v>
      </c>
      <c r="AA40" s="1312">
        <f t="shared" si="3"/>
        <v>1</v>
      </c>
      <c r="AB40" s="1312">
        <f t="shared" si="4"/>
        <v>1</v>
      </c>
      <c r="AC40" s="1312">
        <f t="shared" si="5"/>
        <v>1</v>
      </c>
    </row>
    <row r="41" ht="15" spans="1:29">
      <c r="A41" s="1185"/>
      <c r="B41" s="1127" t="s">
        <v>1478</v>
      </c>
      <c r="C41" s="1261"/>
      <c r="D41" s="1138">
        <v>100</v>
      </c>
      <c r="E41" s="1261"/>
      <c r="F41" s="1609">
        <f>SUMIF(119:119,E41,120:120)-SUMIF(119:119,C41,120:120)+100</f>
        <v>100</v>
      </c>
      <c r="G41" s="1261"/>
      <c r="H41" s="1138">
        <f>SUMIF(119:119,G41,120:120)-SUMIF(119:119,C41,120:120)+100</f>
        <v>100</v>
      </c>
      <c r="I41" s="1261"/>
      <c r="J41" s="1138">
        <f>SUMIF(119:119,I41,120:120)-SUMIF(119:119,C41,120:120)+100</f>
        <v>100</v>
      </c>
      <c r="K41" s="1262"/>
      <c r="L41" s="1251"/>
      <c r="M41" s="1236"/>
      <c r="N41" s="1236"/>
      <c r="O41" s="1236"/>
      <c r="P41" s="1267"/>
      <c r="Q41" s="491" t="str">
        <f t="shared" si="11"/>
        <v>层高</v>
      </c>
      <c r="R41" s="1295" t="s">
        <v>1045</v>
      </c>
      <c r="S41" s="1296">
        <f t="shared" si="12"/>
        <v>100</v>
      </c>
      <c r="T41" s="1295" t="s">
        <v>1045</v>
      </c>
      <c r="U41" s="1296">
        <f t="shared" si="13"/>
        <v>100</v>
      </c>
      <c r="V41" s="1295" t="s">
        <v>1045</v>
      </c>
      <c r="W41" s="1296">
        <f t="shared" si="14"/>
        <v>100</v>
      </c>
      <c r="X41" s="1282"/>
      <c r="Y41" s="1267"/>
      <c r="Z41" s="1281" t="str">
        <f t="shared" si="15"/>
        <v>层高</v>
      </c>
      <c r="AA41" s="1312">
        <f t="shared" si="3"/>
        <v>1</v>
      </c>
      <c r="AB41" s="1312">
        <f t="shared" si="4"/>
        <v>1</v>
      </c>
      <c r="AC41" s="1312">
        <f t="shared" si="5"/>
        <v>1</v>
      </c>
    </row>
    <row r="42" s="1082" customFormat="1" ht="15" spans="1:29">
      <c r="A42" s="1190"/>
      <c r="B42" s="1273" t="s">
        <v>1487</v>
      </c>
      <c r="C42" s="1137"/>
      <c r="D42" s="1138">
        <v>100</v>
      </c>
      <c r="E42" s="1137"/>
      <c r="F42" s="1609">
        <f>SUMIF(121:121,E42,122:122)-SUMIF(121:121,C42,122:122)+100</f>
        <v>100</v>
      </c>
      <c r="G42" s="1137"/>
      <c r="H42" s="1138">
        <f>SUMIF(121:121,G42,122:122)-SUMIF(121:121,C42,122:122)+100</f>
        <v>100</v>
      </c>
      <c r="I42" s="1137"/>
      <c r="J42" s="1138">
        <f>SUMIF(121:121,I42,122:122)-SUMIF(121:121,C42,122:122)+100</f>
        <v>100</v>
      </c>
      <c r="K42" s="1260"/>
      <c r="L42" s="1249"/>
      <c r="M42" s="1265"/>
      <c r="N42" s="1265"/>
      <c r="O42" s="1265"/>
      <c r="P42" s="1267"/>
      <c r="Q42" s="1646" t="str">
        <f t="shared" si="11"/>
        <v>单套建筑面积</v>
      </c>
      <c r="R42" s="1297" t="s">
        <v>1045</v>
      </c>
      <c r="S42" s="1298">
        <f t="shared" si="12"/>
        <v>100</v>
      </c>
      <c r="T42" s="1297" t="s">
        <v>1045</v>
      </c>
      <c r="U42" s="1298">
        <f t="shared" si="13"/>
        <v>100</v>
      </c>
      <c r="V42" s="1297" t="s">
        <v>1045</v>
      </c>
      <c r="W42" s="1298">
        <f t="shared" si="14"/>
        <v>100</v>
      </c>
      <c r="X42" s="1299"/>
      <c r="Y42" s="1267"/>
      <c r="Z42" s="1313" t="str">
        <f t="shared" si="15"/>
        <v>单套建筑面积</v>
      </c>
      <c r="AA42" s="1312">
        <f t="shared" si="3"/>
        <v>1</v>
      </c>
      <c r="AB42" s="1312">
        <f t="shared" si="4"/>
        <v>1</v>
      </c>
      <c r="AC42" s="1312">
        <f t="shared" si="5"/>
        <v>1</v>
      </c>
    </row>
    <row r="43" ht="15" spans="1:29">
      <c r="A43" s="1185"/>
      <c r="B43" s="1127" t="s">
        <v>1083</v>
      </c>
      <c r="C43" s="1612"/>
      <c r="D43" s="1138">
        <v>100</v>
      </c>
      <c r="E43" s="1612"/>
      <c r="F43" s="1609">
        <f>SUMIF(123:123,E43,124:124)-SUMIF(123:123,C43,124:124)+100</f>
        <v>100</v>
      </c>
      <c r="G43" s="1612"/>
      <c r="H43" s="1138">
        <f>SUMIF(123:123,G43,124:124)-SUMIF(123:123,C43,124:124)+100</f>
        <v>100</v>
      </c>
      <c r="I43" s="1612"/>
      <c r="J43" s="1138">
        <f>SUMIF(123:123,I43,124:124)-SUMIF(123:123,C43,124:124)+100</f>
        <v>100</v>
      </c>
      <c r="K43" s="1262"/>
      <c r="L43" s="1251"/>
      <c r="M43" s="1236"/>
      <c r="N43" s="1236"/>
      <c r="O43" s="1236"/>
      <c r="P43" s="1267"/>
      <c r="Q43" s="491" t="str">
        <f t="shared" si="11"/>
        <v>内部装修</v>
      </c>
      <c r="R43" s="1295" t="s">
        <v>1045</v>
      </c>
      <c r="S43" s="1296">
        <f t="shared" si="12"/>
        <v>100</v>
      </c>
      <c r="T43" s="1295" t="s">
        <v>1045</v>
      </c>
      <c r="U43" s="1296">
        <f t="shared" si="13"/>
        <v>100</v>
      </c>
      <c r="V43" s="1295" t="s">
        <v>1045</v>
      </c>
      <c r="W43" s="1296">
        <f t="shared" si="14"/>
        <v>100</v>
      </c>
      <c r="X43" s="1282"/>
      <c r="Y43" s="1267"/>
      <c r="Z43" s="1281" t="str">
        <f t="shared" si="15"/>
        <v>内部装修</v>
      </c>
      <c r="AA43" s="1312">
        <f t="shared" si="3"/>
        <v>1</v>
      </c>
      <c r="AB43" s="1312">
        <f t="shared" si="4"/>
        <v>1</v>
      </c>
      <c r="AC43" s="1312">
        <f t="shared" si="5"/>
        <v>1</v>
      </c>
    </row>
    <row r="44" ht="15" spans="1:29">
      <c r="A44" s="1185"/>
      <c r="B44" s="1127" t="s">
        <v>215</v>
      </c>
      <c r="C44" s="1612"/>
      <c r="D44" s="1138">
        <v>100</v>
      </c>
      <c r="E44" s="1186"/>
      <c r="F44" s="1609">
        <f>SUMIF(125:125,E44,126:126)-SUMIF(125:125,C44,126:126)+100</f>
        <v>100</v>
      </c>
      <c r="G44" s="1186"/>
      <c r="H44" s="1138">
        <f>SUMIF(125:125,G44,126:126)-SUMIF(125:125,C44,126:126)+100</f>
        <v>100</v>
      </c>
      <c r="I44" s="1186"/>
      <c r="J44" s="1138">
        <f>SUMIF(125:125,I44,126:126)-SUMIF(125:125,C44,126:126)+100</f>
        <v>100</v>
      </c>
      <c r="K44" s="1262"/>
      <c r="L44" s="1251"/>
      <c r="M44" s="1236"/>
      <c r="N44" s="1236"/>
      <c r="O44" s="1236"/>
      <c r="P44" s="1267"/>
      <c r="Q44" s="491" t="str">
        <f t="shared" si="11"/>
        <v>内部装修维护情况</v>
      </c>
      <c r="R44" s="1295" t="s">
        <v>1045</v>
      </c>
      <c r="S44" s="1296">
        <f t="shared" si="12"/>
        <v>100</v>
      </c>
      <c r="T44" s="1295" t="s">
        <v>1045</v>
      </c>
      <c r="U44" s="1296">
        <f t="shared" si="13"/>
        <v>100</v>
      </c>
      <c r="V44" s="1295" t="s">
        <v>1045</v>
      </c>
      <c r="W44" s="1296">
        <f t="shared" si="14"/>
        <v>100</v>
      </c>
      <c r="X44" s="1282"/>
      <c r="Y44" s="1267"/>
      <c r="Z44" s="1281" t="str">
        <f t="shared" si="15"/>
        <v>内部装修维护情况</v>
      </c>
      <c r="AA44" s="1312">
        <f t="shared" si="3"/>
        <v>1</v>
      </c>
      <c r="AB44" s="1312">
        <f t="shared" si="4"/>
        <v>1</v>
      </c>
      <c r="AC44" s="1312">
        <f t="shared" si="5"/>
        <v>1</v>
      </c>
    </row>
    <row r="45" s="1080" customFormat="1" ht="15" spans="1:29">
      <c r="A45" s="1187"/>
      <c r="B45" s="1614">
        <v>111</v>
      </c>
      <c r="C45" s="1610"/>
      <c r="D45" s="1129">
        <v>100</v>
      </c>
      <c r="E45" s="1128"/>
      <c r="F45" s="1611">
        <f>SUMIF(127:127,E45,128:128)-SUMIF(127:127,C45,128:128)+100</f>
        <v>100</v>
      </c>
      <c r="G45" s="1128"/>
      <c r="H45" s="1129">
        <f>SUMIF(127:127,G45,128:128)-SUMIF(127:127,C45,128:128)+100</f>
        <v>100</v>
      </c>
      <c r="I45" s="1128"/>
      <c r="J45" s="1129">
        <f>SUMIF(127:127,I45,128:128)-SUMIF(127:127,C45,128:128)+100</f>
        <v>100</v>
      </c>
      <c r="K45" s="1260"/>
      <c r="L45" s="1235"/>
      <c r="M45" s="1241"/>
      <c r="N45" s="1241"/>
      <c r="O45" s="1241"/>
      <c r="P45" s="1267"/>
      <c r="Q45" s="1294">
        <f t="shared" si="11"/>
        <v>111</v>
      </c>
      <c r="R45" s="1290" t="s">
        <v>1045</v>
      </c>
      <c r="S45" s="1291">
        <f t="shared" si="12"/>
        <v>100</v>
      </c>
      <c r="T45" s="1290" t="s">
        <v>1045</v>
      </c>
      <c r="U45" s="1291">
        <f t="shared" si="13"/>
        <v>100</v>
      </c>
      <c r="V45" s="1290" t="s">
        <v>1045</v>
      </c>
      <c r="W45" s="1291">
        <f t="shared" si="14"/>
        <v>100</v>
      </c>
      <c r="X45" s="1292"/>
      <c r="Y45" s="1267"/>
      <c r="Z45" s="1311">
        <f t="shared" si="15"/>
        <v>111</v>
      </c>
      <c r="AA45" s="1310">
        <f t="shared" si="3"/>
        <v>1</v>
      </c>
      <c r="AB45" s="1310">
        <f t="shared" si="4"/>
        <v>1</v>
      </c>
      <c r="AC45" s="1310">
        <f t="shared" si="5"/>
        <v>1</v>
      </c>
    </row>
    <row r="46" ht="15" spans="1:29">
      <c r="A46" s="1185"/>
      <c r="B46" s="1614">
        <v>111</v>
      </c>
      <c r="C46" s="1137"/>
      <c r="D46" s="1138">
        <v>100</v>
      </c>
      <c r="E46" s="1128"/>
      <c r="F46" s="1609">
        <f>SUMIF(129:129,E46,130:130)-SUMIF(129:129,C46,130:130)+100</f>
        <v>100</v>
      </c>
      <c r="G46" s="1128"/>
      <c r="H46" s="1138">
        <f>SUMIF(129:129,G46,130:130)-SUMIF(129:129,C46,130:130)+100</f>
        <v>100</v>
      </c>
      <c r="I46" s="1128"/>
      <c r="J46" s="1138">
        <f>SUMIF(129:129,I46,130:130)-SUMIF(129:129,C46,130:130)+100</f>
        <v>100</v>
      </c>
      <c r="K46" s="1260"/>
      <c r="L46" s="1251"/>
      <c r="M46" s="1236"/>
      <c r="N46" s="1236"/>
      <c r="O46" s="1236"/>
      <c r="P46" s="1267"/>
      <c r="Q46" s="491">
        <f t="shared" si="11"/>
        <v>111</v>
      </c>
      <c r="R46" s="1295" t="s">
        <v>1045</v>
      </c>
      <c r="S46" s="1296">
        <f t="shared" si="12"/>
        <v>100</v>
      </c>
      <c r="T46" s="1295" t="s">
        <v>1045</v>
      </c>
      <c r="U46" s="1296">
        <f t="shared" si="13"/>
        <v>100</v>
      </c>
      <c r="V46" s="1295" t="s">
        <v>1045</v>
      </c>
      <c r="W46" s="1296">
        <f t="shared" si="14"/>
        <v>100</v>
      </c>
      <c r="X46" s="1282"/>
      <c r="Y46" s="1267"/>
      <c r="Z46" s="1281">
        <f t="shared" si="15"/>
        <v>111</v>
      </c>
      <c r="AA46" s="1312">
        <f t="shared" si="3"/>
        <v>1</v>
      </c>
      <c r="AB46" s="1312">
        <f t="shared" si="4"/>
        <v>1</v>
      </c>
      <c r="AC46" s="1312">
        <f t="shared" si="5"/>
        <v>1</v>
      </c>
    </row>
    <row r="47" ht="15.75" spans="1:29">
      <c r="A47" s="1615"/>
      <c r="B47" s="1142">
        <v>111</v>
      </c>
      <c r="C47" s="1143"/>
      <c r="D47" s="1144">
        <v>100</v>
      </c>
      <c r="E47" s="1128"/>
      <c r="F47" s="1616">
        <f>SUMIF(131:131,E47,132:132)-SUMIF(131:131,C47,132:132)+100</f>
        <v>100</v>
      </c>
      <c r="G47" s="1128"/>
      <c r="H47" s="1144">
        <f>SUMIF(131:131,G47,132:132)-SUMIF(131:131,C47,132:132)+100</f>
        <v>100</v>
      </c>
      <c r="I47" s="1128"/>
      <c r="J47" s="1144">
        <f>SUMIF(131:131,I47,132:132)-SUMIF(131:131,C47,132:132)+100</f>
        <v>100</v>
      </c>
      <c r="K47" s="1260"/>
      <c r="L47" s="1251"/>
      <c r="M47" s="1236"/>
      <c r="N47" s="1236"/>
      <c r="O47" s="1236"/>
      <c r="P47" s="1314"/>
      <c r="Q47" s="491">
        <f t="shared" si="11"/>
        <v>111</v>
      </c>
      <c r="R47" s="1295" t="s">
        <v>1045</v>
      </c>
      <c r="S47" s="1296">
        <f t="shared" si="12"/>
        <v>100</v>
      </c>
      <c r="T47" s="1295" t="s">
        <v>1045</v>
      </c>
      <c r="U47" s="1296">
        <f t="shared" si="13"/>
        <v>100</v>
      </c>
      <c r="V47" s="1295" t="s">
        <v>1045</v>
      </c>
      <c r="W47" s="1296">
        <f t="shared" si="14"/>
        <v>100</v>
      </c>
      <c r="X47" s="1282"/>
      <c r="Y47" s="1314"/>
      <c r="Z47" s="1281">
        <f t="shared" si="15"/>
        <v>111</v>
      </c>
      <c r="AA47" s="1312">
        <f t="shared" si="3"/>
        <v>1</v>
      </c>
      <c r="AB47" s="1312">
        <f t="shared" si="4"/>
        <v>1</v>
      </c>
      <c r="AC47" s="1312">
        <f t="shared" si="5"/>
        <v>1</v>
      </c>
    </row>
    <row r="48" ht="15" spans="1:29">
      <c r="A48" s="1193" t="s">
        <v>1087</v>
      </c>
      <c r="B48" s="1617"/>
      <c r="C48" s="1618" t="s">
        <v>121</v>
      </c>
      <c r="D48" s="1619"/>
      <c r="E48" s="1620"/>
      <c r="F48" s="1621"/>
      <c r="G48" s="1622"/>
      <c r="H48" s="1623"/>
      <c r="I48" s="1620"/>
      <c r="J48" s="1623"/>
      <c r="K48" s="1270"/>
      <c r="L48" s="1271"/>
      <c r="M48" s="1236"/>
      <c r="N48" s="1236"/>
      <c r="O48" s="1236"/>
      <c r="P48" s="491" t="str">
        <f>A48</f>
        <v>成交单价（元/平方米）</v>
      </c>
      <c r="Q48" s="491"/>
      <c r="R48" s="1312">
        <f>E48</f>
        <v>0</v>
      </c>
      <c r="S48" s="1312"/>
      <c r="T48" s="1312">
        <f>G48</f>
        <v>0</v>
      </c>
      <c r="U48" s="1312"/>
      <c r="V48" s="1312">
        <f>I48</f>
        <v>0</v>
      </c>
      <c r="W48" s="1312"/>
      <c r="X48" s="1300"/>
      <c r="Y48" s="1314"/>
      <c r="Z48" s="1300"/>
      <c r="AA48" s="1300"/>
      <c r="AB48" s="1300"/>
      <c r="AC48" s="1300"/>
    </row>
    <row r="49" ht="15.75" spans="1:29">
      <c r="A49" s="1201" t="s">
        <v>1088</v>
      </c>
      <c r="B49" s="1624"/>
      <c r="C49" s="1625" t="e">
        <f>R50</f>
        <v>#DIV/0!</v>
      </c>
      <c r="D49" s="831" t="s">
        <v>1089</v>
      </c>
      <c r="E49" s="1626" t="e">
        <f>R49</f>
        <v>#DIV/0!</v>
      </c>
      <c r="F49" s="832"/>
      <c r="G49" s="1625" t="e">
        <f>T49</f>
        <v>#DIV/0!</v>
      </c>
      <c r="H49" s="832"/>
      <c r="I49" s="1626" t="e">
        <f>V49</f>
        <v>#DIV/0!</v>
      </c>
      <c r="J49" s="832"/>
      <c r="K49" s="918">
        <f>F49+H49+J49</f>
        <v>0</v>
      </c>
      <c r="L49" s="1271"/>
      <c r="M49" s="1236"/>
      <c r="N49" s="1236"/>
      <c r="O49" s="1236"/>
      <c r="P49" s="491" t="str">
        <f>A49</f>
        <v>比较价值（元/平方米）</v>
      </c>
      <c r="Q49" s="491"/>
      <c r="R49" s="1312" t="e">
        <f>IF(E1="售价",ROUND(PRODUCT(R48,AA7:AA47),0),ROUND(PRODUCT(R48,AA7:AA47),1))</f>
        <v>#DIV/0!</v>
      </c>
      <c r="S49" s="1312"/>
      <c r="T49" s="1312" t="e">
        <f>IF(E1="售价",ROUND(PRODUCT(T48,AB7:AB47),0),ROUND(PRODUCT(T48,AB7:AB47),1))</f>
        <v>#DIV/0!</v>
      </c>
      <c r="U49" s="1312"/>
      <c r="V49" s="1312" t="e">
        <f>IF(E1="售价",ROUND(PRODUCT(V48,AC7:AC47),0),ROUND(PRODUCT(V48,AC7:AC47),1))</f>
        <v>#DIV/0!</v>
      </c>
      <c r="W49" s="1312"/>
      <c r="X49" s="1300"/>
      <c r="Y49" s="1300"/>
      <c r="Z49" s="1300"/>
      <c r="AA49" s="1300"/>
      <c r="AB49" s="1300"/>
      <c r="AC49" s="1300"/>
    </row>
    <row r="50" ht="15.75" spans="1:29">
      <c r="A50" s="1205" t="s">
        <v>1090</v>
      </c>
      <c r="B50" s="1206"/>
      <c r="C50" s="1627" t="e">
        <f>R50</f>
        <v>#DIV/0!</v>
      </c>
      <c r="D50" s="1627"/>
      <c r="E50" s="1627"/>
      <c r="F50" s="1627"/>
      <c r="G50" s="1627"/>
      <c r="H50" s="1627"/>
      <c r="I50" s="1627"/>
      <c r="J50" s="1627"/>
      <c r="K50" s="1272"/>
      <c r="L50" s="1271"/>
      <c r="M50" s="1236"/>
      <c r="N50" s="1236"/>
      <c r="O50" s="1236"/>
      <c r="P50" s="1273" t="str">
        <f>A50</f>
        <v>估价对象XX用房的比较价值（楼面单价，元/平方米）</v>
      </c>
      <c r="Q50" s="1302"/>
      <c r="R50" s="1647" t="e">
        <f>IF(E1="售价",ROUND(IF(D49="简单平均",AVERAGE(R49:V49),R49*F49+T49*H49+V49*J49),0),ROUND(IF(D49="简单平均",AVERAGE(R49:V49),R49*F49+T49*H49+V49*J49),1))</f>
        <v>#DIV/0!</v>
      </c>
      <c r="S50" s="1647"/>
      <c r="T50" s="1647"/>
      <c r="U50" s="1647"/>
      <c r="V50" s="1647"/>
      <c r="W50" s="1647"/>
      <c r="X50" s="1300"/>
      <c r="Y50" s="1300"/>
      <c r="Z50" s="1300"/>
      <c r="AA50" s="1300"/>
      <c r="AB50" s="1300"/>
      <c r="AC50" s="1300"/>
    </row>
    <row r="51" spans="7:7">
      <c r="G51" s="1208"/>
    </row>
    <row r="53" ht="13.5" customHeight="1" spans="3:10">
      <c r="C53" s="838" t="s">
        <v>1091</v>
      </c>
      <c r="D53" s="530"/>
      <c r="E53" s="1209" t="e">
        <f>IF(E48&lt;E49,E49/E48-1,E48/E49-1)</f>
        <v>#DIV/0!</v>
      </c>
      <c r="F53" s="1210" t="e">
        <f>IF(OR(E53&gt;=0.3,E53&lt;=-0.3),"超过30%","")</f>
        <v>#DIV/0!</v>
      </c>
      <c r="G53" s="1209" t="e">
        <f>IF(G48&lt;G49,G49/G48-1,G48/G49-1)</f>
        <v>#DIV/0!</v>
      </c>
      <c r="H53" s="1210" t="e">
        <f>IF(OR(G53&gt;=0.3,G53&lt;=-0.3),"超过30%","")</f>
        <v>#DIV/0!</v>
      </c>
      <c r="I53" s="1209" t="e">
        <f>IF(I48&lt;I49,I49/I48-1,I48/I49-1)</f>
        <v>#DIV/0!</v>
      </c>
      <c r="J53" s="1210" t="e">
        <f>IF(OR(I53&gt;=0.3,I53&lt;=-0.3),"超过30%","")</f>
        <v>#DIV/0!</v>
      </c>
    </row>
    <row r="54" ht="13.5" customHeight="1" spans="3:10">
      <c r="C54" s="838" t="s">
        <v>1092</v>
      </c>
      <c r="D54" s="529"/>
      <c r="E54" s="1209" t="e">
        <f>IF(E49&lt;G49,G49/E49-1,E49/G49-1)</f>
        <v>#DIV/0!</v>
      </c>
      <c r="F54" s="1210" t="e">
        <f>IF(OR(E54&gt;=0.2,E54&lt;=-0.2),"超过20%","")</f>
        <v>#DIV/0!</v>
      </c>
      <c r="G54" s="1209" t="e">
        <f>IF(G49&lt;I49,I49/G49-1,G49/I49-1)</f>
        <v>#DIV/0!</v>
      </c>
      <c r="H54" s="1210" t="e">
        <f>IF(OR(G54&gt;=0.2,G54&lt;=-0.2),"超过20%","")</f>
        <v>#DIV/0!</v>
      </c>
      <c r="I54" s="1209" t="e">
        <f>IF(I49&lt;E49,E49/I49-1,I49/E49-1)</f>
        <v>#DIV/0!</v>
      </c>
      <c r="J54" s="1210" t="e">
        <f>IF(OR(I54&gt;=0.2,I54&lt;=-0.2),"超过20%","")</f>
        <v>#DIV/0!</v>
      </c>
    </row>
    <row r="55" s="1083" customFormat="1" ht="13.5" customHeight="1" spans="3:12">
      <c r="C55" s="838" t="s">
        <v>1093</v>
      </c>
      <c r="D55" s="529"/>
      <c r="E55" s="1209" t="e">
        <f>IF(E48&lt;G48,G48/E48-1,E48/G48-1)</f>
        <v>#DIV/0!</v>
      </c>
      <c r="F55" s="1210" t="e">
        <f>IF(OR(E55&gt;=0.3,E55&lt;=-0.3),"超过30%","")</f>
        <v>#DIV/0!</v>
      </c>
      <c r="G55" s="1209" t="e">
        <f>IF(G48&lt;I48,I48/G48-1,G48/I48-1)</f>
        <v>#DIV/0!</v>
      </c>
      <c r="H55" s="1210" t="e">
        <f>IF(OR(G55&gt;=0.3,G55&lt;=-0.3),"超过30%","")</f>
        <v>#DIV/0!</v>
      </c>
      <c r="I55" s="1209" t="e">
        <f>IF(I48&lt;E48,E48/I48-1,I48/E48-1)</f>
        <v>#DIV/0!</v>
      </c>
      <c r="J55" s="1210" t="e">
        <f>IF(OR(I55&gt;=0.3,I55&lt;=-0.3),"超过30%","")</f>
        <v>#DIV/0!</v>
      </c>
      <c r="K55" s="1274"/>
      <c r="L55" s="1275"/>
    </row>
    <row r="56" s="1083" customFormat="1" spans="2:12">
      <c r="B56" s="1211"/>
      <c r="C56" s="1212"/>
      <c r="K56" s="1274"/>
      <c r="L56" s="1275"/>
    </row>
    <row r="57" spans="2:3">
      <c r="B57" s="1211"/>
      <c r="C57" s="1212"/>
    </row>
    <row r="58" ht="21" spans="1:17">
      <c r="A58" s="1323" t="s">
        <v>1094</v>
      </c>
      <c r="B58" s="1300"/>
      <c r="C58" s="1324"/>
      <c r="D58" s="1324"/>
      <c r="E58" s="1324"/>
      <c r="F58" s="1324"/>
      <c r="G58" s="1324"/>
      <c r="H58" s="1324"/>
      <c r="I58" s="1324"/>
      <c r="J58" s="1324"/>
      <c r="K58" s="1640"/>
      <c r="L58" s="1641"/>
      <c r="M58" s="1324"/>
      <c r="N58" s="1642"/>
      <c r="O58" s="1642"/>
      <c r="P58" s="1378"/>
      <c r="Q58" s="1382"/>
    </row>
    <row r="59" s="1575" customFormat="1" ht="15" spans="1:16">
      <c r="A59" s="1628" t="s">
        <v>1043</v>
      </c>
      <c r="B59" s="1629"/>
      <c r="C59" s="1630" t="str">
        <f>YEAR(C7)&amp;"-"&amp;MONTH(C7)</f>
        <v>2022-1</v>
      </c>
      <c r="D59" s="1631">
        <f>EDATE(C59,-1)</f>
        <v>44531</v>
      </c>
      <c r="E59" s="1631">
        <f t="shared" ref="E59:O59" si="16">EDATE(D59,-1)</f>
        <v>44501</v>
      </c>
      <c r="F59" s="1631">
        <f t="shared" si="16"/>
        <v>44470</v>
      </c>
      <c r="G59" s="1631">
        <f t="shared" si="16"/>
        <v>44440</v>
      </c>
      <c r="H59" s="1631">
        <f t="shared" si="16"/>
        <v>44409</v>
      </c>
      <c r="I59" s="1631">
        <f t="shared" si="16"/>
        <v>44378</v>
      </c>
      <c r="J59" s="1631">
        <f t="shared" si="16"/>
        <v>44348</v>
      </c>
      <c r="K59" s="1631">
        <f t="shared" si="16"/>
        <v>44317</v>
      </c>
      <c r="L59" s="1631">
        <f t="shared" si="16"/>
        <v>44287</v>
      </c>
      <c r="M59" s="1631">
        <f t="shared" si="16"/>
        <v>44256</v>
      </c>
      <c r="N59" s="1631">
        <f t="shared" si="16"/>
        <v>44228</v>
      </c>
      <c r="O59" s="1631">
        <f t="shared" si="16"/>
        <v>44197</v>
      </c>
      <c r="P59" s="1643"/>
    </row>
    <row r="60" s="1080" customFormat="1" ht="15" spans="1:16">
      <c r="A60" s="1632"/>
      <c r="B60" s="1336"/>
      <c r="C60" s="1338">
        <v>100</v>
      </c>
      <c r="D60" s="1339"/>
      <c r="E60" s="1339"/>
      <c r="F60" s="1339"/>
      <c r="G60" s="1339"/>
      <c r="H60" s="1339"/>
      <c r="I60" s="1339"/>
      <c r="J60" s="1339"/>
      <c r="K60" s="1339"/>
      <c r="L60" s="1339"/>
      <c r="M60" s="1644"/>
      <c r="N60" s="1339"/>
      <c r="O60" s="1388"/>
      <c r="P60" s="1382"/>
    </row>
    <row r="61" s="1080" customFormat="1" ht="15.75" spans="1:17">
      <c r="A61" s="1331" t="s">
        <v>1095</v>
      </c>
      <c r="B61" s="1332"/>
      <c r="C61" s="1333"/>
      <c r="D61" s="1334"/>
      <c r="E61" s="1334"/>
      <c r="F61" s="1334"/>
      <c r="G61" s="1334"/>
      <c r="H61" s="1334"/>
      <c r="I61" s="1334"/>
      <c r="J61" s="1334"/>
      <c r="K61" s="1334"/>
      <c r="L61" s="1334"/>
      <c r="M61" s="1383"/>
      <c r="N61" s="1334"/>
      <c r="O61" s="1645"/>
      <c r="P61" s="1382"/>
      <c r="Q61" s="1382"/>
    </row>
    <row r="62" s="1080" customFormat="1" ht="15" spans="1:17">
      <c r="A62" s="1335" t="s">
        <v>1046</v>
      </c>
      <c r="B62" s="1336"/>
      <c r="C62" s="1337" t="s">
        <v>1047</v>
      </c>
      <c r="D62" s="1026"/>
      <c r="E62" s="1026"/>
      <c r="F62" s="1026"/>
      <c r="G62" s="1026"/>
      <c r="H62" s="1026"/>
      <c r="I62" s="1026"/>
      <c r="J62" s="1026"/>
      <c r="K62" s="1026"/>
      <c r="L62" s="1026"/>
      <c r="M62" s="1385"/>
      <c r="N62" s="1386"/>
      <c r="O62" s="1386"/>
      <c r="P62" s="1387"/>
      <c r="Q62" s="1382"/>
    </row>
    <row r="63" s="1080" customFormat="1" ht="15.75" spans="1:17">
      <c r="A63" s="1335"/>
      <c r="B63" s="1336"/>
      <c r="C63" s="1633">
        <v>100</v>
      </c>
      <c r="D63" s="1339"/>
      <c r="E63" s="1339"/>
      <c r="F63" s="1339"/>
      <c r="G63" s="1339"/>
      <c r="H63" s="1339"/>
      <c r="I63" s="1339"/>
      <c r="J63" s="1339"/>
      <c r="K63" s="1339"/>
      <c r="L63" s="1339"/>
      <c r="M63" s="1388"/>
      <c r="N63" s="1386"/>
      <c r="O63" s="1386"/>
      <c r="P63" s="1382"/>
      <c r="Q63" s="1382"/>
    </row>
    <row r="64" spans="1:17">
      <c r="A64" s="1340" t="s">
        <v>1096</v>
      </c>
      <c r="B64" s="1341" t="s">
        <v>1051</v>
      </c>
      <c r="C64" s="1361">
        <f>C9</f>
        <v>0</v>
      </c>
      <c r="D64" s="1268"/>
      <c r="E64" s="1268"/>
      <c r="F64" s="1268"/>
      <c r="G64" s="1268"/>
      <c r="H64" s="1268"/>
      <c r="I64" s="1268"/>
      <c r="J64" s="1268"/>
      <c r="K64" s="1032"/>
      <c r="L64" s="1032"/>
      <c r="M64" s="1389"/>
      <c r="N64" s="1390"/>
      <c r="O64" s="1390"/>
      <c r="P64" s="1391"/>
      <c r="Q64" s="1382"/>
    </row>
    <row r="65" ht="15.75" spans="1:17">
      <c r="A65" s="1342"/>
      <c r="B65" s="1343"/>
      <c r="C65" s="1344">
        <v>100</v>
      </c>
      <c r="D65" s="1344"/>
      <c r="E65" s="1344"/>
      <c r="F65" s="1344"/>
      <c r="G65" s="1344"/>
      <c r="H65" s="1344"/>
      <c r="I65" s="1344"/>
      <c r="J65" s="1344"/>
      <c r="K65" s="1344"/>
      <c r="L65" s="1344"/>
      <c r="M65" s="1392"/>
      <c r="N65" s="1393"/>
      <c r="O65" s="1393"/>
      <c r="P65" s="1391"/>
      <c r="Q65" s="1382"/>
    </row>
    <row r="66" ht="27.75" spans="1:17">
      <c r="A66" s="1342"/>
      <c r="B66" s="1345" t="s">
        <v>1054</v>
      </c>
      <c r="C66" s="1346" t="s">
        <v>1097</v>
      </c>
      <c r="D66" s="1346" t="s">
        <v>1098</v>
      </c>
      <c r="E66" s="1346" t="s">
        <v>1099</v>
      </c>
      <c r="F66" s="1346" t="s">
        <v>1100</v>
      </c>
      <c r="G66" s="1346" t="s">
        <v>1101</v>
      </c>
      <c r="H66" s="1346" t="s">
        <v>1102</v>
      </c>
      <c r="I66" s="1346" t="s">
        <v>1103</v>
      </c>
      <c r="J66" s="1346"/>
      <c r="K66" s="1039"/>
      <c r="L66" s="1039"/>
      <c r="M66" s="1394"/>
      <c r="N66" s="1390"/>
      <c r="O66" s="1390"/>
      <c r="P66" s="1391"/>
      <c r="Q66" s="1382"/>
    </row>
    <row r="67" ht="15.75" spans="1:17">
      <c r="A67" s="1342"/>
      <c r="B67" s="1347"/>
      <c r="C67" s="1348" t="s">
        <v>1482</v>
      </c>
      <c r="D67" s="1348" t="s">
        <v>1482</v>
      </c>
      <c r="E67" s="1348">
        <v>100</v>
      </c>
      <c r="F67" s="1348">
        <f>E67-$K10</f>
        <v>100</v>
      </c>
      <c r="G67" s="1348">
        <f>F67-$K10</f>
        <v>100</v>
      </c>
      <c r="H67" s="1348">
        <f>G67-$K10</f>
        <v>100</v>
      </c>
      <c r="I67" s="1348">
        <f>H67-$K10</f>
        <v>100</v>
      </c>
      <c r="J67" s="1348"/>
      <c r="K67" s="1348"/>
      <c r="L67" s="1348"/>
      <c r="M67" s="1395"/>
      <c r="N67" s="1393"/>
      <c r="O67" s="1393"/>
      <c r="P67" s="1391"/>
      <c r="Q67" s="1382"/>
    </row>
    <row r="68" ht="15.75" spans="1:17">
      <c r="A68" s="1342"/>
      <c r="B68" s="1349" t="s">
        <v>1056</v>
      </c>
      <c r="C68" s="1350" t="str">
        <f>C69&amp;"（含）"&amp;"-"&amp;D69</f>
        <v>（含）-</v>
      </c>
      <c r="D68" s="1350" t="str">
        <f t="shared" ref="D68:L68" si="17">D69&amp;"（含）"&amp;"-"&amp;E69</f>
        <v>（含）-</v>
      </c>
      <c r="E68" s="1350" t="str">
        <f t="shared" si="17"/>
        <v>（含）-</v>
      </c>
      <c r="F68" s="1350" t="str">
        <f t="shared" si="17"/>
        <v>（含）-</v>
      </c>
      <c r="G68" s="1350" t="str">
        <f t="shared" si="17"/>
        <v>（含）-</v>
      </c>
      <c r="H68" s="1350" t="str">
        <f t="shared" si="17"/>
        <v>（含）-</v>
      </c>
      <c r="I68" s="1350" t="str">
        <f t="shared" si="17"/>
        <v>（含）-</v>
      </c>
      <c r="J68" s="1350" t="str">
        <f t="shared" si="17"/>
        <v>（含）-</v>
      </c>
      <c r="K68" s="1350" t="str">
        <f t="shared" si="17"/>
        <v>（含）-</v>
      </c>
      <c r="L68" s="1350" t="str">
        <f t="shared" si="17"/>
        <v>（含）-</v>
      </c>
      <c r="M68" s="1151" t="str">
        <f>M69&amp;"（含）"&amp;"-"&amp;P69</f>
        <v>（含）-</v>
      </c>
      <c r="N68" s="1393"/>
      <c r="O68" s="1393"/>
      <c r="P68" s="1391"/>
      <c r="Q68" s="1382"/>
    </row>
    <row r="69" ht="15" spans="1:17">
      <c r="A69" s="1342"/>
      <c r="B69" s="1351"/>
      <c r="C69" s="1139"/>
      <c r="D69" s="1139"/>
      <c r="E69" s="1139"/>
      <c r="F69" s="1139"/>
      <c r="G69" s="1139"/>
      <c r="H69" s="1139"/>
      <c r="I69" s="1139"/>
      <c r="J69" s="1139"/>
      <c r="K69" s="1043"/>
      <c r="L69" s="1043"/>
      <c r="M69" s="1396"/>
      <c r="N69" s="1390"/>
      <c r="O69" s="1390"/>
      <c r="P69" s="1391"/>
      <c r="Q69" s="1382"/>
    </row>
    <row r="70" ht="15.75" spans="1:17">
      <c r="A70" s="1342"/>
      <c r="B70" s="1343"/>
      <c r="C70" s="1348">
        <v>100</v>
      </c>
      <c r="D70" s="1348">
        <f t="shared" ref="D70:M70" si="18">C70-$K11</f>
        <v>100</v>
      </c>
      <c r="E70" s="1348">
        <f t="shared" si="18"/>
        <v>100</v>
      </c>
      <c r="F70" s="1348">
        <f t="shared" si="18"/>
        <v>100</v>
      </c>
      <c r="G70" s="1348">
        <f t="shared" si="18"/>
        <v>100</v>
      </c>
      <c r="H70" s="1348">
        <f t="shared" si="18"/>
        <v>100</v>
      </c>
      <c r="I70" s="1348">
        <f t="shared" si="18"/>
        <v>100</v>
      </c>
      <c r="J70" s="1348">
        <f t="shared" si="18"/>
        <v>100</v>
      </c>
      <c r="K70" s="1348">
        <f t="shared" si="18"/>
        <v>100</v>
      </c>
      <c r="L70" s="1348">
        <f t="shared" si="18"/>
        <v>100</v>
      </c>
      <c r="M70" s="1395">
        <f t="shared" si="18"/>
        <v>100</v>
      </c>
      <c r="N70" s="1393"/>
      <c r="O70" s="1393"/>
      <c r="P70" s="1391"/>
      <c r="Q70" s="1382"/>
    </row>
    <row r="71" s="1082" customFormat="1" ht="15.75" spans="1:17">
      <c r="A71" s="1352"/>
      <c r="B71" s="1345">
        <f>B12</f>
        <v>111</v>
      </c>
      <c r="C71" s="1353"/>
      <c r="D71" s="1353"/>
      <c r="E71" s="1353"/>
      <c r="F71" s="1353"/>
      <c r="G71" s="1353"/>
      <c r="H71" s="1045"/>
      <c r="I71" s="1045"/>
      <c r="J71" s="1045"/>
      <c r="K71" s="1045"/>
      <c r="L71" s="1045"/>
      <c r="M71" s="1397"/>
      <c r="N71" s="1398"/>
      <c r="O71" s="1398"/>
      <c r="P71" s="1399"/>
      <c r="Q71" s="1414"/>
    </row>
    <row r="72" s="1082" customFormat="1" ht="15.75" spans="1:17">
      <c r="A72" s="1352"/>
      <c r="B72" s="1347"/>
      <c r="C72" s="1354"/>
      <c r="D72" s="1344"/>
      <c r="E72" s="1344"/>
      <c r="F72" s="1344"/>
      <c r="G72" s="1344"/>
      <c r="H72" s="1344"/>
      <c r="I72" s="1344"/>
      <c r="J72" s="1344"/>
      <c r="K72" s="1344"/>
      <c r="L72" s="1344"/>
      <c r="M72" s="1392"/>
      <c r="N72" s="1393"/>
      <c r="O72" s="1393"/>
      <c r="P72" s="1399"/>
      <c r="Q72" s="1414"/>
    </row>
    <row r="73" s="1082" customFormat="1" ht="15.75" spans="1:17">
      <c r="A73" s="1352"/>
      <c r="B73" s="1345">
        <f>B13</f>
        <v>111</v>
      </c>
      <c r="C73" s="1353"/>
      <c r="D73" s="1353"/>
      <c r="E73" s="1353"/>
      <c r="F73" s="1353"/>
      <c r="G73" s="1353"/>
      <c r="H73" s="1045"/>
      <c r="I73" s="1045"/>
      <c r="J73" s="1045"/>
      <c r="K73" s="1045"/>
      <c r="L73" s="1045"/>
      <c r="M73" s="1397"/>
      <c r="N73" s="1398"/>
      <c r="O73" s="1398"/>
      <c r="P73" s="1265"/>
      <c r="Q73" s="1415"/>
    </row>
    <row r="74" s="1082" customFormat="1" ht="15.75" spans="1:17">
      <c r="A74" s="1352"/>
      <c r="B74" s="1347"/>
      <c r="C74" s="1354"/>
      <c r="D74" s="1354"/>
      <c r="E74" s="1354"/>
      <c r="F74" s="1354"/>
      <c r="G74" s="1354"/>
      <c r="H74" s="1355"/>
      <c r="I74" s="1355"/>
      <c r="J74" s="1355"/>
      <c r="K74" s="1355"/>
      <c r="L74" s="1355"/>
      <c r="M74" s="1400"/>
      <c r="N74" s="1398"/>
      <c r="O74" s="1398"/>
      <c r="P74" s="1399"/>
      <c r="Q74" s="1414"/>
    </row>
    <row r="75" s="1082" customFormat="1" ht="15.75" spans="1:17">
      <c r="A75" s="1352"/>
      <c r="B75" s="1349">
        <f>B14</f>
        <v>111</v>
      </c>
      <c r="C75" s="1026"/>
      <c r="D75" s="1026"/>
      <c r="E75" s="1026"/>
      <c r="F75" s="1026"/>
      <c r="G75" s="1026"/>
      <c r="H75" s="1050"/>
      <c r="I75" s="1050"/>
      <c r="J75" s="1050"/>
      <c r="K75" s="1050"/>
      <c r="L75" s="1050"/>
      <c r="M75" s="1401"/>
      <c r="N75" s="1398"/>
      <c r="O75" s="1398"/>
      <c r="P75" s="1399"/>
      <c r="Q75" s="1414"/>
    </row>
    <row r="76" s="1082" customFormat="1" ht="15.75" spans="1:17">
      <c r="A76" s="1356"/>
      <c r="B76" s="1357"/>
      <c r="C76" s="1358"/>
      <c r="D76" s="1358"/>
      <c r="E76" s="1358"/>
      <c r="F76" s="1358"/>
      <c r="G76" s="1358"/>
      <c r="H76" s="1359"/>
      <c r="I76" s="1359"/>
      <c r="J76" s="1359"/>
      <c r="K76" s="1359"/>
      <c r="L76" s="1359"/>
      <c r="M76" s="1402"/>
      <c r="N76" s="1398"/>
      <c r="O76" s="1398"/>
      <c r="P76" s="1399"/>
      <c r="Q76" s="1414"/>
    </row>
    <row r="77" spans="1:17">
      <c r="A77" s="1340" t="s">
        <v>1057</v>
      </c>
      <c r="B77" s="1341" t="s">
        <v>207</v>
      </c>
      <c r="C77" s="1360" t="s">
        <v>226</v>
      </c>
      <c r="D77" s="1360" t="s">
        <v>238</v>
      </c>
      <c r="E77" s="1360" t="s">
        <v>249</v>
      </c>
      <c r="F77" s="1360" t="s">
        <v>259</v>
      </c>
      <c r="G77" s="1360" t="s">
        <v>266</v>
      </c>
      <c r="H77" s="1361"/>
      <c r="I77" s="1361"/>
      <c r="J77" s="1361"/>
      <c r="K77" s="1055"/>
      <c r="L77" s="1055"/>
      <c r="M77" s="1403"/>
      <c r="N77" s="1390"/>
      <c r="O77" s="1390"/>
      <c r="P77" s="1391"/>
      <c r="Q77" s="1382"/>
    </row>
    <row r="78" ht="15.75" spans="1:17">
      <c r="A78" s="1342"/>
      <c r="B78" s="1347"/>
      <c r="C78" s="1348">
        <v>100</v>
      </c>
      <c r="D78" s="1348">
        <f>C78-$K15</f>
        <v>100</v>
      </c>
      <c r="E78" s="1348">
        <f>D78-$K15</f>
        <v>100</v>
      </c>
      <c r="F78" s="1348">
        <f>E78-$K15</f>
        <v>100</v>
      </c>
      <c r="G78" s="1348">
        <f>F78-$K15</f>
        <v>100</v>
      </c>
      <c r="H78" s="1348"/>
      <c r="I78" s="1348"/>
      <c r="J78" s="1348"/>
      <c r="K78" s="1348"/>
      <c r="L78" s="1348"/>
      <c r="M78" s="1395"/>
      <c r="N78" s="1393"/>
      <c r="O78" s="1393"/>
      <c r="P78" s="1391"/>
      <c r="Q78" s="1382"/>
    </row>
    <row r="79" ht="15.75" spans="1:17">
      <c r="A79" s="1342"/>
      <c r="B79" s="1345" t="s">
        <v>209</v>
      </c>
      <c r="C79" s="1058" t="s">
        <v>226</v>
      </c>
      <c r="D79" s="1058" t="s">
        <v>238</v>
      </c>
      <c r="E79" s="1058" t="s">
        <v>249</v>
      </c>
      <c r="F79" s="1058" t="s">
        <v>259</v>
      </c>
      <c r="G79" s="1058" t="s">
        <v>266</v>
      </c>
      <c r="H79" s="1346"/>
      <c r="I79" s="1346"/>
      <c r="J79" s="1346"/>
      <c r="K79" s="1039"/>
      <c r="L79" s="1039"/>
      <c r="M79" s="1394"/>
      <c r="N79" s="1390"/>
      <c r="O79" s="1390"/>
      <c r="P79" s="1391"/>
      <c r="Q79" s="1382"/>
    </row>
    <row r="80" ht="15.75" spans="1:17">
      <c r="A80" s="1342"/>
      <c r="B80" s="1347"/>
      <c r="C80" s="1348">
        <v>100</v>
      </c>
      <c r="D80" s="1348">
        <f>C80-$K17</f>
        <v>100</v>
      </c>
      <c r="E80" s="1348">
        <f>D80-$K17</f>
        <v>100</v>
      </c>
      <c r="F80" s="1348">
        <f>E80-$K17</f>
        <v>100</v>
      </c>
      <c r="G80" s="1348">
        <f>F80-$K17</f>
        <v>100</v>
      </c>
      <c r="H80" s="1348"/>
      <c r="I80" s="1348"/>
      <c r="J80" s="1348"/>
      <c r="K80" s="1348"/>
      <c r="L80" s="1348"/>
      <c r="M80" s="1395"/>
      <c r="N80" s="1393"/>
      <c r="O80" s="1393"/>
      <c r="P80" s="1391"/>
      <c r="Q80" s="1382"/>
    </row>
    <row r="81" ht="15.75" spans="1:17">
      <c r="A81" s="1342"/>
      <c r="B81" s="1345" t="s">
        <v>211</v>
      </c>
      <c r="C81" s="1058" t="s">
        <v>226</v>
      </c>
      <c r="D81" s="1058" t="s">
        <v>238</v>
      </c>
      <c r="E81" s="1058" t="s">
        <v>249</v>
      </c>
      <c r="F81" s="1058" t="s">
        <v>259</v>
      </c>
      <c r="G81" s="1058" t="s">
        <v>266</v>
      </c>
      <c r="H81" s="1346"/>
      <c r="I81" s="1346"/>
      <c r="J81" s="1346"/>
      <c r="K81" s="1039"/>
      <c r="L81" s="1039"/>
      <c r="M81" s="1394"/>
      <c r="N81" s="1390"/>
      <c r="O81" s="1390"/>
      <c r="P81" s="1391"/>
      <c r="Q81" s="1382"/>
    </row>
    <row r="82" ht="15.75" spans="1:17">
      <c r="A82" s="1342"/>
      <c r="B82" s="1347"/>
      <c r="C82" s="1348">
        <v>100</v>
      </c>
      <c r="D82" s="1348">
        <f>C82-$K19</f>
        <v>100</v>
      </c>
      <c r="E82" s="1348">
        <f>D82-$K19</f>
        <v>100</v>
      </c>
      <c r="F82" s="1348">
        <f>E82-$K19</f>
        <v>100</v>
      </c>
      <c r="G82" s="1348">
        <f>F82-$K19</f>
        <v>100</v>
      </c>
      <c r="H82" s="1348"/>
      <c r="I82" s="1348"/>
      <c r="J82" s="1348"/>
      <c r="K82" s="1348"/>
      <c r="L82" s="1348"/>
      <c r="M82" s="1395"/>
      <c r="N82" s="1393"/>
      <c r="O82" s="1393"/>
      <c r="P82" s="1391"/>
      <c r="Q82" s="1382"/>
    </row>
    <row r="83" ht="15.75" spans="1:17">
      <c r="A83" s="1342"/>
      <c r="B83" s="1349" t="s">
        <v>212</v>
      </c>
      <c r="C83" s="1346" t="s">
        <v>1104</v>
      </c>
      <c r="D83" s="1346" t="s">
        <v>1105</v>
      </c>
      <c r="E83" s="1346" t="s">
        <v>1106</v>
      </c>
      <c r="F83" s="1346" t="s">
        <v>1107</v>
      </c>
      <c r="G83" s="1346" t="s">
        <v>1108</v>
      </c>
      <c r="H83" s="1346"/>
      <c r="I83" s="1346"/>
      <c r="J83" s="1346"/>
      <c r="K83" s="1346"/>
      <c r="L83" s="1346"/>
      <c r="M83" s="1405"/>
      <c r="N83" s="1393"/>
      <c r="O83" s="1393"/>
      <c r="P83" s="1391"/>
      <c r="Q83" s="1382"/>
    </row>
    <row r="84" ht="15.75" spans="1:17">
      <c r="A84" s="1342"/>
      <c r="B84" s="1349"/>
      <c r="C84" s="1348">
        <v>100</v>
      </c>
      <c r="D84" s="1348">
        <f>C84-$K21</f>
        <v>100</v>
      </c>
      <c r="E84" s="1348">
        <f>D84-$K21</f>
        <v>100</v>
      </c>
      <c r="F84" s="1348">
        <f>E84-$K21</f>
        <v>100</v>
      </c>
      <c r="G84" s="1348">
        <f>F84-$K21</f>
        <v>100</v>
      </c>
      <c r="H84" s="1364"/>
      <c r="I84" s="1364"/>
      <c r="J84" s="1364"/>
      <c r="K84" s="1364"/>
      <c r="L84" s="1364"/>
      <c r="M84" s="1153"/>
      <c r="N84" s="1393"/>
      <c r="O84" s="1393"/>
      <c r="P84" s="1391"/>
      <c r="Q84" s="1382"/>
    </row>
    <row r="85" ht="15.75" spans="1:17">
      <c r="A85" s="1342"/>
      <c r="B85" s="1345" t="s">
        <v>213</v>
      </c>
      <c r="C85" s="1058" t="s">
        <v>226</v>
      </c>
      <c r="D85" s="1058" t="s">
        <v>238</v>
      </c>
      <c r="E85" s="1058" t="s">
        <v>249</v>
      </c>
      <c r="F85" s="1058" t="s">
        <v>259</v>
      </c>
      <c r="G85" s="1058" t="s">
        <v>266</v>
      </c>
      <c r="H85" s="1346"/>
      <c r="I85" s="1346"/>
      <c r="J85" s="1346"/>
      <c r="K85" s="1039"/>
      <c r="L85" s="1039"/>
      <c r="M85" s="1394"/>
      <c r="N85" s="1390"/>
      <c r="O85" s="1390"/>
      <c r="P85" s="1391"/>
      <c r="Q85" s="1382"/>
    </row>
    <row r="86" ht="15.75" spans="1:17">
      <c r="A86" s="1342"/>
      <c r="B86" s="1347"/>
      <c r="C86" s="1348">
        <v>100</v>
      </c>
      <c r="D86" s="1348">
        <f>C86-$K23</f>
        <v>100</v>
      </c>
      <c r="E86" s="1348">
        <f>D86-$K23</f>
        <v>100</v>
      </c>
      <c r="F86" s="1348">
        <f>E86-$K23</f>
        <v>100</v>
      </c>
      <c r="G86" s="1348">
        <f>F86-$K23</f>
        <v>100</v>
      </c>
      <c r="H86" s="1348"/>
      <c r="I86" s="1348"/>
      <c r="J86" s="1348"/>
      <c r="K86" s="1348"/>
      <c r="L86" s="1348"/>
      <c r="M86" s="1395"/>
      <c r="N86" s="1393"/>
      <c r="O86" s="1393"/>
      <c r="P86" s="1391"/>
      <c r="Q86" s="1382"/>
    </row>
    <row r="87" s="1080" customFormat="1" ht="27.75" spans="1:17">
      <c r="A87" s="1362"/>
      <c r="B87" s="1345" t="s">
        <v>1485</v>
      </c>
      <c r="C87" s="1353"/>
      <c r="D87" s="1353"/>
      <c r="E87" s="1353"/>
      <c r="F87" s="1353"/>
      <c r="G87" s="1353"/>
      <c r="H87" s="1353"/>
      <c r="I87" s="1353"/>
      <c r="J87" s="1353"/>
      <c r="K87" s="1353"/>
      <c r="L87" s="1353"/>
      <c r="M87" s="1655"/>
      <c r="N87" s="1386"/>
      <c r="O87" s="1386"/>
      <c r="P87" s="1391"/>
      <c r="Q87" s="1382"/>
    </row>
    <row r="88" s="1080" customFormat="1" ht="15.75" spans="1:17">
      <c r="A88" s="1362"/>
      <c r="B88" s="1347"/>
      <c r="C88" s="1363">
        <v>100</v>
      </c>
      <c r="D88" s="1348">
        <f t="shared" ref="D88:M88" si="19">C88-$K25</f>
        <v>100</v>
      </c>
      <c r="E88" s="1348">
        <f t="shared" si="19"/>
        <v>100</v>
      </c>
      <c r="F88" s="1348">
        <f t="shared" si="19"/>
        <v>100</v>
      </c>
      <c r="G88" s="1348">
        <f t="shared" si="19"/>
        <v>100</v>
      </c>
      <c r="H88" s="1348">
        <f t="shared" si="19"/>
        <v>100</v>
      </c>
      <c r="I88" s="1348">
        <f t="shared" si="19"/>
        <v>100</v>
      </c>
      <c r="J88" s="1348">
        <f t="shared" si="19"/>
        <v>100</v>
      </c>
      <c r="K88" s="1348">
        <f t="shared" si="19"/>
        <v>100</v>
      </c>
      <c r="L88" s="1348">
        <f t="shared" si="19"/>
        <v>100</v>
      </c>
      <c r="M88" s="1348">
        <f t="shared" si="19"/>
        <v>100</v>
      </c>
      <c r="N88" s="1393"/>
      <c r="O88" s="1393"/>
      <c r="P88" s="1391"/>
      <c r="Q88" s="1382"/>
    </row>
    <row r="89" s="1080" customFormat="1" ht="15.75" spans="1:17">
      <c r="A89" s="1362"/>
      <c r="B89" s="1345" t="str">
        <f>B27</f>
        <v>楼层</v>
      </c>
      <c r="C89" s="1353"/>
      <c r="D89" s="1353"/>
      <c r="E89" s="1353"/>
      <c r="F89" s="1652"/>
      <c r="G89" s="1353"/>
      <c r="H89" s="1353"/>
      <c r="I89" s="1353"/>
      <c r="J89" s="1353"/>
      <c r="K89" s="1353"/>
      <c r="L89" s="1353"/>
      <c r="M89" s="1655"/>
      <c r="N89" s="1386"/>
      <c r="O89" s="1386"/>
      <c r="P89" s="1391"/>
      <c r="Q89" s="1382"/>
    </row>
    <row r="90" s="1080" customFormat="1" ht="15.75" spans="1:17">
      <c r="A90" s="1362"/>
      <c r="B90" s="1347"/>
      <c r="C90" s="1363">
        <v>100</v>
      </c>
      <c r="D90" s="1348">
        <f>C90-$K27</f>
        <v>100</v>
      </c>
      <c r="E90" s="1348">
        <f t="shared" ref="E90:M90" si="20">D90-$K27</f>
        <v>100</v>
      </c>
      <c r="F90" s="1348">
        <f t="shared" si="20"/>
        <v>100</v>
      </c>
      <c r="G90" s="1348">
        <f t="shared" si="20"/>
        <v>100</v>
      </c>
      <c r="H90" s="1348">
        <f t="shared" si="20"/>
        <v>100</v>
      </c>
      <c r="I90" s="1348">
        <f t="shared" si="20"/>
        <v>100</v>
      </c>
      <c r="J90" s="1348">
        <f t="shared" si="20"/>
        <v>100</v>
      </c>
      <c r="K90" s="1348">
        <f t="shared" si="20"/>
        <v>100</v>
      </c>
      <c r="L90" s="1348">
        <f t="shared" si="20"/>
        <v>100</v>
      </c>
      <c r="M90" s="1348">
        <f t="shared" si="20"/>
        <v>100</v>
      </c>
      <c r="N90" s="1393"/>
      <c r="O90" s="1393"/>
      <c r="P90" s="1391"/>
      <c r="Q90" s="1382"/>
    </row>
    <row r="91" s="1082" customFormat="1" ht="15.75" spans="1:17">
      <c r="A91" s="1352"/>
      <c r="B91" s="1345" t="str">
        <f>B28</f>
        <v>朝向</v>
      </c>
      <c r="C91" s="1353"/>
      <c r="D91" s="1353"/>
      <c r="E91" s="1353"/>
      <c r="F91" s="1353"/>
      <c r="G91" s="1353"/>
      <c r="H91" s="1045"/>
      <c r="I91" s="1045"/>
      <c r="J91" s="1045"/>
      <c r="K91" s="1045"/>
      <c r="L91" s="1045"/>
      <c r="M91" s="1397"/>
      <c r="N91" s="1398"/>
      <c r="O91" s="1398"/>
      <c r="P91" s="1399"/>
      <c r="Q91" s="1414"/>
    </row>
    <row r="92" s="1082" customFormat="1" ht="15.75" spans="1:17">
      <c r="A92" s="1352"/>
      <c r="B92" s="1347"/>
      <c r="C92" s="1363">
        <v>100</v>
      </c>
      <c r="D92" s="1348">
        <f t="shared" ref="D92:M92" si="21">C92-$K28</f>
        <v>100</v>
      </c>
      <c r="E92" s="1348">
        <f t="shared" si="21"/>
        <v>100</v>
      </c>
      <c r="F92" s="1348">
        <f t="shared" si="21"/>
        <v>100</v>
      </c>
      <c r="G92" s="1348">
        <f t="shared" si="21"/>
        <v>100</v>
      </c>
      <c r="H92" s="1348">
        <f t="shared" si="21"/>
        <v>100</v>
      </c>
      <c r="I92" s="1348">
        <f t="shared" si="21"/>
        <v>100</v>
      </c>
      <c r="J92" s="1348">
        <f t="shared" si="21"/>
        <v>100</v>
      </c>
      <c r="K92" s="1348">
        <f t="shared" si="21"/>
        <v>100</v>
      </c>
      <c r="L92" s="1348">
        <f t="shared" si="21"/>
        <v>100</v>
      </c>
      <c r="M92" s="1348">
        <f t="shared" si="21"/>
        <v>100</v>
      </c>
      <c r="N92" s="1398"/>
      <c r="O92" s="1398"/>
      <c r="P92" s="1399"/>
      <c r="Q92" s="1414"/>
    </row>
    <row r="93" ht="15.75" spans="1:17">
      <c r="A93" s="1342"/>
      <c r="B93" s="1345">
        <f>B29</f>
        <v>111</v>
      </c>
      <c r="C93" s="1353"/>
      <c r="D93" s="1353"/>
      <c r="E93" s="1353"/>
      <c r="F93" s="1353"/>
      <c r="G93" s="1353"/>
      <c r="H93" s="1353"/>
      <c r="I93" s="1353"/>
      <c r="J93" s="1353"/>
      <c r="K93" s="1353"/>
      <c r="L93" s="1353"/>
      <c r="M93" s="1655"/>
      <c r="N93" s="1390"/>
      <c r="O93" s="1390"/>
      <c r="P93" s="1391"/>
      <c r="Q93" s="1382"/>
    </row>
    <row r="94" ht="15.75" spans="1:17">
      <c r="A94" s="1342"/>
      <c r="B94" s="1347"/>
      <c r="C94" s="1354"/>
      <c r="D94" s="1344"/>
      <c r="E94" s="1344"/>
      <c r="F94" s="1344"/>
      <c r="G94" s="1344"/>
      <c r="H94" s="1344"/>
      <c r="I94" s="1344"/>
      <c r="J94" s="1344"/>
      <c r="K94" s="1344"/>
      <c r="L94" s="1344"/>
      <c r="M94" s="1392"/>
      <c r="N94" s="1393"/>
      <c r="O94" s="1393"/>
      <c r="P94" s="1391"/>
      <c r="Q94" s="1382"/>
    </row>
    <row r="95" ht="15.75" spans="1:17">
      <c r="A95" s="1342"/>
      <c r="B95" s="1345">
        <f>B30</f>
        <v>111</v>
      </c>
      <c r="C95" s="1353"/>
      <c r="D95" s="1353"/>
      <c r="E95" s="1353"/>
      <c r="F95" s="1353"/>
      <c r="G95" s="1366"/>
      <c r="H95" s="1366"/>
      <c r="I95" s="1366"/>
      <c r="J95" s="1366"/>
      <c r="K95" s="1065"/>
      <c r="L95" s="1065"/>
      <c r="M95" s="1408"/>
      <c r="N95" s="1390"/>
      <c r="O95" s="1390"/>
      <c r="P95" s="1391"/>
      <c r="Q95" s="1382"/>
    </row>
    <row r="96" ht="15.75" spans="1:17">
      <c r="A96" s="1342"/>
      <c r="B96" s="1347"/>
      <c r="C96" s="1354"/>
      <c r="D96" s="1354"/>
      <c r="E96" s="1354"/>
      <c r="F96" s="1354"/>
      <c r="G96" s="1344"/>
      <c r="H96" s="1344"/>
      <c r="I96" s="1344"/>
      <c r="J96" s="1344"/>
      <c r="K96" s="1344"/>
      <c r="L96" s="1344"/>
      <c r="M96" s="1392"/>
      <c r="N96" s="1393"/>
      <c r="O96" s="1393"/>
      <c r="P96" s="1391"/>
      <c r="Q96" s="1382"/>
    </row>
    <row r="97" ht="15.75" spans="1:17">
      <c r="A97" s="1342"/>
      <c r="B97" s="1345">
        <f>B31</f>
        <v>111</v>
      </c>
      <c r="C97" s="1353"/>
      <c r="D97" s="1353"/>
      <c r="E97" s="1353"/>
      <c r="F97" s="1353"/>
      <c r="G97" s="1366"/>
      <c r="H97" s="1366"/>
      <c r="I97" s="1366"/>
      <c r="J97" s="1366"/>
      <c r="K97" s="1065"/>
      <c r="L97" s="1065"/>
      <c r="M97" s="1408"/>
      <c r="N97" s="1390"/>
      <c r="O97" s="1390"/>
      <c r="P97" s="1391"/>
      <c r="Q97" s="1382"/>
    </row>
    <row r="98" ht="15.75" spans="1:17">
      <c r="A98" s="1342"/>
      <c r="B98" s="1347"/>
      <c r="C98" s="1354"/>
      <c r="D98" s="1344"/>
      <c r="E98" s="1344"/>
      <c r="F98" s="1344"/>
      <c r="G98" s="1344"/>
      <c r="H98" s="1344"/>
      <c r="I98" s="1344"/>
      <c r="J98" s="1344"/>
      <c r="K98" s="1344"/>
      <c r="L98" s="1344"/>
      <c r="M98" s="1392"/>
      <c r="N98" s="1393"/>
      <c r="O98" s="1393"/>
      <c r="P98" s="1391"/>
      <c r="Q98" s="1382"/>
    </row>
    <row r="99" ht="15.75" spans="1:17">
      <c r="A99" s="1342"/>
      <c r="B99" s="1349">
        <f>B32</f>
        <v>111</v>
      </c>
      <c r="C99" s="1026"/>
      <c r="D99" s="1026"/>
      <c r="E99" s="1026"/>
      <c r="F99" s="1026"/>
      <c r="G99" s="1367"/>
      <c r="H99" s="1367"/>
      <c r="I99" s="1367"/>
      <c r="J99" s="1367"/>
      <c r="K99" s="1068"/>
      <c r="L99" s="1068"/>
      <c r="M99" s="1409"/>
      <c r="N99" s="1390"/>
      <c r="O99" s="1390"/>
      <c r="P99" s="1391"/>
      <c r="Q99" s="1382"/>
    </row>
    <row r="100" ht="15.75" spans="1:17">
      <c r="A100" s="1653"/>
      <c r="B100" s="1357"/>
      <c r="C100" s="1358"/>
      <c r="D100" s="1358"/>
      <c r="E100" s="1358"/>
      <c r="F100" s="1358"/>
      <c r="G100" s="1368"/>
      <c r="H100" s="1368"/>
      <c r="I100" s="1368"/>
      <c r="J100" s="1368"/>
      <c r="K100" s="1368"/>
      <c r="L100" s="1368"/>
      <c r="M100" s="1410"/>
      <c r="N100" s="1393"/>
      <c r="O100" s="1393"/>
      <c r="P100" s="1391"/>
      <c r="Q100" s="1382"/>
    </row>
    <row r="101" spans="1:17">
      <c r="A101" s="1340" t="s">
        <v>1070</v>
      </c>
      <c r="B101" s="1341" t="s">
        <v>1071</v>
      </c>
      <c r="C101" s="1268"/>
      <c r="D101" s="1268"/>
      <c r="E101" s="1268"/>
      <c r="F101" s="1268"/>
      <c r="G101" s="1268"/>
      <c r="H101" s="1268"/>
      <c r="I101" s="1268"/>
      <c r="J101" s="1268"/>
      <c r="K101" s="1032"/>
      <c r="L101" s="1032"/>
      <c r="M101" s="1389"/>
      <c r="N101" s="1390"/>
      <c r="O101" s="1390"/>
      <c r="P101" s="1391"/>
      <c r="Q101" s="1382"/>
    </row>
    <row r="102" ht="15.75" spans="1:17">
      <c r="A102" s="1342"/>
      <c r="B102" s="1347"/>
      <c r="C102" s="1348">
        <v>100</v>
      </c>
      <c r="D102" s="1348">
        <f t="shared" ref="D102:M102" si="22">C102-$K33</f>
        <v>100</v>
      </c>
      <c r="E102" s="1348">
        <f t="shared" si="22"/>
        <v>100</v>
      </c>
      <c r="F102" s="1348">
        <f t="shared" si="22"/>
        <v>100</v>
      </c>
      <c r="G102" s="1348">
        <f t="shared" si="22"/>
        <v>100</v>
      </c>
      <c r="H102" s="1348">
        <f t="shared" si="22"/>
        <v>100</v>
      </c>
      <c r="I102" s="1348">
        <f t="shared" si="22"/>
        <v>100</v>
      </c>
      <c r="J102" s="1348">
        <f t="shared" si="22"/>
        <v>100</v>
      </c>
      <c r="K102" s="1348">
        <f t="shared" si="22"/>
        <v>100</v>
      </c>
      <c r="L102" s="1348">
        <f t="shared" si="22"/>
        <v>100</v>
      </c>
      <c r="M102" s="1395">
        <f t="shared" si="22"/>
        <v>100</v>
      </c>
      <c r="N102" s="1393"/>
      <c r="O102" s="1393"/>
      <c r="P102" s="1391"/>
      <c r="Q102" s="1382"/>
    </row>
    <row r="103" ht="15.75" spans="1:17">
      <c r="A103" s="1342"/>
      <c r="B103" s="1345" t="s">
        <v>1074</v>
      </c>
      <c r="C103" s="1058" t="str">
        <f>C104&amp;"(含)"&amp;"-"&amp;D104</f>
        <v>(含)-</v>
      </c>
      <c r="D103" s="1058" t="str">
        <f t="shared" ref="D103:L103" si="23">D104&amp;"(含)"&amp;"-"&amp;E104</f>
        <v>(含)-</v>
      </c>
      <c r="E103" s="1058" t="str">
        <f t="shared" si="23"/>
        <v>(含)-</v>
      </c>
      <c r="F103" s="1058" t="str">
        <f t="shared" si="23"/>
        <v>(含)-</v>
      </c>
      <c r="G103" s="1058" t="str">
        <f t="shared" si="23"/>
        <v>(含)-</v>
      </c>
      <c r="H103" s="1058" t="str">
        <f t="shared" si="23"/>
        <v>(含)-</v>
      </c>
      <c r="I103" s="1058" t="str">
        <f t="shared" si="23"/>
        <v>(含)-</v>
      </c>
      <c r="J103" s="1058" t="str">
        <f t="shared" si="23"/>
        <v>(含)-</v>
      </c>
      <c r="K103" s="1058" t="str">
        <f t="shared" si="23"/>
        <v>(含)-</v>
      </c>
      <c r="L103" s="1058" t="str">
        <f t="shared" si="23"/>
        <v>(含)-</v>
      </c>
      <c r="M103" s="1404" t="str">
        <f>M104&amp;"(含)"&amp;"-"&amp;P104</f>
        <v>(含)-</v>
      </c>
      <c r="N103" s="1386"/>
      <c r="O103" s="1386"/>
      <c r="P103" s="1391"/>
      <c r="Q103" s="1382"/>
    </row>
    <row r="104" s="1082" customFormat="1" ht="15" spans="1:17">
      <c r="A104" s="1369"/>
      <c r="B104" s="1370"/>
      <c r="C104" s="1330"/>
      <c r="D104" s="1330"/>
      <c r="E104" s="1330"/>
      <c r="F104" s="1330"/>
      <c r="G104" s="1330"/>
      <c r="H104" s="1330"/>
      <c r="I104" s="1330"/>
      <c r="J104" s="1072"/>
      <c r="K104" s="1072"/>
      <c r="L104" s="1072"/>
      <c r="M104" s="1411"/>
      <c r="N104" s="1398"/>
      <c r="O104" s="1398"/>
      <c r="P104" s="1399"/>
      <c r="Q104" s="1414"/>
    </row>
    <row r="105" s="1082" customFormat="1" ht="15.75" spans="1:17">
      <c r="A105" s="1352"/>
      <c r="B105" s="1347"/>
      <c r="C105" s="1354"/>
      <c r="D105" s="1344"/>
      <c r="E105" s="1344"/>
      <c r="F105" s="1344"/>
      <c r="G105" s="1344"/>
      <c r="H105" s="1344"/>
      <c r="I105" s="1344"/>
      <c r="J105" s="1344"/>
      <c r="K105" s="1344"/>
      <c r="L105" s="1344"/>
      <c r="M105" s="1392"/>
      <c r="N105" s="1393"/>
      <c r="O105" s="1393"/>
      <c r="P105" s="1399"/>
      <c r="Q105" s="1414"/>
    </row>
    <row r="106" ht="15.75" spans="1:17">
      <c r="A106" s="1372"/>
      <c r="B106" s="1345" t="s">
        <v>1075</v>
      </c>
      <c r="C106" s="1353"/>
      <c r="D106" s="1353"/>
      <c r="E106" s="1366"/>
      <c r="F106" s="1366"/>
      <c r="G106" s="1366"/>
      <c r="H106" s="1366"/>
      <c r="I106" s="1366"/>
      <c r="J106" s="1366"/>
      <c r="K106" s="1065"/>
      <c r="L106" s="1065"/>
      <c r="M106" s="1408"/>
      <c r="N106" s="1390"/>
      <c r="O106" s="1390"/>
      <c r="P106" s="1391"/>
      <c r="Q106" s="1382"/>
    </row>
    <row r="107" ht="15.75" spans="1:17">
      <c r="A107" s="1342"/>
      <c r="B107" s="1347"/>
      <c r="C107" s="1348">
        <v>100</v>
      </c>
      <c r="D107" s="1348">
        <f t="shared" ref="D107:M107" si="24">C107-$K35</f>
        <v>100</v>
      </c>
      <c r="E107" s="1348">
        <f t="shared" si="24"/>
        <v>100</v>
      </c>
      <c r="F107" s="1348">
        <f t="shared" si="24"/>
        <v>100</v>
      </c>
      <c r="G107" s="1348">
        <f t="shared" si="24"/>
        <v>100</v>
      </c>
      <c r="H107" s="1348">
        <f t="shared" si="24"/>
        <v>100</v>
      </c>
      <c r="I107" s="1348">
        <f t="shared" si="24"/>
        <v>100</v>
      </c>
      <c r="J107" s="1348">
        <f t="shared" si="24"/>
        <v>100</v>
      </c>
      <c r="K107" s="1348">
        <f t="shared" si="24"/>
        <v>100</v>
      </c>
      <c r="L107" s="1348">
        <f t="shared" si="24"/>
        <v>100</v>
      </c>
      <c r="M107" s="1395">
        <f t="shared" si="24"/>
        <v>100</v>
      </c>
      <c r="N107" s="1393"/>
      <c r="O107" s="1393"/>
      <c r="P107" s="1391"/>
      <c r="Q107" s="1382"/>
    </row>
    <row r="108" ht="15.75" spans="1:17">
      <c r="A108" s="1372"/>
      <c r="B108" s="1345" t="s">
        <v>1077</v>
      </c>
      <c r="C108" s="1353"/>
      <c r="D108" s="1353"/>
      <c r="E108" s="1353"/>
      <c r="F108" s="1366"/>
      <c r="G108" s="1366"/>
      <c r="H108" s="1366"/>
      <c r="I108" s="1366"/>
      <c r="J108" s="1366"/>
      <c r="K108" s="1065"/>
      <c r="L108" s="1065"/>
      <c r="M108" s="1408"/>
      <c r="N108" s="1390"/>
      <c r="O108" s="1390"/>
      <c r="P108" s="1391"/>
      <c r="Q108" s="1382"/>
    </row>
    <row r="109" ht="15.75" spans="1:17">
      <c r="A109" s="1342"/>
      <c r="B109" s="1347"/>
      <c r="C109" s="1348">
        <v>100</v>
      </c>
      <c r="D109" s="1348">
        <f t="shared" ref="D109:M109" si="25">C109-$K36</f>
        <v>100</v>
      </c>
      <c r="E109" s="1348">
        <f t="shared" si="25"/>
        <v>100</v>
      </c>
      <c r="F109" s="1348">
        <f t="shared" si="25"/>
        <v>100</v>
      </c>
      <c r="G109" s="1348">
        <f t="shared" si="25"/>
        <v>100</v>
      </c>
      <c r="H109" s="1348">
        <f t="shared" si="25"/>
        <v>100</v>
      </c>
      <c r="I109" s="1348">
        <f t="shared" si="25"/>
        <v>100</v>
      </c>
      <c r="J109" s="1348">
        <f t="shared" si="25"/>
        <v>100</v>
      </c>
      <c r="K109" s="1348">
        <f t="shared" si="25"/>
        <v>100</v>
      </c>
      <c r="L109" s="1348">
        <f t="shared" si="25"/>
        <v>100</v>
      </c>
      <c r="M109" s="1395">
        <f t="shared" si="25"/>
        <v>100</v>
      </c>
      <c r="N109" s="1393"/>
      <c r="O109" s="1393"/>
      <c r="P109" s="1391"/>
      <c r="Q109" s="1382"/>
    </row>
    <row r="110" ht="15.75" spans="1:17">
      <c r="A110" s="1372"/>
      <c r="B110" s="1345" t="s">
        <v>1078</v>
      </c>
      <c r="C110" s="1058" t="str">
        <f>C111&amp;"(含)"&amp;"-"&amp;D111</f>
        <v>0.5(含)-0.6</v>
      </c>
      <c r="D110" s="1058" t="str">
        <f>D111&amp;"(含)"&amp;"-"&amp;E111</f>
        <v>0.6(含)-0.7</v>
      </c>
      <c r="E110" s="1058" t="str">
        <f>E111&amp;"(含)"&amp;"-"&amp;F111</f>
        <v>0.7(含)-0.8</v>
      </c>
      <c r="F110" s="1058" t="str">
        <f>F111&amp;"(含)"&amp;"-"&amp;G111</f>
        <v>0.8(含)-0.9</v>
      </c>
      <c r="G110" s="1058" t="str">
        <f>G111&amp;"(含)"&amp;"-"&amp;H111</f>
        <v>0.9(含)-1</v>
      </c>
      <c r="H110" s="1058"/>
      <c r="I110" s="1366"/>
      <c r="J110" s="1366"/>
      <c r="K110" s="1065"/>
      <c r="L110" s="1065"/>
      <c r="M110" s="1408"/>
      <c r="N110" s="1390"/>
      <c r="O110" s="1390"/>
      <c r="P110" s="1391"/>
      <c r="Q110" s="1382"/>
    </row>
    <row r="111" ht="15" spans="1:17">
      <c r="A111" s="1372"/>
      <c r="B111" s="1349"/>
      <c r="C111" s="642">
        <v>0.5</v>
      </c>
      <c r="D111" s="642">
        <v>0.6</v>
      </c>
      <c r="E111" s="642">
        <v>0.7</v>
      </c>
      <c r="F111" s="642">
        <v>0.8</v>
      </c>
      <c r="G111" s="642">
        <v>0.9</v>
      </c>
      <c r="H111" s="642">
        <v>1</v>
      </c>
      <c r="I111" s="1656"/>
      <c r="J111" s="1656"/>
      <c r="K111" s="1560"/>
      <c r="L111" s="1560"/>
      <c r="M111" s="1657"/>
      <c r="N111" s="1390"/>
      <c r="O111" s="1390"/>
      <c r="P111" s="1391"/>
      <c r="Q111" s="1382"/>
    </row>
    <row r="112" ht="15.75" spans="1:17">
      <c r="A112" s="1342"/>
      <c r="B112" s="1347"/>
      <c r="C112" s="1363">
        <v>100</v>
      </c>
      <c r="D112" s="1348">
        <f>C112+$K37</f>
        <v>100</v>
      </c>
      <c r="E112" s="1348">
        <f t="shared" ref="E112:M112" si="26">D112+$K37</f>
        <v>100</v>
      </c>
      <c r="F112" s="1348">
        <f t="shared" si="26"/>
        <v>100</v>
      </c>
      <c r="G112" s="1348">
        <f t="shared" si="26"/>
        <v>100</v>
      </c>
      <c r="H112" s="1348">
        <f t="shared" si="26"/>
        <v>100</v>
      </c>
      <c r="I112" s="1348">
        <f t="shared" si="26"/>
        <v>100</v>
      </c>
      <c r="J112" s="1348">
        <f t="shared" si="26"/>
        <v>100</v>
      </c>
      <c r="K112" s="1348">
        <f t="shared" si="26"/>
        <v>100</v>
      </c>
      <c r="L112" s="1348">
        <f t="shared" si="26"/>
        <v>100</v>
      </c>
      <c r="M112" s="1348">
        <f t="shared" si="26"/>
        <v>100</v>
      </c>
      <c r="N112" s="1393"/>
      <c r="O112" s="1393"/>
      <c r="P112" s="1391"/>
      <c r="Q112" s="1382"/>
    </row>
    <row r="113" s="1082" customFormat="1" ht="15.75" spans="1:17">
      <c r="A113" s="1369"/>
      <c r="B113" s="1345" t="s">
        <v>1486</v>
      </c>
      <c r="C113" s="1353"/>
      <c r="D113" s="1353"/>
      <c r="E113" s="1353"/>
      <c r="F113" s="1353"/>
      <c r="G113" s="1353"/>
      <c r="H113" s="1366"/>
      <c r="I113" s="1366"/>
      <c r="J113" s="1366"/>
      <c r="K113" s="1065"/>
      <c r="L113" s="1065"/>
      <c r="M113" s="1408"/>
      <c r="N113" s="1398"/>
      <c r="O113" s="1398"/>
      <c r="P113" s="1399"/>
      <c r="Q113" s="1414"/>
    </row>
    <row r="114" s="1082" customFormat="1" ht="15.75" spans="1:17">
      <c r="A114" s="1352"/>
      <c r="B114" s="1347"/>
      <c r="C114" s="1348">
        <v>100</v>
      </c>
      <c r="D114" s="1348">
        <f>C114-$K38</f>
        <v>100</v>
      </c>
      <c r="E114" s="1348">
        <f t="shared" ref="E114:M114" si="27">D114-$K38</f>
        <v>100</v>
      </c>
      <c r="F114" s="1348">
        <f t="shared" si="27"/>
        <v>100</v>
      </c>
      <c r="G114" s="1348">
        <f t="shared" si="27"/>
        <v>100</v>
      </c>
      <c r="H114" s="1348">
        <f t="shared" si="27"/>
        <v>100</v>
      </c>
      <c r="I114" s="1348">
        <f t="shared" si="27"/>
        <v>100</v>
      </c>
      <c r="J114" s="1348">
        <f t="shared" si="27"/>
        <v>100</v>
      </c>
      <c r="K114" s="1348">
        <f t="shared" si="27"/>
        <v>100</v>
      </c>
      <c r="L114" s="1348">
        <f t="shared" si="27"/>
        <v>100</v>
      </c>
      <c r="M114" s="1348">
        <f t="shared" si="27"/>
        <v>100</v>
      </c>
      <c r="N114" s="1398"/>
      <c r="O114" s="1398"/>
      <c r="P114" s="1399"/>
      <c r="Q114" s="1414"/>
    </row>
    <row r="115" ht="15.75" spans="1:17">
      <c r="A115" s="1372"/>
      <c r="B115" s="1345" t="s">
        <v>1079</v>
      </c>
      <c r="C115" s="1353"/>
      <c r="D115" s="1353"/>
      <c r="E115" s="1366"/>
      <c r="F115" s="1366"/>
      <c r="G115" s="1366"/>
      <c r="H115" s="1366"/>
      <c r="I115" s="1366"/>
      <c r="J115" s="1366"/>
      <c r="K115" s="1065"/>
      <c r="L115" s="1065"/>
      <c r="M115" s="1408"/>
      <c r="N115" s="1390"/>
      <c r="O115" s="1390"/>
      <c r="P115" s="1391"/>
      <c r="Q115" s="1382"/>
    </row>
    <row r="116" ht="15.75" spans="1:17">
      <c r="A116" s="1342"/>
      <c r="B116" s="1347"/>
      <c r="C116" s="1348">
        <v>100</v>
      </c>
      <c r="D116" s="1348">
        <f t="shared" ref="D116:M116" si="28">C116-$K39</f>
        <v>100</v>
      </c>
      <c r="E116" s="1348">
        <f t="shared" si="28"/>
        <v>100</v>
      </c>
      <c r="F116" s="1348">
        <f t="shared" si="28"/>
        <v>100</v>
      </c>
      <c r="G116" s="1348">
        <f t="shared" si="28"/>
        <v>100</v>
      </c>
      <c r="H116" s="1348">
        <f t="shared" si="28"/>
        <v>100</v>
      </c>
      <c r="I116" s="1348">
        <f t="shared" si="28"/>
        <v>100</v>
      </c>
      <c r="J116" s="1348">
        <f t="shared" si="28"/>
        <v>100</v>
      </c>
      <c r="K116" s="1348">
        <f t="shared" si="28"/>
        <v>100</v>
      </c>
      <c r="L116" s="1348">
        <f t="shared" si="28"/>
        <v>100</v>
      </c>
      <c r="M116" s="1395">
        <f t="shared" si="28"/>
        <v>100</v>
      </c>
      <c r="N116" s="1393"/>
      <c r="O116" s="1393"/>
      <c r="P116" s="1391"/>
      <c r="Q116" s="1382"/>
    </row>
    <row r="117" ht="15.75" spans="1:17">
      <c r="A117" s="1372"/>
      <c r="B117" s="1345" t="s">
        <v>1080</v>
      </c>
      <c r="C117" s="1353"/>
      <c r="D117" s="1353"/>
      <c r="E117" s="1353"/>
      <c r="F117" s="1353"/>
      <c r="G117" s="1353"/>
      <c r="H117" s="1366"/>
      <c r="I117" s="1366"/>
      <c r="J117" s="1366"/>
      <c r="K117" s="1065"/>
      <c r="L117" s="1065"/>
      <c r="M117" s="1408"/>
      <c r="N117" s="1390"/>
      <c r="O117" s="1390"/>
      <c r="P117" s="1391"/>
      <c r="Q117" s="1382"/>
    </row>
    <row r="118" ht="15.75" spans="1:17">
      <c r="A118" s="1342"/>
      <c r="B118" s="1347"/>
      <c r="C118" s="1348">
        <v>100</v>
      </c>
      <c r="D118" s="1348">
        <f>C118-$K40</f>
        <v>100</v>
      </c>
      <c r="E118" s="1348">
        <f>D118-$K40</f>
        <v>100</v>
      </c>
      <c r="F118" s="1348">
        <f>E118-$K40</f>
        <v>100</v>
      </c>
      <c r="G118" s="1348">
        <f>F118-$K40</f>
        <v>100</v>
      </c>
      <c r="H118" s="1348"/>
      <c r="I118" s="1348"/>
      <c r="J118" s="1348"/>
      <c r="K118" s="1348"/>
      <c r="L118" s="1348"/>
      <c r="M118" s="1395"/>
      <c r="N118" s="1393"/>
      <c r="O118" s="1393"/>
      <c r="P118" s="1391"/>
      <c r="Q118" s="1382"/>
    </row>
    <row r="119" ht="15.75" spans="1:17">
      <c r="A119" s="1372"/>
      <c r="B119" s="1654" t="s">
        <v>1488</v>
      </c>
      <c r="C119" s="1366"/>
      <c r="D119" s="1366"/>
      <c r="E119" s="1366"/>
      <c r="F119" s="1366"/>
      <c r="G119" s="1366"/>
      <c r="H119" s="1366"/>
      <c r="I119" s="1366"/>
      <c r="J119" s="1366"/>
      <c r="K119" s="1366"/>
      <c r="L119" s="1366"/>
      <c r="M119" s="1658"/>
      <c r="N119" s="1393"/>
      <c r="O119" s="1393"/>
      <c r="P119" s="1659"/>
      <c r="Q119" s="1660"/>
    </row>
    <row r="120" ht="15.75" spans="1:17">
      <c r="A120" s="1342"/>
      <c r="B120" s="1347"/>
      <c r="C120" s="1363">
        <v>100</v>
      </c>
      <c r="D120" s="1348">
        <f>C120-$K41</f>
        <v>100</v>
      </c>
      <c r="E120" s="1348">
        <f t="shared" ref="E120:M120" si="29">D120-$K41</f>
        <v>100</v>
      </c>
      <c r="F120" s="1348">
        <f t="shared" si="29"/>
        <v>100</v>
      </c>
      <c r="G120" s="1348">
        <f t="shared" si="29"/>
        <v>100</v>
      </c>
      <c r="H120" s="1348">
        <f t="shared" si="29"/>
        <v>100</v>
      </c>
      <c r="I120" s="1348">
        <f t="shared" si="29"/>
        <v>100</v>
      </c>
      <c r="J120" s="1348">
        <f t="shared" si="29"/>
        <v>100</v>
      </c>
      <c r="K120" s="1348">
        <f t="shared" si="29"/>
        <v>100</v>
      </c>
      <c r="L120" s="1348">
        <f t="shared" si="29"/>
        <v>100</v>
      </c>
      <c r="M120" s="1348">
        <f t="shared" si="29"/>
        <v>100</v>
      </c>
      <c r="N120" s="1393"/>
      <c r="O120" s="1393"/>
      <c r="P120" s="1391"/>
      <c r="Q120" s="1382"/>
    </row>
    <row r="121" s="1082" customFormat="1" ht="15.75" spans="1:17">
      <c r="A121" s="1369"/>
      <c r="B121" s="1345" t="s">
        <v>1479</v>
      </c>
      <c r="C121" s="1353"/>
      <c r="D121" s="1353"/>
      <c r="E121" s="1353"/>
      <c r="F121" s="1366"/>
      <c r="G121" s="1045"/>
      <c r="H121" s="1045"/>
      <c r="I121" s="1045"/>
      <c r="J121" s="1045"/>
      <c r="K121" s="1045"/>
      <c r="L121" s="1045"/>
      <c r="M121" s="1397"/>
      <c r="N121" s="1398"/>
      <c r="O121" s="1398"/>
      <c r="P121" s="1399"/>
      <c r="Q121" s="1414"/>
    </row>
    <row r="122" s="1082" customFormat="1" ht="15.75" spans="1:17">
      <c r="A122" s="1352"/>
      <c r="B122" s="1343"/>
      <c r="C122" s="1354"/>
      <c r="D122" s="1354"/>
      <c r="E122" s="1354"/>
      <c r="F122" s="1354"/>
      <c r="G122" s="1354"/>
      <c r="H122" s="1354"/>
      <c r="I122" s="1354"/>
      <c r="J122" s="1354"/>
      <c r="K122" s="1354"/>
      <c r="L122" s="1354"/>
      <c r="M122" s="1354"/>
      <c r="N122" s="1398"/>
      <c r="O122" s="1398"/>
      <c r="P122" s="1399"/>
      <c r="Q122" s="1414"/>
    </row>
    <row r="123" ht="15.75" spans="1:17">
      <c r="A123" s="1372"/>
      <c r="B123" s="1345" t="s">
        <v>1083</v>
      </c>
      <c r="C123" s="1353"/>
      <c r="D123" s="1353"/>
      <c r="E123" s="1353"/>
      <c r="F123" s="1366"/>
      <c r="G123" s="1366"/>
      <c r="H123" s="1366"/>
      <c r="I123" s="1366"/>
      <c r="J123" s="1366"/>
      <c r="K123" s="1065"/>
      <c r="L123" s="1065"/>
      <c r="M123" s="1408"/>
      <c r="N123" s="1390"/>
      <c r="O123" s="1390"/>
      <c r="P123" s="1391"/>
      <c r="Q123" s="1382"/>
    </row>
    <row r="124" ht="15.75" spans="1:17">
      <c r="A124" s="1342"/>
      <c r="B124" s="1347"/>
      <c r="C124" s="1348">
        <v>100</v>
      </c>
      <c r="D124" s="1348">
        <f t="shared" ref="D124:M124" si="30">C124-$K43</f>
        <v>100</v>
      </c>
      <c r="E124" s="1348">
        <f t="shared" si="30"/>
        <v>100</v>
      </c>
      <c r="F124" s="1348">
        <f t="shared" si="30"/>
        <v>100</v>
      </c>
      <c r="G124" s="1348">
        <f t="shared" si="30"/>
        <v>100</v>
      </c>
      <c r="H124" s="1348">
        <f t="shared" si="30"/>
        <v>100</v>
      </c>
      <c r="I124" s="1348">
        <f t="shared" si="30"/>
        <v>100</v>
      </c>
      <c r="J124" s="1348">
        <f t="shared" si="30"/>
        <v>100</v>
      </c>
      <c r="K124" s="1348">
        <f t="shared" si="30"/>
        <v>100</v>
      </c>
      <c r="L124" s="1348">
        <f t="shared" si="30"/>
        <v>100</v>
      </c>
      <c r="M124" s="1395">
        <f t="shared" si="30"/>
        <v>100</v>
      </c>
      <c r="N124" s="1393"/>
      <c r="O124" s="1393"/>
      <c r="P124" s="1391"/>
      <c r="Q124" s="1382"/>
    </row>
    <row r="125" ht="15.75" spans="1:17">
      <c r="A125" s="1372"/>
      <c r="B125" s="1345" t="s">
        <v>215</v>
      </c>
      <c r="C125" s="1058" t="s">
        <v>226</v>
      </c>
      <c r="D125" s="1058" t="s">
        <v>238</v>
      </c>
      <c r="E125" s="1058" t="s">
        <v>249</v>
      </c>
      <c r="F125" s="1058" t="s">
        <v>259</v>
      </c>
      <c r="G125" s="1058" t="s">
        <v>266</v>
      </c>
      <c r="H125" s="1346"/>
      <c r="I125" s="1346"/>
      <c r="J125" s="1346"/>
      <c r="K125" s="1039"/>
      <c r="L125" s="1039"/>
      <c r="M125" s="1394"/>
      <c r="N125" s="1390"/>
      <c r="O125" s="1390"/>
      <c r="P125" s="1399"/>
      <c r="Q125" s="1382"/>
    </row>
    <row r="126" ht="15.75" spans="1:17">
      <c r="A126" s="1342"/>
      <c r="B126" s="1347"/>
      <c r="C126" s="1348">
        <v>100</v>
      </c>
      <c r="D126" s="1348">
        <f>C126-$K44</f>
        <v>100</v>
      </c>
      <c r="E126" s="1348">
        <f>D126-$K44</f>
        <v>100</v>
      </c>
      <c r="F126" s="1348">
        <f>E126-$K44</f>
        <v>100</v>
      </c>
      <c r="G126" s="1348">
        <f>F126-$K44</f>
        <v>100</v>
      </c>
      <c r="H126" s="1348"/>
      <c r="I126" s="1348"/>
      <c r="J126" s="1348"/>
      <c r="K126" s="1348"/>
      <c r="L126" s="1348"/>
      <c r="M126" s="1395"/>
      <c r="N126" s="1393"/>
      <c r="O126" s="1393"/>
      <c r="P126" s="1391"/>
      <c r="Q126" s="1382"/>
    </row>
    <row r="127" s="1082" customFormat="1" ht="15.75" spans="1:17">
      <c r="A127" s="1369"/>
      <c r="B127" s="1345">
        <f>B45</f>
        <v>111</v>
      </c>
      <c r="C127" s="1353"/>
      <c r="D127" s="1353"/>
      <c r="E127" s="1353"/>
      <c r="F127" s="1353"/>
      <c r="G127" s="1353"/>
      <c r="H127" s="1045"/>
      <c r="I127" s="1045"/>
      <c r="J127" s="1045"/>
      <c r="K127" s="1045"/>
      <c r="L127" s="1045"/>
      <c r="M127" s="1397"/>
      <c r="N127" s="1398"/>
      <c r="O127" s="1398"/>
      <c r="P127" s="1399"/>
      <c r="Q127" s="1414"/>
    </row>
    <row r="128" s="1082" customFormat="1" ht="15.75" spans="1:17">
      <c r="A128" s="1352"/>
      <c r="B128" s="1347"/>
      <c r="C128" s="1354"/>
      <c r="D128" s="1344"/>
      <c r="E128" s="1344"/>
      <c r="F128" s="1344"/>
      <c r="G128" s="1354"/>
      <c r="H128" s="1355"/>
      <c r="I128" s="1355"/>
      <c r="J128" s="1355"/>
      <c r="K128" s="1355"/>
      <c r="L128" s="1355"/>
      <c r="M128" s="1400"/>
      <c r="N128" s="1398"/>
      <c r="O128" s="1398"/>
      <c r="P128" s="1399"/>
      <c r="Q128" s="1414"/>
    </row>
    <row r="129" ht="15.75" spans="1:17">
      <c r="A129" s="1372"/>
      <c r="B129" s="1345">
        <f>B46</f>
        <v>111</v>
      </c>
      <c r="C129" s="1353"/>
      <c r="D129" s="1353"/>
      <c r="E129" s="1353"/>
      <c r="F129" s="1353"/>
      <c r="G129" s="1366"/>
      <c r="H129" s="1366"/>
      <c r="I129" s="1366"/>
      <c r="J129" s="1366"/>
      <c r="K129" s="1065"/>
      <c r="L129" s="1065"/>
      <c r="M129" s="1408"/>
      <c r="N129" s="1390"/>
      <c r="O129" s="1390"/>
      <c r="P129" s="1391"/>
      <c r="Q129" s="1382"/>
    </row>
    <row r="130" ht="15.75" spans="1:17">
      <c r="A130" s="1342"/>
      <c r="B130" s="1347"/>
      <c r="C130" s="1354"/>
      <c r="D130" s="1354"/>
      <c r="E130" s="1354"/>
      <c r="F130" s="1354"/>
      <c r="G130" s="1344"/>
      <c r="H130" s="1344"/>
      <c r="I130" s="1344"/>
      <c r="J130" s="1344"/>
      <c r="K130" s="1344"/>
      <c r="L130" s="1344"/>
      <c r="M130" s="1392"/>
      <c r="N130" s="1393"/>
      <c r="O130" s="1393"/>
      <c r="P130" s="1391"/>
      <c r="Q130" s="1382"/>
    </row>
    <row r="131" ht="15.75" spans="1:17">
      <c r="A131" s="1372"/>
      <c r="B131" s="1349">
        <f>B47</f>
        <v>111</v>
      </c>
      <c r="C131" s="1026"/>
      <c r="D131" s="1026"/>
      <c r="E131" s="1026"/>
      <c r="F131" s="1026"/>
      <c r="G131" s="1367"/>
      <c r="H131" s="1367"/>
      <c r="I131" s="1367"/>
      <c r="J131" s="1367"/>
      <c r="K131" s="1026"/>
      <c r="L131" s="1026"/>
      <c r="M131" s="1409"/>
      <c r="N131" s="1390"/>
      <c r="O131" s="1390"/>
      <c r="P131" s="1391"/>
      <c r="Q131" s="1382"/>
    </row>
    <row r="132" ht="15.75" spans="1:17">
      <c r="A132" s="1661"/>
      <c r="B132" s="1357"/>
      <c r="C132" s="1358"/>
      <c r="D132" s="1358"/>
      <c r="E132" s="1358"/>
      <c r="F132" s="1358"/>
      <c r="G132" s="1368"/>
      <c r="H132" s="1368"/>
      <c r="I132" s="1368"/>
      <c r="J132" s="1368"/>
      <c r="K132" s="1368"/>
      <c r="L132" s="1368"/>
      <c r="M132" s="1410"/>
      <c r="N132" s="1393"/>
      <c r="O132" s="1393"/>
      <c r="P132" s="1391"/>
      <c r="Q132" s="1382"/>
    </row>
  </sheetData>
  <sheetProtection password="CEE9" sheet="1" formatCells="0" formatColumns="0" formatRows="0" objects="1" scenarios="1"/>
  <mergeCells count="40">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48:Q48"/>
    <mergeCell ref="R48:S48"/>
    <mergeCell ref="T48:U48"/>
    <mergeCell ref="V48:W48"/>
    <mergeCell ref="P49:Q49"/>
    <mergeCell ref="R49:S49"/>
    <mergeCell ref="T49:U49"/>
    <mergeCell ref="V49:W49"/>
    <mergeCell ref="P50:Q50"/>
    <mergeCell ref="R50:W50"/>
    <mergeCell ref="P9:P14"/>
    <mergeCell ref="P15:P32"/>
    <mergeCell ref="P33:P47"/>
    <mergeCell ref="Y9:Y14"/>
    <mergeCell ref="Y15:Y32"/>
    <mergeCell ref="Y33:Y47"/>
    <mergeCell ref="AA4:AA6"/>
    <mergeCell ref="AB4:AB6"/>
    <mergeCell ref="AC4:AC6"/>
    <mergeCell ref="Y4:Z6"/>
    <mergeCell ref="P4:Q6"/>
    <mergeCell ref="R4:S6"/>
    <mergeCell ref="T4:U6"/>
    <mergeCell ref="V4:W6"/>
  </mergeCells>
  <conditionalFormatting sqref="F49">
    <cfRule type="expression" dxfId="5" priority="4">
      <formula>$D$49="简单平均"</formula>
    </cfRule>
  </conditionalFormatting>
  <conditionalFormatting sqref="H49">
    <cfRule type="expression" dxfId="5" priority="3">
      <formula>$D$49="简单平均"</formula>
    </cfRule>
  </conditionalFormatting>
  <conditionalFormatting sqref="J49">
    <cfRule type="expression" dxfId="5" priority="2">
      <formula>$D$49="简单平均"</formula>
    </cfRule>
  </conditionalFormatting>
  <conditionalFormatting sqref="E53">
    <cfRule type="expression" dxfId="8" priority="16" stopIfTrue="1">
      <formula>$F$53="超过30%"</formula>
    </cfRule>
  </conditionalFormatting>
  <conditionalFormatting sqref="G53">
    <cfRule type="expression" dxfId="8" priority="12" stopIfTrue="1">
      <formula>$H$53="超过30%"</formula>
    </cfRule>
  </conditionalFormatting>
  <conditionalFormatting sqref="I53">
    <cfRule type="expression" dxfId="8" priority="7" stopIfTrue="1">
      <formula>$J$53="超过30%"</formula>
    </cfRule>
  </conditionalFormatting>
  <conditionalFormatting sqref="J53">
    <cfRule type="containsText" dxfId="9" priority="10" stopIfTrue="1" operator="between" text="超过">
      <formula>NOT(ISERROR(SEARCH("超过",J53)))</formula>
    </cfRule>
  </conditionalFormatting>
  <conditionalFormatting sqref="E54">
    <cfRule type="expression" dxfId="8" priority="15" stopIfTrue="1">
      <formula>$F$54="超过20%"</formula>
    </cfRule>
  </conditionalFormatting>
  <conditionalFormatting sqref="G54">
    <cfRule type="expression" dxfId="8" priority="11" stopIfTrue="1">
      <formula>$H$54="超过20%"</formula>
    </cfRule>
  </conditionalFormatting>
  <conditionalFormatting sqref="I54">
    <cfRule type="expression" dxfId="8" priority="6" stopIfTrue="1">
      <formula>$J$53+$J$54="超过20%"</formula>
    </cfRule>
  </conditionalFormatting>
  <conditionalFormatting sqref="J54">
    <cfRule type="containsText" dxfId="9" priority="8" stopIfTrue="1" operator="between" text="超过">
      <formula>NOT(ISERROR(SEARCH("超过",J54)))</formula>
    </cfRule>
  </conditionalFormatting>
  <conditionalFormatting sqref="E55">
    <cfRule type="expression" dxfId="8" priority="14" stopIfTrue="1">
      <formula>$F$55="超过30%"</formula>
    </cfRule>
  </conditionalFormatting>
  <conditionalFormatting sqref="F55">
    <cfRule type="containsText" dxfId="9" priority="18" stopIfTrue="1" operator="between" text="超过">
      <formula>NOT(ISERROR(SEARCH("超过",F55)))</formula>
    </cfRule>
  </conditionalFormatting>
  <conditionalFormatting sqref="G55">
    <cfRule type="expression" dxfId="8" priority="13" stopIfTrue="1">
      <formula>$H$55="超过30%"</formula>
    </cfRule>
  </conditionalFormatting>
  <conditionalFormatting sqref="H55">
    <cfRule type="containsText" dxfId="9" priority="19" stopIfTrue="1" operator="between" text="超过">
      <formula>NOT(ISERROR(SEARCH("超过",H55)))</formula>
    </cfRule>
  </conditionalFormatting>
  <conditionalFormatting sqref="I55">
    <cfRule type="expression" dxfId="8" priority="5" stopIfTrue="1">
      <formula>$J$55="超过30%"</formula>
    </cfRule>
  </conditionalFormatting>
  <conditionalFormatting sqref="J55">
    <cfRule type="containsText" dxfId="9" priority="9" stopIfTrue="1" operator="between" text="超过">
      <formula>NOT(ISERROR(SEARCH("超过",J55)))</formula>
    </cfRule>
  </conditionalFormatting>
  <conditionalFormatting sqref="F7:F47 H7:H47 J7:J47">
    <cfRule type="cellIs" dxfId="10" priority="1" operator="notEqual">
      <formula>100</formula>
    </cfRule>
  </conditionalFormatting>
  <conditionalFormatting sqref="F53 H53">
    <cfRule type="containsText" dxfId="9" priority="20" stopIfTrue="1" operator="between" text="超过">
      <formula>NOT(ISERROR(SEARCH("超过",F53)))</formula>
    </cfRule>
  </conditionalFormatting>
  <conditionalFormatting sqref="F54 H54">
    <cfRule type="containsText" dxfId="9" priority="17" stopIfTrue="1" operator="between" text="超过">
      <formula>NOT(ISERROR(SEARCH("超过",F54)))</formula>
    </cfRule>
  </conditionalFormatting>
  <dataValidations count="25">
    <dataValidation type="list" allowBlank="1" showInputMessage="1" showErrorMessage="1" sqref="C38 E38 G38 I38">
      <formula1>写字楼等级</formula1>
    </dataValidation>
    <dataValidation type="list" allowBlank="1" showInputMessage="1" showErrorMessage="1" sqref="C8 E8 G8 I8">
      <formula1>办公交易情况</formula1>
    </dataValidation>
    <dataValidation type="list" allowBlank="1" showInputMessage="1" showErrorMessage="1" sqref="C1">
      <formula1>"估价对象,仅计算典型户型"</formula1>
    </dataValidation>
    <dataValidation type="list" allowBlank="1" showInputMessage="1" showErrorMessage="1" sqref="E1">
      <formula1>"售价,租金"</formula1>
    </dataValidation>
    <dataValidation type="list" allowBlank="1" showInputMessage="1" showErrorMessage="1" sqref="C16 E16 G16 I16">
      <formula1>办公集聚程度</formula1>
    </dataValidation>
    <dataValidation type="list" allowBlank="1" showInputMessage="1" showErrorMessage="1" sqref="C43 E43 G43 I43">
      <formula1>办公内部装修</formula1>
    </dataValidation>
    <dataValidation type="list" allowBlank="1" showInputMessage="1" showErrorMessage="1" sqref="E9 G9 I9">
      <formula1>办公用途</formula1>
    </dataValidation>
    <dataValidation type="list" allowBlank="1" showInputMessage="1" showErrorMessage="1" sqref="D2">
      <formula1>"需扣减承租人权益,——"</formula1>
    </dataValidation>
    <dataValidation type="list" allowBlank="1" showInputMessage="1" showErrorMessage="1" sqref="C36 E36 G36 I36">
      <formula1>办公公共部分装修</formula1>
    </dataValidation>
    <dataValidation type="list" allowBlank="1" showInputMessage="1" showErrorMessage="1" sqref="G2">
      <formula1>估价方法</formula1>
    </dataValidation>
    <dataValidation type="list" allowBlank="1" showInputMessage="1" showErrorMessage="1" sqref="C10 E10 G10 I10">
      <formula1>土地年限区间</formula1>
    </dataValidation>
    <dataValidation type="list" allowBlank="1" showInputMessage="1" showErrorMessage="1" sqref="C18 E18 G18 I18">
      <formula1>交通便捷度</formula1>
    </dataValidation>
    <dataValidation type="list" allowBlank="1" showInputMessage="1" showErrorMessage="1" sqref="C20 E20 G20 I20">
      <formula1>公共配套设施</formula1>
    </dataValidation>
    <dataValidation type="list" allowBlank="1" showInputMessage="1" showErrorMessage="1" sqref="C22 E22 G22 I22">
      <formula1>基础设施水平</formula1>
    </dataValidation>
    <dataValidation type="list" allowBlank="1" showInputMessage="1" showErrorMessage="1" sqref="C24 E24 G24 I24">
      <formula1>环境</formula1>
    </dataValidation>
    <dataValidation type="list" allowBlank="1" showInputMessage="1" showErrorMessage="1" sqref="C26 E26 G26 I26">
      <formula1>办公道路级别</formula1>
    </dataValidation>
    <dataValidation type="list" allowBlank="1" showInputMessage="1" showErrorMessage="1" sqref="C27 E27 G27 I27">
      <formula1>办公楼层</formula1>
    </dataValidation>
    <dataValidation type="list" allowBlank="1" showInputMessage="1" showErrorMessage="1" sqref="C28 E28 G28 I28">
      <formula1>办公朝向</formula1>
    </dataValidation>
    <dataValidation type="list" allowBlank="1" showInputMessage="1" showErrorMessage="1" sqref="C33 E33 G33 I33">
      <formula1>办公建筑类型</formula1>
    </dataValidation>
    <dataValidation type="list" allowBlank="1" showInputMessage="1" showErrorMessage="1" sqref="C40 E40 G40 I40">
      <formula1>办公基础设施水平</formula1>
    </dataValidation>
    <dataValidation type="list" allowBlank="1" showInputMessage="1" showErrorMessage="1" sqref="C35 E35 G35 I35">
      <formula1>办公建筑结构</formula1>
    </dataValidation>
    <dataValidation type="list" allowBlank="1" showInputMessage="1" showErrorMessage="1" sqref="C39 E39 G39 I39">
      <formula1>办公物业管理</formula1>
    </dataValidation>
    <dataValidation type="list" allowBlank="1" showInputMessage="1" showErrorMessage="1" sqref="C41 E41 G41 I41">
      <formula1>办公层高</formula1>
    </dataValidation>
    <dataValidation type="list" allowBlank="1" showInputMessage="1" showErrorMessage="1" sqref="C44 E44 G44 I44">
      <formula1>内部装修维护情况</formula1>
    </dataValidation>
    <dataValidation type="list" allowBlank="1" showInputMessage="1" showErrorMessage="1" sqref="D49">
      <formula1>"简单平均,加权平均"</formula1>
    </dataValidation>
  </dataValidations>
  <pageMargins left="0.708661417322835" right="0.708661417322835" top="1.06299212598425" bottom="0.94488188976378" header="0.31496062992126" footer="0.31496062992126"/>
  <pageSetup paperSize="9" scale="52" fitToHeight="0" orientation="portrait"/>
  <headerFooter/>
  <legacyDrawing r:id="rId2"/>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7">
    <tabColor rgb="FF92D050"/>
    <pageSetUpPr fitToPage="1"/>
  </sheetPr>
  <dimension ref="A1:AC113"/>
  <sheetViews>
    <sheetView view="pageBreakPreview" zoomScale="70" zoomScaleNormal="60" workbookViewId="0">
      <selection activeCell="C13" sqref="C13:H13"/>
    </sheetView>
  </sheetViews>
  <sheetFormatPr defaultColWidth="9" defaultRowHeight="14.25"/>
  <cols>
    <col min="1" max="1" width="10.5" style="713" customWidth="1"/>
    <col min="2" max="2" width="15.75" style="713" customWidth="1"/>
    <col min="3" max="3" width="14.375" style="713" customWidth="1"/>
    <col min="4" max="4" width="12.25" style="713" customWidth="1"/>
    <col min="5" max="5" width="14.375" style="713" customWidth="1"/>
    <col min="6" max="6" width="12.25" style="713" customWidth="1"/>
    <col min="7" max="7" width="14.5" style="713" customWidth="1"/>
    <col min="8" max="8" width="12.25" style="713" customWidth="1"/>
    <col min="9" max="9" width="14.5" style="713" customWidth="1"/>
    <col min="10" max="10" width="12.25" style="713" customWidth="1"/>
    <col min="11" max="11" width="12.25" style="714" customWidth="1"/>
    <col min="12" max="12" width="12.25" style="715" customWidth="1"/>
    <col min="13" max="15" width="12.25" style="713" customWidth="1"/>
    <col min="16" max="16" width="4.75" style="713" customWidth="1"/>
    <col min="17" max="17" width="19.5" style="713" customWidth="1"/>
    <col min="18" max="22" width="6.125" style="713" customWidth="1"/>
    <col min="23" max="23" width="5.75" style="713" customWidth="1"/>
    <col min="24" max="24" width="4.25" style="713" customWidth="1"/>
    <col min="25" max="25" width="3.5" style="713" customWidth="1"/>
    <col min="26" max="26" width="19.75" style="713" customWidth="1"/>
    <col min="27" max="28" width="9.375" style="713" customWidth="1"/>
    <col min="29" max="16384" width="9" style="713"/>
  </cols>
  <sheetData>
    <row r="1" s="1417" customFormat="1" ht="28.5" customHeight="1" spans="1:29">
      <c r="A1" s="1418" t="s">
        <v>1026</v>
      </c>
      <c r="B1" s="1483" t="s">
        <v>1489</v>
      </c>
      <c r="C1" s="1562"/>
      <c r="D1" s="1421"/>
      <c r="E1" s="1422"/>
      <c r="F1" s="1423" t="s">
        <v>1030</v>
      </c>
      <c r="G1" s="1421"/>
      <c r="H1" s="1421"/>
      <c r="I1" s="1421"/>
      <c r="J1" s="1421"/>
      <c r="K1" s="1481"/>
      <c r="L1" s="1482"/>
      <c r="M1" s="1483"/>
      <c r="N1" s="1483"/>
      <c r="O1" s="1483"/>
      <c r="P1" s="1484"/>
      <c r="Q1" s="1484"/>
      <c r="R1" s="1484"/>
      <c r="S1" s="1484"/>
      <c r="T1" s="1484"/>
      <c r="U1" s="1484"/>
      <c r="V1" s="1484"/>
      <c r="W1" s="1484"/>
      <c r="X1" s="1484"/>
      <c r="Y1" s="1484"/>
      <c r="Z1" s="1484"/>
      <c r="AA1" s="1484"/>
      <c r="AB1" s="1484"/>
      <c r="AC1" s="1495"/>
    </row>
    <row r="2" s="706" customFormat="1" ht="28.5" customHeight="1" spans="1:29">
      <c r="A2" s="1424" t="s">
        <v>868</v>
      </c>
      <c r="B2" s="1425" t="e">
        <f ca="1">IF(D2="——",IF(C2="元",ROUND(C43*D3,0),ROUND(C43*D3/10000,0)),IF(C2="元",ROUND(C43*D3,0),ROUND(C43*D3/10000,0))-E2)</f>
        <v>#DIV/0!</v>
      </c>
      <c r="C2" s="1426" t="str">
        <f>'数据-取费表'!B3</f>
        <v>元</v>
      </c>
      <c r="D2" s="1427"/>
      <c r="E2" s="1563" t="e">
        <f ca="1">SUMIF(INDIRECT("'"&amp;G2&amp;"'"&amp;"!A:A"),"承租人权益价值",INDIRECT("'"&amp;G2&amp;"'"&amp;"!c:c"))</f>
        <v>#REF!</v>
      </c>
      <c r="F2" s="1429" t="str">
        <f>C2</f>
        <v>元</v>
      </c>
      <c r="G2" s="1430"/>
      <c r="H2" s="724"/>
      <c r="I2" s="724"/>
      <c r="J2" s="724"/>
      <c r="K2" s="724"/>
      <c r="L2" s="880"/>
      <c r="M2" s="881"/>
      <c r="N2" s="881"/>
      <c r="O2" s="881"/>
      <c r="P2" s="878"/>
      <c r="Q2" s="878"/>
      <c r="R2" s="878"/>
      <c r="S2" s="878"/>
      <c r="T2" s="878"/>
      <c r="U2" s="878"/>
      <c r="V2" s="878"/>
      <c r="W2" s="878"/>
      <c r="X2" s="878"/>
      <c r="Y2" s="878"/>
      <c r="Z2" s="878"/>
      <c r="AA2" s="878"/>
      <c r="AB2" s="878"/>
      <c r="AC2" s="958"/>
    </row>
    <row r="3" s="706" customFormat="1" ht="28.5" customHeight="1" spans="1:29">
      <c r="A3" s="726" t="s">
        <v>869</v>
      </c>
      <c r="B3" s="727" t="e">
        <f ca="1">ROUND(IF(D2="——",C43,IF(C2="万元",B2*10000/D3,B2/D3)),0)</f>
        <v>#DIV/0!</v>
      </c>
      <c r="C3" s="1431" t="s">
        <v>1031</v>
      </c>
      <c r="D3" s="1432">
        <f>IF(C1="仅计算典型户型",'数据-取费表'!E5,'数据-取费表'!B5)</f>
        <v>246.59</v>
      </c>
      <c r="E3" s="724"/>
      <c r="F3" s="725"/>
      <c r="G3" s="724"/>
      <c r="H3" s="724"/>
      <c r="I3" s="724"/>
      <c r="J3" s="724"/>
      <c r="K3" s="879"/>
      <c r="L3" s="880"/>
      <c r="M3" s="881"/>
      <c r="N3" s="881"/>
      <c r="O3" s="881"/>
      <c r="P3" s="878"/>
      <c r="Q3" s="878"/>
      <c r="R3" s="878"/>
      <c r="S3" s="878"/>
      <c r="T3" s="878"/>
      <c r="U3" s="878"/>
      <c r="V3" s="878"/>
      <c r="W3" s="878"/>
      <c r="X3" s="878"/>
      <c r="Y3" s="878"/>
      <c r="Z3" s="878"/>
      <c r="AA3" s="878"/>
      <c r="AB3" s="957"/>
      <c r="AC3" s="958"/>
    </row>
    <row r="4" ht="15" spans="1:29">
      <c r="A4" s="728" t="s">
        <v>1032</v>
      </c>
      <c r="B4" s="729"/>
      <c r="C4" s="730" t="s">
        <v>1033</v>
      </c>
      <c r="D4" s="731"/>
      <c r="E4" s="732" t="s">
        <v>1034</v>
      </c>
      <c r="F4" s="733"/>
      <c r="G4" s="730" t="s">
        <v>1035</v>
      </c>
      <c r="H4" s="731"/>
      <c r="I4" s="730" t="s">
        <v>1036</v>
      </c>
      <c r="J4" s="731"/>
      <c r="K4" s="882" t="s">
        <v>1037</v>
      </c>
      <c r="L4" s="883"/>
      <c r="M4" s="884"/>
      <c r="N4" s="884"/>
      <c r="O4" s="884"/>
      <c r="P4" s="885" t="s">
        <v>1038</v>
      </c>
      <c r="Q4" s="931"/>
      <c r="R4" s="932" t="s">
        <v>1034</v>
      </c>
      <c r="S4" s="933"/>
      <c r="T4" s="932" t="s">
        <v>1035</v>
      </c>
      <c r="U4" s="933"/>
      <c r="V4" s="851" t="s">
        <v>1036</v>
      </c>
      <c r="W4" s="851"/>
      <c r="X4" s="934"/>
      <c r="Y4" s="932" t="s">
        <v>1038</v>
      </c>
      <c r="Z4" s="933"/>
      <c r="AA4" s="959" t="s">
        <v>1034</v>
      </c>
      <c r="AB4" s="934" t="s">
        <v>1035</v>
      </c>
      <c r="AC4" s="959" t="s">
        <v>1036</v>
      </c>
    </row>
    <row r="5" ht="15" spans="1:29">
      <c r="A5" s="734"/>
      <c r="B5" s="735"/>
      <c r="C5" s="736" t="s">
        <v>1039</v>
      </c>
      <c r="D5" s="737"/>
      <c r="E5" s="738" t="s">
        <v>1470</v>
      </c>
      <c r="F5" s="739"/>
      <c r="G5" s="736" t="s">
        <v>1471</v>
      </c>
      <c r="H5" s="737"/>
      <c r="I5" s="736" t="s">
        <v>1472</v>
      </c>
      <c r="J5" s="737"/>
      <c r="K5" s="882"/>
      <c r="L5" s="883"/>
      <c r="M5" s="884"/>
      <c r="N5" s="884"/>
      <c r="O5" s="884"/>
      <c r="P5" s="886"/>
      <c r="Q5" s="935"/>
      <c r="R5" s="936"/>
      <c r="S5" s="937"/>
      <c r="T5" s="936"/>
      <c r="U5" s="937"/>
      <c r="V5" s="851"/>
      <c r="W5" s="851"/>
      <c r="X5" s="934"/>
      <c r="Y5" s="936"/>
      <c r="Z5" s="937"/>
      <c r="AA5" s="934"/>
      <c r="AB5" s="934"/>
      <c r="AC5" s="934"/>
    </row>
    <row r="6" ht="15.75" spans="1:29">
      <c r="A6" s="740"/>
      <c r="B6" s="741"/>
      <c r="C6" s="742" t="s">
        <v>1041</v>
      </c>
      <c r="D6" s="743"/>
      <c r="E6" s="744" t="s">
        <v>1041</v>
      </c>
      <c r="F6" s="745"/>
      <c r="G6" s="742" t="s">
        <v>1041</v>
      </c>
      <c r="H6" s="743"/>
      <c r="I6" s="742" t="s">
        <v>1041</v>
      </c>
      <c r="J6" s="743"/>
      <c r="K6" s="882" t="s">
        <v>1042</v>
      </c>
      <c r="L6" s="883"/>
      <c r="M6" s="884"/>
      <c r="N6" s="884"/>
      <c r="O6" s="884"/>
      <c r="P6" s="887"/>
      <c r="Q6" s="938"/>
      <c r="R6" s="936"/>
      <c r="S6" s="937"/>
      <c r="T6" s="939"/>
      <c r="U6" s="940"/>
      <c r="V6" s="851"/>
      <c r="W6" s="851"/>
      <c r="X6" s="934"/>
      <c r="Y6" s="939"/>
      <c r="Z6" s="940"/>
      <c r="AA6" s="960"/>
      <c r="AB6" s="960"/>
      <c r="AC6" s="960"/>
    </row>
    <row r="7" s="707" customFormat="1" ht="15.75" spans="1:29">
      <c r="A7" s="746" t="s">
        <v>1043</v>
      </c>
      <c r="B7" s="747"/>
      <c r="C7" s="748">
        <f>'数据-取费表'!B2</f>
        <v>44567</v>
      </c>
      <c r="D7" s="749">
        <v>100</v>
      </c>
      <c r="E7" s="750"/>
      <c r="F7" s="751">
        <f>SUMIF(52:52,YEAR(E7)&amp;"-"&amp;MONTH(E7),53:53)</f>
        <v>0</v>
      </c>
      <c r="G7" s="750"/>
      <c r="H7" s="749">
        <f>SUMIF(52:52,YEAR(G7)&amp;"-"&amp;MONTH(G7),53:53)</f>
        <v>0</v>
      </c>
      <c r="I7" s="750"/>
      <c r="J7" s="749">
        <f>SUMIF(52:52,YEAR(I7)&amp;"-"&amp;MONTH(I7),53:53)</f>
        <v>0</v>
      </c>
      <c r="K7" s="888"/>
      <c r="L7" s="889"/>
      <c r="M7" s="890"/>
      <c r="N7" s="890"/>
      <c r="O7" s="890"/>
      <c r="P7" s="891" t="s">
        <v>1044</v>
      </c>
      <c r="Q7" s="941"/>
      <c r="R7" s="942" t="s">
        <v>1045</v>
      </c>
      <c r="S7" s="943">
        <f t="shared" ref="S7:S15" si="0">F7</f>
        <v>0</v>
      </c>
      <c r="T7" s="942" t="s">
        <v>1045</v>
      </c>
      <c r="U7" s="943">
        <f t="shared" ref="U7:U15" si="1">H7</f>
        <v>0</v>
      </c>
      <c r="V7" s="942" t="s">
        <v>1045</v>
      </c>
      <c r="W7" s="943">
        <f t="shared" ref="W7:W15" si="2">J7</f>
        <v>0</v>
      </c>
      <c r="X7" s="944"/>
      <c r="Y7" s="891" t="s">
        <v>1044</v>
      </c>
      <c r="Z7" s="945"/>
      <c r="AA7" s="961" t="e">
        <f>D7/F7</f>
        <v>#DIV/0!</v>
      </c>
      <c r="AB7" s="961" t="e">
        <f>D7/H7</f>
        <v>#DIV/0!</v>
      </c>
      <c r="AC7" s="961" t="e">
        <f>D7/J7</f>
        <v>#DIV/0!</v>
      </c>
    </row>
    <row r="8" s="707" customFormat="1" ht="15.75" spans="1:29">
      <c r="A8" s="746" t="s">
        <v>1046</v>
      </c>
      <c r="B8" s="747"/>
      <c r="C8" s="753" t="s">
        <v>1048</v>
      </c>
      <c r="D8" s="749">
        <v>100</v>
      </c>
      <c r="E8" s="753"/>
      <c r="F8" s="751">
        <f>SUMIF(55:55,E8,56:56)-SUMIF(55:55,C8,56:56)+100</f>
        <v>0</v>
      </c>
      <c r="G8" s="753"/>
      <c r="H8" s="749">
        <f>SUMIF(55:55,G8,56:56)-SUMIF(55:55,C8,56:56)+100</f>
        <v>0</v>
      </c>
      <c r="I8" s="753"/>
      <c r="J8" s="749">
        <f>SUMIF(55:55,I8,56:56)-SUMIF(55:55,C8,56:56)+100</f>
        <v>0</v>
      </c>
      <c r="K8" s="888"/>
      <c r="L8" s="889"/>
      <c r="M8" s="890"/>
      <c r="N8" s="890"/>
      <c r="O8" s="890"/>
      <c r="P8" s="891" t="s">
        <v>1049</v>
      </c>
      <c r="Q8" s="945"/>
      <c r="R8" s="942" t="s">
        <v>1045</v>
      </c>
      <c r="S8" s="943">
        <f t="shared" si="0"/>
        <v>0</v>
      </c>
      <c r="T8" s="942" t="s">
        <v>1045</v>
      </c>
      <c r="U8" s="943">
        <f t="shared" si="1"/>
        <v>0</v>
      </c>
      <c r="V8" s="942" t="s">
        <v>1045</v>
      </c>
      <c r="W8" s="943">
        <f t="shared" si="2"/>
        <v>0</v>
      </c>
      <c r="X8" s="944"/>
      <c r="Y8" s="891" t="s">
        <v>1049</v>
      </c>
      <c r="Z8" s="945"/>
      <c r="AA8" s="961" t="e">
        <f t="shared" ref="AA8:AA40" si="3">D8/F8</f>
        <v>#DIV/0!</v>
      </c>
      <c r="AB8" s="961" t="e">
        <f t="shared" ref="AB8:AB40" si="4">D8/H8</f>
        <v>#DIV/0!</v>
      </c>
      <c r="AC8" s="961" t="e">
        <f t="shared" ref="AC8:AC40" si="5">D8/J8</f>
        <v>#DIV/0!</v>
      </c>
    </row>
    <row r="9" s="707" customFormat="1" spans="1:29">
      <c r="A9" s="754" t="s">
        <v>1050</v>
      </c>
      <c r="B9" s="755" t="s">
        <v>1051</v>
      </c>
      <c r="C9" s="1433"/>
      <c r="D9" s="757">
        <v>100</v>
      </c>
      <c r="E9" s="1434"/>
      <c r="F9" s="757">
        <f>SUMIF(57:57,E9,58:58)-SUMIF(57:57,C9,58:58)+100</f>
        <v>100</v>
      </c>
      <c r="G9" s="1510"/>
      <c r="H9" s="757">
        <f>SUMIF(57:57,G9,58:58)-SUMIF(57:57,C9,58:58)+100</f>
        <v>100</v>
      </c>
      <c r="I9" s="1510"/>
      <c r="J9" s="757">
        <f>SUMIF(57:57,I9,58:58)-SUMIF(57:57,C9,58:58)+100</f>
        <v>100</v>
      </c>
      <c r="K9" s="888"/>
      <c r="L9" s="889"/>
      <c r="M9" s="890"/>
      <c r="N9" s="890"/>
      <c r="O9" s="892"/>
      <c r="P9" s="893" t="s">
        <v>1052</v>
      </c>
      <c r="Q9" s="946" t="str">
        <f t="shared" ref="Q9:Q15" si="6">B9</f>
        <v>用途</v>
      </c>
      <c r="R9" s="942" t="s">
        <v>1045</v>
      </c>
      <c r="S9" s="943">
        <f t="shared" si="0"/>
        <v>100</v>
      </c>
      <c r="T9" s="942" t="s">
        <v>1045</v>
      </c>
      <c r="U9" s="943">
        <f t="shared" si="1"/>
        <v>100</v>
      </c>
      <c r="V9" s="942" t="s">
        <v>1045</v>
      </c>
      <c r="W9" s="943">
        <f t="shared" si="2"/>
        <v>100</v>
      </c>
      <c r="X9" s="944"/>
      <c r="Y9" s="946" t="s">
        <v>1053</v>
      </c>
      <c r="Z9" s="962" t="str">
        <f t="shared" ref="Z9:Z15" si="7">Q9</f>
        <v>用途</v>
      </c>
      <c r="AA9" s="961">
        <f t="shared" si="3"/>
        <v>1</v>
      </c>
      <c r="AB9" s="961">
        <f t="shared" si="4"/>
        <v>1</v>
      </c>
      <c r="AC9" s="961">
        <f t="shared" si="5"/>
        <v>1</v>
      </c>
    </row>
    <row r="10" s="708" customFormat="1" ht="27" spans="1:29">
      <c r="A10" s="758"/>
      <c r="B10" s="759" t="s">
        <v>1054</v>
      </c>
      <c r="C10" s="1435"/>
      <c r="D10" s="761">
        <v>100</v>
      </c>
      <c r="E10" s="1435"/>
      <c r="F10" s="761">
        <f>SUMIF(59:59,E10,60:60)-SUMIF(59:59,C10,60:60)+100</f>
        <v>100</v>
      </c>
      <c r="G10" s="1436"/>
      <c r="H10" s="761">
        <f>SUMIF(59:59,G10,60:60)-SUMIF(59:59,C10,60:60)+100</f>
        <v>100</v>
      </c>
      <c r="I10" s="1435"/>
      <c r="J10" s="761">
        <f>SUMIF(59:59,I10,60:60)-SUMIF(59:59,C10,60:60)+100</f>
        <v>100</v>
      </c>
      <c r="K10" s="909"/>
      <c r="L10" s="895"/>
      <c r="M10" s="896"/>
      <c r="N10" s="896"/>
      <c r="O10" s="897"/>
      <c r="P10" s="893"/>
      <c r="Q10" s="946" t="str">
        <f t="shared" si="6"/>
        <v>土地使用年限（年）</v>
      </c>
      <c r="R10" s="942" t="s">
        <v>1045</v>
      </c>
      <c r="S10" s="943">
        <f t="shared" si="0"/>
        <v>100</v>
      </c>
      <c r="T10" s="942" t="s">
        <v>1045</v>
      </c>
      <c r="U10" s="943">
        <f t="shared" si="1"/>
        <v>100</v>
      </c>
      <c r="V10" s="942" t="s">
        <v>1045</v>
      </c>
      <c r="W10" s="943">
        <f t="shared" si="2"/>
        <v>100</v>
      </c>
      <c r="X10" s="944"/>
      <c r="Y10" s="946"/>
      <c r="Z10" s="962" t="str">
        <f t="shared" si="7"/>
        <v>土地使用年限（年）</v>
      </c>
      <c r="AA10" s="961">
        <f t="shared" si="3"/>
        <v>1</v>
      </c>
      <c r="AB10" s="961">
        <f t="shared" si="4"/>
        <v>1</v>
      </c>
      <c r="AC10" s="961">
        <f t="shared" si="5"/>
        <v>1</v>
      </c>
    </row>
    <row r="11" ht="15" spans="1:29">
      <c r="A11" s="762"/>
      <c r="B11" s="759" t="s">
        <v>1056</v>
      </c>
      <c r="C11" s="763"/>
      <c r="D11" s="761">
        <v>100</v>
      </c>
      <c r="E11" s="763"/>
      <c r="F11" s="761" t="e">
        <f>LOOKUP(E11,62:62,63:63)-LOOKUP(C11,62:62,63:63)+100</f>
        <v>#N/A</v>
      </c>
      <c r="G11" s="764"/>
      <c r="H11" s="761" t="e">
        <f>LOOKUP(G11,62:62,63:63)-LOOKUP(C11,62:62,63:63)+100</f>
        <v>#N/A</v>
      </c>
      <c r="I11" s="763"/>
      <c r="J11" s="761" t="e">
        <f>LOOKUP(I11,62:62,63:63)-LOOKUP(C11,62:62,63:63)+100</f>
        <v>#N/A</v>
      </c>
      <c r="K11" s="909"/>
      <c r="L11" s="899"/>
      <c r="M11" s="884"/>
      <c r="N11" s="884"/>
      <c r="O11" s="900"/>
      <c r="P11" s="893"/>
      <c r="Q11" s="946" t="str">
        <f t="shared" si="6"/>
        <v>容积率</v>
      </c>
      <c r="R11" s="942" t="s">
        <v>1045</v>
      </c>
      <c r="S11" s="943" t="e">
        <f t="shared" si="0"/>
        <v>#N/A</v>
      </c>
      <c r="T11" s="942" t="s">
        <v>1045</v>
      </c>
      <c r="U11" s="943" t="e">
        <f t="shared" si="1"/>
        <v>#N/A</v>
      </c>
      <c r="V11" s="942" t="s">
        <v>1045</v>
      </c>
      <c r="W11" s="943" t="e">
        <f t="shared" si="2"/>
        <v>#N/A</v>
      </c>
      <c r="X11" s="944"/>
      <c r="Y11" s="946"/>
      <c r="Z11" s="962" t="str">
        <f t="shared" si="7"/>
        <v>容积率</v>
      </c>
      <c r="AA11" s="961" t="e">
        <f t="shared" si="3"/>
        <v>#N/A</v>
      </c>
      <c r="AB11" s="961" t="e">
        <f t="shared" si="4"/>
        <v>#N/A</v>
      </c>
      <c r="AC11" s="961" t="e">
        <f t="shared" si="5"/>
        <v>#N/A</v>
      </c>
    </row>
    <row r="12" s="707" customFormat="1" ht="15" spans="1:29">
      <c r="A12" s="765"/>
      <c r="B12" s="766">
        <v>111</v>
      </c>
      <c r="C12" s="760"/>
      <c r="D12" s="767">
        <v>100</v>
      </c>
      <c r="E12" s="770"/>
      <c r="F12" s="761">
        <f>SUMIF(64:64,E12,65:65)-SUMIF(64:64,C12,65:65)+100</f>
        <v>100</v>
      </c>
      <c r="G12" s="1564"/>
      <c r="H12" s="761">
        <f>SUMIF(64:64,G12,65:65)-SUMIF(64:64,C12,65:65)+100</f>
        <v>100</v>
      </c>
      <c r="I12" s="1437"/>
      <c r="J12" s="761">
        <f>SUMIF(64:64,I12,65:65)-SUMIF(64:64,C12,65:65)+100</f>
        <v>100</v>
      </c>
      <c r="K12" s="908"/>
      <c r="L12" s="889"/>
      <c r="M12" s="890"/>
      <c r="N12" s="890"/>
      <c r="O12" s="892"/>
      <c r="P12" s="893"/>
      <c r="Q12" s="946">
        <f t="shared" si="6"/>
        <v>111</v>
      </c>
      <c r="R12" s="942" t="s">
        <v>1045</v>
      </c>
      <c r="S12" s="943">
        <f t="shared" si="0"/>
        <v>100</v>
      </c>
      <c r="T12" s="942" t="s">
        <v>1045</v>
      </c>
      <c r="U12" s="943">
        <f t="shared" si="1"/>
        <v>100</v>
      </c>
      <c r="V12" s="942" t="s">
        <v>1045</v>
      </c>
      <c r="W12" s="943">
        <f t="shared" si="2"/>
        <v>100</v>
      </c>
      <c r="X12" s="944"/>
      <c r="Y12" s="946"/>
      <c r="Z12" s="962">
        <f t="shared" si="7"/>
        <v>111</v>
      </c>
      <c r="AA12" s="961">
        <f t="shared" si="3"/>
        <v>1</v>
      </c>
      <c r="AB12" s="961">
        <f t="shared" si="4"/>
        <v>1</v>
      </c>
      <c r="AC12" s="961">
        <f t="shared" si="5"/>
        <v>1</v>
      </c>
    </row>
    <row r="13" ht="15" spans="1:29">
      <c r="A13" s="762"/>
      <c r="B13" s="766">
        <v>111</v>
      </c>
      <c r="C13" s="770"/>
      <c r="D13" s="771">
        <v>100</v>
      </c>
      <c r="E13" s="770"/>
      <c r="F13" s="761">
        <f>SUMIF(66:66,E13,67:67)-SUMIF(66:66,C13,67:67)+100</f>
        <v>100</v>
      </c>
      <c r="G13" s="1564"/>
      <c r="H13" s="771">
        <f>SUMIF(66:66,G13,67:67)-SUMIF(66:66,C13,67:67)+100</f>
        <v>100</v>
      </c>
      <c r="I13" s="1437"/>
      <c r="J13" s="771">
        <f>SUMIF(66:66,I13,67:67)-SUMIF(66:66,C13,67:67)+100</f>
        <v>100</v>
      </c>
      <c r="K13" s="908"/>
      <c r="L13" s="901"/>
      <c r="M13" s="884"/>
      <c r="N13" s="884"/>
      <c r="O13" s="900"/>
      <c r="P13" s="893"/>
      <c r="Q13" s="946">
        <f t="shared" si="6"/>
        <v>111</v>
      </c>
      <c r="R13" s="942" t="s">
        <v>1045</v>
      </c>
      <c r="S13" s="943">
        <f t="shared" si="0"/>
        <v>100</v>
      </c>
      <c r="T13" s="942" t="s">
        <v>1045</v>
      </c>
      <c r="U13" s="943">
        <f t="shared" si="1"/>
        <v>100</v>
      </c>
      <c r="V13" s="942" t="s">
        <v>1045</v>
      </c>
      <c r="W13" s="943">
        <f t="shared" si="2"/>
        <v>100</v>
      </c>
      <c r="X13" s="944"/>
      <c r="Y13" s="946"/>
      <c r="Z13" s="962">
        <f t="shared" si="7"/>
        <v>111</v>
      </c>
      <c r="AA13" s="961">
        <f t="shared" si="3"/>
        <v>1</v>
      </c>
      <c r="AB13" s="961">
        <f t="shared" si="4"/>
        <v>1</v>
      </c>
      <c r="AC13" s="961">
        <f t="shared" si="5"/>
        <v>1</v>
      </c>
    </row>
    <row r="14" ht="15.75" spans="1:29">
      <c r="A14" s="772"/>
      <c r="B14" s="773">
        <v>111</v>
      </c>
      <c r="C14" s="774"/>
      <c r="D14" s="775">
        <v>100</v>
      </c>
      <c r="E14" s="774"/>
      <c r="F14" s="775">
        <f>SUMIF(68:68,E14,69:69)-SUMIF(68:68,C14,69:69)+100</f>
        <v>100</v>
      </c>
      <c r="G14" s="1564"/>
      <c r="H14" s="775">
        <f>SUMIF(68:68,G14,69:69)-SUMIF(68:68,C14,69:69)+100</f>
        <v>100</v>
      </c>
      <c r="I14" s="1437"/>
      <c r="J14" s="775">
        <f>SUMIF(68:68,I14,69:69)-SUMIF(68:68,C14,69:69)+100</f>
        <v>100</v>
      </c>
      <c r="K14" s="908"/>
      <c r="L14" s="901"/>
      <c r="M14" s="884"/>
      <c r="N14" s="884"/>
      <c r="O14" s="900"/>
      <c r="P14" s="893"/>
      <c r="Q14" s="946">
        <f t="shared" si="6"/>
        <v>111</v>
      </c>
      <c r="R14" s="942" t="s">
        <v>1045</v>
      </c>
      <c r="S14" s="943">
        <f t="shared" si="0"/>
        <v>100</v>
      </c>
      <c r="T14" s="942" t="s">
        <v>1045</v>
      </c>
      <c r="U14" s="943">
        <f t="shared" si="1"/>
        <v>100</v>
      </c>
      <c r="V14" s="942" t="s">
        <v>1045</v>
      </c>
      <c r="W14" s="943">
        <f t="shared" si="2"/>
        <v>100</v>
      </c>
      <c r="X14" s="944"/>
      <c r="Y14" s="946"/>
      <c r="Z14" s="962">
        <f t="shared" si="7"/>
        <v>111</v>
      </c>
      <c r="AA14" s="961">
        <f t="shared" si="3"/>
        <v>1</v>
      </c>
      <c r="AB14" s="961">
        <f t="shared" si="4"/>
        <v>1</v>
      </c>
      <c r="AC14" s="961">
        <f t="shared" si="5"/>
        <v>1</v>
      </c>
    </row>
    <row r="15" ht="56.25" spans="1:29">
      <c r="A15" s="776" t="s">
        <v>1057</v>
      </c>
      <c r="B15" s="1438" t="s">
        <v>208</v>
      </c>
      <c r="C15" s="778" t="str">
        <f>估价对象房地状况!G3</f>
        <v>估价对象位于XX开发区，园区建设成熟度XX，产业集聚程度XX</v>
      </c>
      <c r="D15" s="779">
        <v>100</v>
      </c>
      <c r="E15" s="780"/>
      <c r="F15" s="1439">
        <f>SUMIF(70:70,E16,71:71)-SUMIF(70:70,C16,71:71)+100</f>
        <v>100</v>
      </c>
      <c r="G15" s="902"/>
      <c r="H15" s="779">
        <f>SUMIF(70:70,G16,71:71)-SUMIF(70:70,C16,71:71)+100</f>
        <v>100</v>
      </c>
      <c r="I15" s="780"/>
      <c r="J15" s="779">
        <f>SUMIF(70:70,I16,71:71)-SUMIF(70:70,C16,71:71)+100</f>
        <v>100</v>
      </c>
      <c r="K15" s="1485"/>
      <c r="L15" s="901"/>
      <c r="M15" s="884"/>
      <c r="N15" s="884"/>
      <c r="O15" s="900"/>
      <c r="P15" s="903" t="s">
        <v>1058</v>
      </c>
      <c r="Q15" s="893" t="str">
        <f t="shared" si="6"/>
        <v>产业集聚程度</v>
      </c>
      <c r="R15" s="947" t="s">
        <v>1045</v>
      </c>
      <c r="S15" s="948">
        <f t="shared" si="0"/>
        <v>100</v>
      </c>
      <c r="T15" s="947" t="s">
        <v>1045</v>
      </c>
      <c r="U15" s="948">
        <f t="shared" si="1"/>
        <v>100</v>
      </c>
      <c r="V15" s="947" t="s">
        <v>1045</v>
      </c>
      <c r="W15" s="948">
        <f t="shared" si="2"/>
        <v>100</v>
      </c>
      <c r="X15" s="934"/>
      <c r="Y15" s="903" t="s">
        <v>1058</v>
      </c>
      <c r="Z15" s="851" t="str">
        <f t="shared" si="7"/>
        <v>产业集聚程度</v>
      </c>
      <c r="AA15" s="963">
        <f t="shared" si="3"/>
        <v>1</v>
      </c>
      <c r="AB15" s="963">
        <f t="shared" si="4"/>
        <v>1</v>
      </c>
      <c r="AC15" s="963">
        <f t="shared" si="5"/>
        <v>1</v>
      </c>
    </row>
    <row r="16" ht="15" spans="1:29">
      <c r="A16" s="762"/>
      <c r="B16" s="1440"/>
      <c r="C16" s="782"/>
      <c r="D16" s="783"/>
      <c r="E16" s="782"/>
      <c r="F16" s="1441"/>
      <c r="G16" s="782"/>
      <c r="H16" s="785"/>
      <c r="I16" s="782"/>
      <c r="J16" s="783"/>
      <c r="K16" s="1486"/>
      <c r="L16" s="901"/>
      <c r="M16" s="884"/>
      <c r="N16" s="884"/>
      <c r="O16" s="900"/>
      <c r="P16" s="904"/>
      <c r="Q16" s="893"/>
      <c r="R16" s="947"/>
      <c r="S16" s="948"/>
      <c r="T16" s="947"/>
      <c r="U16" s="948"/>
      <c r="V16" s="947"/>
      <c r="W16" s="948"/>
      <c r="X16" s="934"/>
      <c r="Y16" s="904"/>
      <c r="Z16" s="851"/>
      <c r="AA16" s="963">
        <v>1</v>
      </c>
      <c r="AB16" s="963">
        <v>1</v>
      </c>
      <c r="AC16" s="963">
        <v>1</v>
      </c>
    </row>
    <row r="17" ht="81" spans="1:29">
      <c r="A17" s="762"/>
      <c r="B17" s="1444" t="s">
        <v>209</v>
      </c>
      <c r="C17" s="787" t="str">
        <f>估价对象房地状况!G4</f>
        <v>估价对象周边道路状况、公共交通通达情况、停车便捷程度，综合评价交通便捷度较好</v>
      </c>
      <c r="D17" s="785">
        <v>100</v>
      </c>
      <c r="E17" s="788"/>
      <c r="F17" s="1442">
        <f>SUMIF(72:72,E18,73:73)-SUMIF(72:72,C18,73:73)+100</f>
        <v>100</v>
      </c>
      <c r="G17" s="905"/>
      <c r="H17" s="789">
        <f>SUMIF(72:72,G18,73:73)-SUMIF(72:72,C18,73:73)+100</f>
        <v>100</v>
      </c>
      <c r="I17" s="788"/>
      <c r="J17" s="789">
        <f>SUMIF(72:72,I18,73:73)-SUMIF(72:72,C18,73:73)+100</f>
        <v>100</v>
      </c>
      <c r="K17" s="1485"/>
      <c r="L17" s="901"/>
      <c r="M17" s="884"/>
      <c r="N17" s="884"/>
      <c r="O17" s="900"/>
      <c r="P17" s="904"/>
      <c r="Q17" s="893" t="str">
        <f>B17</f>
        <v>交通便捷度</v>
      </c>
      <c r="R17" s="947" t="s">
        <v>1045</v>
      </c>
      <c r="S17" s="948">
        <f>F17</f>
        <v>100</v>
      </c>
      <c r="T17" s="947" t="s">
        <v>1045</v>
      </c>
      <c r="U17" s="948">
        <f>H17</f>
        <v>100</v>
      </c>
      <c r="V17" s="947" t="s">
        <v>1045</v>
      </c>
      <c r="W17" s="948">
        <f>J17</f>
        <v>100</v>
      </c>
      <c r="X17" s="934"/>
      <c r="Y17" s="904"/>
      <c r="Z17" s="851" t="str">
        <f>Q17</f>
        <v>交通便捷度</v>
      </c>
      <c r="AA17" s="963">
        <f t="shared" si="3"/>
        <v>1</v>
      </c>
      <c r="AB17" s="963">
        <f t="shared" si="4"/>
        <v>1</v>
      </c>
      <c r="AC17" s="963">
        <f t="shared" si="5"/>
        <v>1</v>
      </c>
    </row>
    <row r="18" ht="15" spans="1:29">
      <c r="A18" s="762"/>
      <c r="B18" s="811"/>
      <c r="C18" s="1443"/>
      <c r="D18" s="785"/>
      <c r="E18" s="1526"/>
      <c r="F18" s="1442"/>
      <c r="G18" s="1565"/>
      <c r="H18" s="783"/>
      <c r="I18" s="1526"/>
      <c r="J18" s="783"/>
      <c r="K18" s="1486"/>
      <c r="L18" s="901"/>
      <c r="M18" s="884"/>
      <c r="N18" s="884"/>
      <c r="O18" s="900"/>
      <c r="P18" s="904"/>
      <c r="Q18" s="893"/>
      <c r="R18" s="947"/>
      <c r="S18" s="948"/>
      <c r="T18" s="947"/>
      <c r="U18" s="948"/>
      <c r="V18" s="947"/>
      <c r="W18" s="948"/>
      <c r="X18" s="934"/>
      <c r="Y18" s="904"/>
      <c r="Z18" s="851"/>
      <c r="AA18" s="963">
        <v>1</v>
      </c>
      <c r="AB18" s="963">
        <v>1</v>
      </c>
      <c r="AC18" s="963">
        <v>1</v>
      </c>
    </row>
    <row r="19" ht="40.5" spans="1:29">
      <c r="A19" s="762"/>
      <c r="B19" s="786" t="s">
        <v>211</v>
      </c>
      <c r="C19" s="787" t="str">
        <f>估价对象房地状况!G5</f>
        <v>估价对象所在区域公共配套设施齐备情况</v>
      </c>
      <c r="D19" s="789">
        <v>100</v>
      </c>
      <c r="E19" s="1445"/>
      <c r="F19" s="1446">
        <f>SUMIF(74:74,E20,75:75)-SUMIF(74:74,C20,75:75)+100</f>
        <v>100</v>
      </c>
      <c r="G19" s="1447"/>
      <c r="H19" s="785">
        <f>SUMIF(74:74,G20,75:75)-SUMIF(74:74,C20,75:75)+100</f>
        <v>100</v>
      </c>
      <c r="I19" s="1445"/>
      <c r="J19" s="785">
        <f>SUMIF(74:74,I20,75:75)-SUMIF(74:74,C20,75:75)+100</f>
        <v>100</v>
      </c>
      <c r="K19" s="1485"/>
      <c r="L19" s="901"/>
      <c r="M19" s="884"/>
      <c r="N19" s="884"/>
      <c r="O19" s="900"/>
      <c r="P19" s="904"/>
      <c r="Q19" s="893" t="str">
        <f>B19</f>
        <v>公共配套设施</v>
      </c>
      <c r="R19" s="947" t="s">
        <v>1045</v>
      </c>
      <c r="S19" s="948">
        <f>F19</f>
        <v>100</v>
      </c>
      <c r="T19" s="947" t="s">
        <v>1045</v>
      </c>
      <c r="U19" s="948">
        <f>H19</f>
        <v>100</v>
      </c>
      <c r="V19" s="947" t="s">
        <v>1045</v>
      </c>
      <c r="W19" s="948">
        <f>J19</f>
        <v>100</v>
      </c>
      <c r="X19" s="934"/>
      <c r="Y19" s="904"/>
      <c r="Z19" s="851" t="str">
        <f>Q19</f>
        <v>公共配套设施</v>
      </c>
      <c r="AA19" s="963">
        <f t="shared" si="3"/>
        <v>1</v>
      </c>
      <c r="AB19" s="963">
        <f t="shared" si="4"/>
        <v>1</v>
      </c>
      <c r="AC19" s="963">
        <f t="shared" si="5"/>
        <v>1</v>
      </c>
    </row>
    <row r="20" ht="15" spans="1:29">
      <c r="A20" s="762"/>
      <c r="B20" s="790"/>
      <c r="C20" s="782"/>
      <c r="D20" s="783"/>
      <c r="E20" s="791"/>
      <c r="F20" s="1441"/>
      <c r="G20" s="906"/>
      <c r="H20" s="783"/>
      <c r="I20" s="791"/>
      <c r="J20" s="783"/>
      <c r="K20" s="1486"/>
      <c r="L20" s="901"/>
      <c r="M20" s="884"/>
      <c r="N20" s="884"/>
      <c r="O20" s="900"/>
      <c r="P20" s="904"/>
      <c r="Q20" s="893"/>
      <c r="R20" s="947"/>
      <c r="S20" s="948"/>
      <c r="T20" s="947"/>
      <c r="U20" s="948"/>
      <c r="V20" s="947"/>
      <c r="W20" s="948"/>
      <c r="X20" s="934"/>
      <c r="Y20" s="904"/>
      <c r="Z20" s="851"/>
      <c r="AA20" s="963">
        <v>1</v>
      </c>
      <c r="AB20" s="963">
        <v>1</v>
      </c>
      <c r="AC20" s="963">
        <v>1</v>
      </c>
    </row>
    <row r="21" ht="27" spans="1:29">
      <c r="A21" s="762"/>
      <c r="B21" s="794" t="s">
        <v>212</v>
      </c>
      <c r="C21" s="787" t="str">
        <f>估价对象房地状况!G6</f>
        <v>估价对象所在区域基础设施水平</v>
      </c>
      <c r="D21" s="789">
        <v>100</v>
      </c>
      <c r="E21" s="1445"/>
      <c r="F21" s="1446">
        <f>SUMIF(76:76,E22,77:77)-SUMIF(76:76,C22,77:77)+100</f>
        <v>100</v>
      </c>
      <c r="G21" s="1447"/>
      <c r="H21" s="785">
        <f>SUMIF(76:76,G22,77:77)-SUMIF(76:76,C22,77:77)+100</f>
        <v>100</v>
      </c>
      <c r="I21" s="1445"/>
      <c r="J21" s="785">
        <f>SUMIF(76:76,I22,77:77)-SUMIF(76:76,C22,77:77)+100</f>
        <v>100</v>
      </c>
      <c r="K21" s="1485"/>
      <c r="L21" s="901"/>
      <c r="M21" s="884"/>
      <c r="N21" s="884"/>
      <c r="O21" s="900"/>
      <c r="P21" s="904"/>
      <c r="Q21" s="893" t="str">
        <f>B21</f>
        <v>基础设施水平</v>
      </c>
      <c r="R21" s="947" t="s">
        <v>1045</v>
      </c>
      <c r="S21" s="948">
        <f>F21</f>
        <v>100</v>
      </c>
      <c r="T21" s="947" t="s">
        <v>1045</v>
      </c>
      <c r="U21" s="948">
        <f>H21</f>
        <v>100</v>
      </c>
      <c r="V21" s="947" t="s">
        <v>1045</v>
      </c>
      <c r="W21" s="948">
        <f>J21</f>
        <v>100</v>
      </c>
      <c r="X21" s="934"/>
      <c r="Y21" s="904"/>
      <c r="Z21" s="851" t="str">
        <f>Q21</f>
        <v>基础设施水平</v>
      </c>
      <c r="AA21" s="963">
        <f t="shared" ref="AA21" si="8">D21/F21</f>
        <v>1</v>
      </c>
      <c r="AB21" s="963">
        <f t="shared" ref="AB21" si="9">D21/H21</f>
        <v>1</v>
      </c>
      <c r="AC21" s="963">
        <f t="shared" ref="AC21" si="10">D21/J21</f>
        <v>1</v>
      </c>
    </row>
    <row r="22" ht="15" spans="1:29">
      <c r="A22" s="762"/>
      <c r="B22" s="1566"/>
      <c r="C22" s="1443"/>
      <c r="D22" s="783"/>
      <c r="E22" s="782"/>
      <c r="F22" s="1441"/>
      <c r="G22" s="782"/>
      <c r="H22" s="783"/>
      <c r="I22" s="782"/>
      <c r="J22" s="783"/>
      <c r="K22" s="1487"/>
      <c r="L22" s="901"/>
      <c r="M22" s="884"/>
      <c r="N22" s="884"/>
      <c r="O22" s="900"/>
      <c r="P22" s="904"/>
      <c r="Q22" s="893"/>
      <c r="R22" s="947"/>
      <c r="S22" s="948"/>
      <c r="T22" s="947"/>
      <c r="U22" s="948"/>
      <c r="V22" s="947"/>
      <c r="W22" s="948"/>
      <c r="X22" s="934"/>
      <c r="Y22" s="904"/>
      <c r="Z22" s="851"/>
      <c r="AA22" s="963">
        <v>1</v>
      </c>
      <c r="AB22" s="963">
        <v>1</v>
      </c>
      <c r="AC22" s="963">
        <v>1</v>
      </c>
    </row>
    <row r="23" ht="67.5" spans="1:29">
      <c r="A23" s="762"/>
      <c r="B23" s="1444" t="s">
        <v>213</v>
      </c>
      <c r="C23" s="787" t="str">
        <f>估价对象房地状况!G7</f>
        <v>该园区内是否有污染型企业，绿化情况，卫生条件，整体环境状况判断</v>
      </c>
      <c r="D23" s="785">
        <v>100</v>
      </c>
      <c r="E23" s="788"/>
      <c r="F23" s="1442">
        <f>SUMIF(78:78,E24,79:79)-SUMIF(78:78,C24,79:79)+100</f>
        <v>100</v>
      </c>
      <c r="G23" s="905"/>
      <c r="H23" s="785">
        <f>SUMIF(78:78,G24,79:79)-SUMIF(78:78,C24,79:79)+100</f>
        <v>100</v>
      </c>
      <c r="I23" s="788"/>
      <c r="J23" s="785">
        <f>SUMIF(78:78,I24,79:79)-SUMIF(78:78,C24,79:79)+100</f>
        <v>100</v>
      </c>
      <c r="K23" s="1485"/>
      <c r="L23" s="901"/>
      <c r="M23" s="884"/>
      <c r="N23" s="884"/>
      <c r="O23" s="900"/>
      <c r="P23" s="904"/>
      <c r="Q23" s="893" t="str">
        <f>B23</f>
        <v>环境质量</v>
      </c>
      <c r="R23" s="947" t="s">
        <v>1045</v>
      </c>
      <c r="S23" s="948">
        <f>F23</f>
        <v>100</v>
      </c>
      <c r="T23" s="947" t="s">
        <v>1045</v>
      </c>
      <c r="U23" s="948">
        <f>H23</f>
        <v>100</v>
      </c>
      <c r="V23" s="947" t="s">
        <v>1045</v>
      </c>
      <c r="W23" s="948">
        <f>J23</f>
        <v>100</v>
      </c>
      <c r="X23" s="934"/>
      <c r="Y23" s="904"/>
      <c r="Z23" s="851" t="str">
        <f>Q23</f>
        <v>环境质量</v>
      </c>
      <c r="AA23" s="963">
        <f t="shared" si="3"/>
        <v>1</v>
      </c>
      <c r="AB23" s="963">
        <f t="shared" si="4"/>
        <v>1</v>
      </c>
      <c r="AC23" s="963">
        <f t="shared" si="5"/>
        <v>1</v>
      </c>
    </row>
    <row r="24" ht="15" spans="1:29">
      <c r="A24" s="762"/>
      <c r="B24" s="1566"/>
      <c r="C24" s="782"/>
      <c r="D24" s="783"/>
      <c r="E24" s="791"/>
      <c r="F24" s="1441"/>
      <c r="G24" s="906"/>
      <c r="H24" s="783"/>
      <c r="I24" s="791"/>
      <c r="J24" s="783"/>
      <c r="K24" s="1486"/>
      <c r="L24" s="901"/>
      <c r="M24" s="884"/>
      <c r="N24" s="884"/>
      <c r="O24" s="900"/>
      <c r="P24" s="904"/>
      <c r="Q24" s="893"/>
      <c r="R24" s="947"/>
      <c r="S24" s="948"/>
      <c r="T24" s="947"/>
      <c r="U24" s="948"/>
      <c r="V24" s="947"/>
      <c r="W24" s="948"/>
      <c r="X24" s="934"/>
      <c r="Y24" s="904"/>
      <c r="Z24" s="851"/>
      <c r="AA24" s="963">
        <v>1</v>
      </c>
      <c r="AB24" s="963">
        <v>1</v>
      </c>
      <c r="AC24" s="963">
        <v>1</v>
      </c>
    </row>
    <row r="25" ht="15" spans="1:29">
      <c r="A25" s="734"/>
      <c r="B25" s="1567">
        <v>111</v>
      </c>
      <c r="C25" s="770"/>
      <c r="D25" s="771">
        <v>100</v>
      </c>
      <c r="E25" s="770"/>
      <c r="F25" s="1448">
        <f>SUMIF(80:80,E25,81:81)-SUMIF(80:80,C25,81:81)+100</f>
        <v>100</v>
      </c>
      <c r="G25" s="770"/>
      <c r="H25" s="771">
        <f>SUMIF(80:80,G25,81:81)-SUMIF(80:80,C25,81:81)+100</f>
        <v>100</v>
      </c>
      <c r="I25" s="770"/>
      <c r="J25" s="771">
        <f>SUMIF(80:80,I25,81:81)-SUMIF(80:80,C25,81:81)+100</f>
        <v>100</v>
      </c>
      <c r="K25" s="908"/>
      <c r="L25" s="901"/>
      <c r="M25" s="884"/>
      <c r="N25" s="884"/>
      <c r="O25" s="900"/>
      <c r="P25" s="904"/>
      <c r="Q25" s="893">
        <f>B25</f>
        <v>111</v>
      </c>
      <c r="R25" s="947" t="s">
        <v>1045</v>
      </c>
      <c r="S25" s="948">
        <f>F25</f>
        <v>100</v>
      </c>
      <c r="T25" s="947" t="s">
        <v>1045</v>
      </c>
      <c r="U25" s="948">
        <f>H25</f>
        <v>100</v>
      </c>
      <c r="V25" s="947" t="s">
        <v>1045</v>
      </c>
      <c r="W25" s="948">
        <f>J25</f>
        <v>100</v>
      </c>
      <c r="X25" s="934"/>
      <c r="Y25" s="904"/>
      <c r="Z25" s="851">
        <f>Q25</f>
        <v>111</v>
      </c>
      <c r="AA25" s="963">
        <f t="shared" si="3"/>
        <v>1</v>
      </c>
      <c r="AB25" s="963">
        <f t="shared" si="4"/>
        <v>1</v>
      </c>
      <c r="AC25" s="963">
        <f t="shared" si="5"/>
        <v>1</v>
      </c>
    </row>
    <row r="26" ht="15" spans="1:29">
      <c r="A26" s="762"/>
      <c r="B26" s="1567">
        <v>111</v>
      </c>
      <c r="C26" s="770"/>
      <c r="D26" s="771">
        <v>100</v>
      </c>
      <c r="E26" s="770"/>
      <c r="F26" s="1448">
        <f>SUMIF(82:82,E26,83:83)-SUMIF(82:82,C26,83:83)+100</f>
        <v>100</v>
      </c>
      <c r="G26" s="770"/>
      <c r="H26" s="771">
        <f>SUMIF(82:82,G26,83:83)-SUMIF(82:82,C26,83:83)+100</f>
        <v>100</v>
      </c>
      <c r="I26" s="770"/>
      <c r="J26" s="771">
        <f>SUMIF(82:82,I26,83:83)-SUMIF(82:82,C26,83:83)+100</f>
        <v>100</v>
      </c>
      <c r="K26" s="908"/>
      <c r="L26" s="901"/>
      <c r="M26" s="884"/>
      <c r="N26" s="884"/>
      <c r="O26" s="900"/>
      <c r="P26" s="904"/>
      <c r="Q26" s="893">
        <f t="shared" ref="Q26:Q40" si="11">B26</f>
        <v>111</v>
      </c>
      <c r="R26" s="947" t="s">
        <v>1045</v>
      </c>
      <c r="S26" s="948">
        <f>F26</f>
        <v>100</v>
      </c>
      <c r="T26" s="947" t="s">
        <v>1045</v>
      </c>
      <c r="U26" s="948">
        <f>H26</f>
        <v>100</v>
      </c>
      <c r="V26" s="947" t="s">
        <v>1045</v>
      </c>
      <c r="W26" s="948">
        <f>J26</f>
        <v>100</v>
      </c>
      <c r="X26" s="934"/>
      <c r="Y26" s="904"/>
      <c r="Z26" s="851">
        <f>Q26</f>
        <v>111</v>
      </c>
      <c r="AA26" s="963">
        <f t="shared" si="3"/>
        <v>1</v>
      </c>
      <c r="AB26" s="963">
        <f t="shared" si="4"/>
        <v>1</v>
      </c>
      <c r="AC26" s="963">
        <f t="shared" si="5"/>
        <v>1</v>
      </c>
    </row>
    <row r="27" s="707" customFormat="1" ht="15" spans="1:29">
      <c r="A27" s="765"/>
      <c r="B27" s="1567">
        <v>111</v>
      </c>
      <c r="C27" s="770"/>
      <c r="D27" s="1568">
        <v>100</v>
      </c>
      <c r="E27" s="770"/>
      <c r="F27" s="1569">
        <f>SUMIF(84:84,E27,85:85)-SUMIF(84:84,C27,85:85)+100</f>
        <v>100</v>
      </c>
      <c r="G27" s="770"/>
      <c r="H27" s="1568">
        <f>SUMIF(84:84,G27,85:85)-SUMIF(84:84,C27,85:85)+100</f>
        <v>100</v>
      </c>
      <c r="I27" s="770"/>
      <c r="J27" s="1568">
        <f>SUMIF(84:84,I27,85:85)-SUMIF(84:84,C27,85:85)+100</f>
        <v>100</v>
      </c>
      <c r="K27" s="908"/>
      <c r="L27" s="889"/>
      <c r="M27" s="890"/>
      <c r="N27" s="890"/>
      <c r="O27" s="892"/>
      <c r="P27" s="904"/>
      <c r="Q27" s="946">
        <f t="shared" si="11"/>
        <v>111</v>
      </c>
      <c r="R27" s="942" t="s">
        <v>1045</v>
      </c>
      <c r="S27" s="943">
        <f>F27</f>
        <v>100</v>
      </c>
      <c r="T27" s="942" t="s">
        <v>1045</v>
      </c>
      <c r="U27" s="943">
        <f>H27</f>
        <v>100</v>
      </c>
      <c r="V27" s="942" t="s">
        <v>1045</v>
      </c>
      <c r="W27" s="943">
        <f>J27</f>
        <v>100</v>
      </c>
      <c r="X27" s="944"/>
      <c r="Y27" s="904"/>
      <c r="Z27" s="962">
        <f>Q27</f>
        <v>111</v>
      </c>
      <c r="AA27" s="963">
        <f t="shared" si="3"/>
        <v>1</v>
      </c>
      <c r="AB27" s="963">
        <f t="shared" si="4"/>
        <v>1</v>
      </c>
      <c r="AC27" s="963">
        <f t="shared" si="5"/>
        <v>1</v>
      </c>
    </row>
    <row r="28" ht="15.75" spans="1:29">
      <c r="A28" s="772"/>
      <c r="B28" s="1567">
        <v>111</v>
      </c>
      <c r="C28" s="774"/>
      <c r="D28" s="775">
        <v>100</v>
      </c>
      <c r="E28" s="770"/>
      <c r="F28" s="1462">
        <f>SUMIF(86:86,E28,87:87)-SUMIF(86:86,C28,87:87)+100</f>
        <v>100</v>
      </c>
      <c r="G28" s="1437"/>
      <c r="H28" s="775">
        <f>SUMIF(86:86,G28,87:87)-SUMIF(86:86,C28,87:87)+100</f>
        <v>100</v>
      </c>
      <c r="I28" s="1437"/>
      <c r="J28" s="775">
        <f>SUMIF(86:86,I28,87:87)-SUMIF(86:86,C28,87:87)+100</f>
        <v>100</v>
      </c>
      <c r="K28" s="908"/>
      <c r="L28" s="901"/>
      <c r="M28" s="884"/>
      <c r="N28" s="884"/>
      <c r="O28" s="900"/>
      <c r="P28" s="904"/>
      <c r="Q28" s="893">
        <f t="shared" si="11"/>
        <v>111</v>
      </c>
      <c r="R28" s="947" t="s">
        <v>1045</v>
      </c>
      <c r="S28" s="948">
        <f t="shared" ref="S28:S40" si="12">F28</f>
        <v>100</v>
      </c>
      <c r="T28" s="947" t="s">
        <v>1045</v>
      </c>
      <c r="U28" s="948">
        <f t="shared" ref="U28:U40" si="13">H28</f>
        <v>100</v>
      </c>
      <c r="V28" s="947" t="s">
        <v>1045</v>
      </c>
      <c r="W28" s="948">
        <f t="shared" ref="W28:W40" si="14">J28</f>
        <v>100</v>
      </c>
      <c r="X28" s="934"/>
      <c r="Y28" s="904"/>
      <c r="Z28" s="851">
        <f t="shared" ref="Z28:Z40" si="15">Q28</f>
        <v>111</v>
      </c>
      <c r="AA28" s="963">
        <f t="shared" si="3"/>
        <v>1</v>
      </c>
      <c r="AB28" s="963">
        <f t="shared" si="4"/>
        <v>1</v>
      </c>
      <c r="AC28" s="963">
        <f t="shared" si="5"/>
        <v>1</v>
      </c>
    </row>
    <row r="29" ht="28.5" spans="1:29">
      <c r="A29" s="1452" t="s">
        <v>1070</v>
      </c>
      <c r="B29" s="755" t="s">
        <v>1071</v>
      </c>
      <c r="C29" s="1453"/>
      <c r="D29" s="813">
        <v>100</v>
      </c>
      <c r="E29" s="1453"/>
      <c r="F29" s="1448">
        <f>SUMIF(88:88,E29,89:89)-SUMIF(88:88,C29,89:89)+100</f>
        <v>100</v>
      </c>
      <c r="G29" s="1453"/>
      <c r="H29" s="771">
        <f>SUMIF(88:88,G29,89:89)-SUMIF(88:88,C29,89:89)+100</f>
        <v>100</v>
      </c>
      <c r="I29" s="1453"/>
      <c r="J29" s="813">
        <f>SUMIF(88:88,I29,89:89)-SUMIF(88:88,C29,89:89)+100</f>
        <v>100</v>
      </c>
      <c r="K29" s="909"/>
      <c r="L29" s="901"/>
      <c r="M29" s="884"/>
      <c r="N29" s="884"/>
      <c r="O29" s="900"/>
      <c r="P29" s="910" t="s">
        <v>1073</v>
      </c>
      <c r="Q29" s="893" t="str">
        <f t="shared" si="11"/>
        <v>建筑类型</v>
      </c>
      <c r="R29" s="947" t="s">
        <v>1045</v>
      </c>
      <c r="S29" s="948">
        <f t="shared" si="12"/>
        <v>100</v>
      </c>
      <c r="T29" s="947" t="s">
        <v>1045</v>
      </c>
      <c r="U29" s="948">
        <f t="shared" si="13"/>
        <v>100</v>
      </c>
      <c r="V29" s="947" t="s">
        <v>1045</v>
      </c>
      <c r="W29" s="948">
        <f t="shared" si="14"/>
        <v>100</v>
      </c>
      <c r="X29" s="934"/>
      <c r="Y29" s="913" t="s">
        <v>1073</v>
      </c>
      <c r="Z29" s="851" t="str">
        <f t="shared" si="15"/>
        <v>建筑类型</v>
      </c>
      <c r="AA29" s="963">
        <f t="shared" si="3"/>
        <v>1</v>
      </c>
      <c r="AB29" s="963">
        <f t="shared" si="4"/>
        <v>1</v>
      </c>
      <c r="AC29" s="963">
        <f t="shared" si="5"/>
        <v>1</v>
      </c>
    </row>
    <row r="30" s="709" customFormat="1" ht="15" spans="1:29">
      <c r="A30" s="818"/>
      <c r="B30" s="759" t="s">
        <v>1074</v>
      </c>
      <c r="C30" s="1437"/>
      <c r="D30" s="761">
        <v>100</v>
      </c>
      <c r="E30" s="764"/>
      <c r="F30" s="1570" t="e">
        <f>LOOKUP(E30,91:91,92:92)-LOOKUP(C30,91:91,92:92)+100</f>
        <v>#N/A</v>
      </c>
      <c r="G30" s="763"/>
      <c r="H30" s="761" t="e">
        <f>LOOKUP(G30,91:91,92:92)-LOOKUP(C30,91:91,92:92)+100</f>
        <v>#N/A</v>
      </c>
      <c r="I30" s="763"/>
      <c r="J30" s="761" t="e">
        <f>LOOKUP(I30,91:91,92:92)-LOOKUP(C30,91:91,92:92)+100</f>
        <v>#N/A</v>
      </c>
      <c r="K30" s="908"/>
      <c r="L30" s="899"/>
      <c r="M30" s="911"/>
      <c r="N30" s="911"/>
      <c r="O30" s="912"/>
      <c r="P30" s="913"/>
      <c r="Q30" s="1493" t="str">
        <f t="shared" si="11"/>
        <v>项目建筑规模</v>
      </c>
      <c r="R30" s="949" t="s">
        <v>1045</v>
      </c>
      <c r="S30" s="950" t="e">
        <f t="shared" si="12"/>
        <v>#N/A</v>
      </c>
      <c r="T30" s="949" t="s">
        <v>1045</v>
      </c>
      <c r="U30" s="950" t="e">
        <f t="shared" si="13"/>
        <v>#N/A</v>
      </c>
      <c r="V30" s="949" t="s">
        <v>1045</v>
      </c>
      <c r="W30" s="950" t="e">
        <f t="shared" si="14"/>
        <v>#N/A</v>
      </c>
      <c r="X30" s="951"/>
      <c r="Y30" s="913"/>
      <c r="Z30" s="964" t="str">
        <f t="shared" si="15"/>
        <v>项目建筑规模</v>
      </c>
      <c r="AA30" s="963" t="e">
        <f t="shared" si="3"/>
        <v>#N/A</v>
      </c>
      <c r="AB30" s="963" t="e">
        <f t="shared" si="4"/>
        <v>#N/A</v>
      </c>
      <c r="AC30" s="963" t="e">
        <f t="shared" si="5"/>
        <v>#N/A</v>
      </c>
    </row>
    <row r="31" ht="15" spans="1:29">
      <c r="A31" s="810"/>
      <c r="B31" s="759" t="s">
        <v>1075</v>
      </c>
      <c r="C31" s="1458"/>
      <c r="D31" s="771">
        <v>100</v>
      </c>
      <c r="E31" s="1458"/>
      <c r="F31" s="1448">
        <f>SUMIF(93:93,E31,94:94)-SUMIF(93:93,C31,94:94)+100</f>
        <v>100</v>
      </c>
      <c r="G31" s="1458"/>
      <c r="H31" s="771">
        <f>SUMIF(93:93,G31,94:94)-SUMIF(93:93,C31,94:94)+100</f>
        <v>100</v>
      </c>
      <c r="I31" s="1458"/>
      <c r="J31" s="771">
        <f>SUMIF(93:93,I31,94:94)-SUMIF(93:93,C31,94:94)+100</f>
        <v>100</v>
      </c>
      <c r="K31" s="909"/>
      <c r="L31" s="901"/>
      <c r="M31" s="884"/>
      <c r="N31" s="884"/>
      <c r="O31" s="900"/>
      <c r="P31" s="913"/>
      <c r="Q31" s="893" t="str">
        <f t="shared" si="11"/>
        <v>建筑结构</v>
      </c>
      <c r="R31" s="947" t="s">
        <v>1045</v>
      </c>
      <c r="S31" s="948">
        <f t="shared" si="12"/>
        <v>100</v>
      </c>
      <c r="T31" s="947" t="s">
        <v>1045</v>
      </c>
      <c r="U31" s="948">
        <f t="shared" si="13"/>
        <v>100</v>
      </c>
      <c r="V31" s="947" t="s">
        <v>1045</v>
      </c>
      <c r="W31" s="948">
        <f t="shared" si="14"/>
        <v>100</v>
      </c>
      <c r="X31" s="934"/>
      <c r="Y31" s="913"/>
      <c r="Z31" s="851" t="str">
        <f t="shared" si="15"/>
        <v>建筑结构</v>
      </c>
      <c r="AA31" s="963">
        <f t="shared" si="3"/>
        <v>1</v>
      </c>
      <c r="AB31" s="963">
        <f t="shared" si="4"/>
        <v>1</v>
      </c>
      <c r="AC31" s="963">
        <f t="shared" si="5"/>
        <v>1</v>
      </c>
    </row>
    <row r="32" ht="15" spans="1:29">
      <c r="A32" s="810"/>
      <c r="B32" s="759" t="s">
        <v>1077</v>
      </c>
      <c r="C32" s="1458"/>
      <c r="D32" s="771">
        <v>100</v>
      </c>
      <c r="E32" s="1458"/>
      <c r="F32" s="1448">
        <f>SUMIF(95:95,E32,96:96)-SUMIF(95:95,C32,96:96)+100</f>
        <v>100</v>
      </c>
      <c r="G32" s="1458"/>
      <c r="H32" s="771">
        <f>SUMIF(95:95,G32,96:96)-SUMIF(95:95,C32,96:96)+100</f>
        <v>100</v>
      </c>
      <c r="I32" s="1458"/>
      <c r="J32" s="771">
        <f>SUMIF(95:95,I32,96:96)-SUMIF(95:95,C32,96:96)+100</f>
        <v>100</v>
      </c>
      <c r="K32" s="909"/>
      <c r="L32" s="901"/>
      <c r="M32" s="884"/>
      <c r="N32" s="884"/>
      <c r="O32" s="900"/>
      <c r="P32" s="913"/>
      <c r="Q32" s="893" t="str">
        <f t="shared" si="11"/>
        <v>公共部分装修</v>
      </c>
      <c r="R32" s="947" t="s">
        <v>1045</v>
      </c>
      <c r="S32" s="948">
        <f t="shared" si="12"/>
        <v>100</v>
      </c>
      <c r="T32" s="947" t="s">
        <v>1045</v>
      </c>
      <c r="U32" s="948">
        <f t="shared" si="13"/>
        <v>100</v>
      </c>
      <c r="V32" s="947" t="s">
        <v>1045</v>
      </c>
      <c r="W32" s="948">
        <f t="shared" si="14"/>
        <v>100</v>
      </c>
      <c r="X32" s="934"/>
      <c r="Y32" s="913"/>
      <c r="Z32" s="851" t="str">
        <f t="shared" si="15"/>
        <v>公共部分装修</v>
      </c>
      <c r="AA32" s="963">
        <f t="shared" si="3"/>
        <v>1</v>
      </c>
      <c r="AB32" s="963">
        <f t="shared" si="4"/>
        <v>1</v>
      </c>
      <c r="AC32" s="963">
        <f t="shared" si="5"/>
        <v>1</v>
      </c>
    </row>
    <row r="33" ht="15" spans="1:29">
      <c r="A33" s="810"/>
      <c r="B33" s="759" t="s">
        <v>1078</v>
      </c>
      <c r="C33" s="1437"/>
      <c r="D33" s="771">
        <v>100</v>
      </c>
      <c r="E33" s="1455"/>
      <c r="F33" s="1448" t="e">
        <f>LOOKUP(E33,98:98,99:99)-LOOKUP(C33,98:98,99:99)+100</f>
        <v>#N/A</v>
      </c>
      <c r="G33" s="1455"/>
      <c r="H33" s="1448" t="e">
        <f>LOOKUP(G33,98:98,99:99)-LOOKUP(C33,98:98,99:99)+100</f>
        <v>#N/A</v>
      </c>
      <c r="I33" s="1455"/>
      <c r="J33" s="771" t="e">
        <f>LOOKUP(I33,98:98,99:99)-LOOKUP(C33,98:98,99:99)+100</f>
        <v>#N/A</v>
      </c>
      <c r="K33" s="909"/>
      <c r="L33" s="901"/>
      <c r="M33" s="884"/>
      <c r="N33" s="884"/>
      <c r="O33" s="900"/>
      <c r="P33" s="913"/>
      <c r="Q33" s="893" t="str">
        <f t="shared" si="11"/>
        <v>成新度</v>
      </c>
      <c r="R33" s="947" t="s">
        <v>1045</v>
      </c>
      <c r="S33" s="948" t="e">
        <f t="shared" si="12"/>
        <v>#N/A</v>
      </c>
      <c r="T33" s="947" t="s">
        <v>1045</v>
      </c>
      <c r="U33" s="948" t="e">
        <f t="shared" si="13"/>
        <v>#N/A</v>
      </c>
      <c r="V33" s="947" t="s">
        <v>1045</v>
      </c>
      <c r="W33" s="948" t="e">
        <f t="shared" si="14"/>
        <v>#N/A</v>
      </c>
      <c r="X33" s="934"/>
      <c r="Y33" s="913"/>
      <c r="Z33" s="851" t="str">
        <f t="shared" si="15"/>
        <v>成新度</v>
      </c>
      <c r="AA33" s="963" t="e">
        <f t="shared" si="3"/>
        <v>#N/A</v>
      </c>
      <c r="AB33" s="963" t="e">
        <f t="shared" si="4"/>
        <v>#N/A</v>
      </c>
      <c r="AC33" s="963" t="e">
        <f t="shared" si="5"/>
        <v>#N/A</v>
      </c>
    </row>
    <row r="34" s="707" customFormat="1" ht="15" spans="1:29">
      <c r="A34" s="815"/>
      <c r="B34" s="759" t="s">
        <v>1079</v>
      </c>
      <c r="C34" s="1458"/>
      <c r="D34" s="761">
        <v>100</v>
      </c>
      <c r="E34" s="1458"/>
      <c r="F34" s="1448">
        <f>SUMIF(100:100,E34,101:101)-SUMIF(100:100,C34,101:101)+100</f>
        <v>100</v>
      </c>
      <c r="G34" s="1458"/>
      <c r="H34" s="771">
        <f>SUMIF(100:100,G34,101:101)-SUMIF(100:100,C34,101:101)+100</f>
        <v>100</v>
      </c>
      <c r="I34" s="1458"/>
      <c r="J34" s="771">
        <f>SUMIF(100:100,I34,101:101)-SUMIF(100:100,C34,101:101)+100</f>
        <v>100</v>
      </c>
      <c r="K34" s="909"/>
      <c r="L34" s="889"/>
      <c r="M34" s="890"/>
      <c r="N34" s="890"/>
      <c r="O34" s="892"/>
      <c r="P34" s="913"/>
      <c r="Q34" s="946" t="str">
        <f t="shared" si="11"/>
        <v>物业管理</v>
      </c>
      <c r="R34" s="942" t="s">
        <v>1045</v>
      </c>
      <c r="S34" s="943">
        <f t="shared" si="12"/>
        <v>100</v>
      </c>
      <c r="T34" s="942" t="s">
        <v>1045</v>
      </c>
      <c r="U34" s="943">
        <f t="shared" si="13"/>
        <v>100</v>
      </c>
      <c r="V34" s="942" t="s">
        <v>1045</v>
      </c>
      <c r="W34" s="943">
        <f t="shared" si="14"/>
        <v>100</v>
      </c>
      <c r="X34" s="944"/>
      <c r="Y34" s="913"/>
      <c r="Z34" s="962" t="str">
        <f t="shared" si="15"/>
        <v>物业管理</v>
      </c>
      <c r="AA34" s="961">
        <f t="shared" si="3"/>
        <v>1</v>
      </c>
      <c r="AB34" s="961">
        <f t="shared" si="4"/>
        <v>1</v>
      </c>
      <c r="AC34" s="961">
        <f t="shared" si="5"/>
        <v>1</v>
      </c>
    </row>
    <row r="35" ht="15" spans="1:29">
      <c r="A35" s="810"/>
      <c r="B35" s="759" t="s">
        <v>1080</v>
      </c>
      <c r="C35" s="1458"/>
      <c r="D35" s="771">
        <v>100</v>
      </c>
      <c r="E35" s="1458"/>
      <c r="F35" s="1448">
        <f>SUMIF(102:102,E35,103:103)-SUMIF(102:102,C35,103:103)+100</f>
        <v>100</v>
      </c>
      <c r="G35" s="1458"/>
      <c r="H35" s="771">
        <f>SUMIF(102:102,G35,103:103)-SUMIF(102:102,C35,103:103)+100</f>
        <v>100</v>
      </c>
      <c r="I35" s="1458"/>
      <c r="J35" s="771">
        <f>SUMIF(102:102,I35,103:103)-SUMIF(102:102,C35,103:103)+100</f>
        <v>100</v>
      </c>
      <c r="K35" s="909"/>
      <c r="L35" s="901"/>
      <c r="M35" s="884"/>
      <c r="N35" s="884"/>
      <c r="O35" s="900"/>
      <c r="P35" s="913" t="s">
        <v>1073</v>
      </c>
      <c r="Q35" s="893" t="str">
        <f t="shared" si="11"/>
        <v>市政基础设施</v>
      </c>
      <c r="R35" s="947" t="s">
        <v>1045</v>
      </c>
      <c r="S35" s="948">
        <f t="shared" si="12"/>
        <v>100</v>
      </c>
      <c r="T35" s="947" t="s">
        <v>1045</v>
      </c>
      <c r="U35" s="948">
        <f t="shared" si="13"/>
        <v>100</v>
      </c>
      <c r="V35" s="947" t="s">
        <v>1045</v>
      </c>
      <c r="W35" s="948">
        <f t="shared" si="14"/>
        <v>100</v>
      </c>
      <c r="X35" s="934"/>
      <c r="Y35" s="913" t="s">
        <v>1073</v>
      </c>
      <c r="Z35" s="851" t="str">
        <f t="shared" si="15"/>
        <v>市政基础设施</v>
      </c>
      <c r="AA35" s="963">
        <f t="shared" si="3"/>
        <v>1</v>
      </c>
      <c r="AB35" s="963">
        <f t="shared" si="4"/>
        <v>1</v>
      </c>
      <c r="AC35" s="963">
        <f t="shared" si="5"/>
        <v>1</v>
      </c>
    </row>
    <row r="36" ht="15" spans="1:29">
      <c r="A36" s="810"/>
      <c r="B36" s="759" t="s">
        <v>1083</v>
      </c>
      <c r="C36" s="1458"/>
      <c r="D36" s="771">
        <v>100</v>
      </c>
      <c r="E36" s="1458"/>
      <c r="F36" s="1448">
        <f>SUMIF(104:104,E36,105:105)-SUMIF(104:104,C36,105:105)+100</f>
        <v>100</v>
      </c>
      <c r="G36" s="1458"/>
      <c r="H36" s="771">
        <f>SUMIF(104:104,G36,105:105)-SUMIF(104:104,C36,105:105)+100</f>
        <v>100</v>
      </c>
      <c r="I36" s="1458"/>
      <c r="J36" s="771">
        <f>SUMIF(104:104,I36,105:105)-SUMIF(104:104,C36,105:105)+100</f>
        <v>100</v>
      </c>
      <c r="K36" s="909"/>
      <c r="L36" s="901"/>
      <c r="M36" s="884"/>
      <c r="N36" s="884"/>
      <c r="O36" s="900"/>
      <c r="P36" s="913"/>
      <c r="Q36" s="893" t="str">
        <f t="shared" si="11"/>
        <v>内部装修</v>
      </c>
      <c r="R36" s="947" t="s">
        <v>1045</v>
      </c>
      <c r="S36" s="948">
        <f t="shared" si="12"/>
        <v>100</v>
      </c>
      <c r="T36" s="947" t="s">
        <v>1045</v>
      </c>
      <c r="U36" s="948">
        <f t="shared" si="13"/>
        <v>100</v>
      </c>
      <c r="V36" s="947" t="s">
        <v>1045</v>
      </c>
      <c r="W36" s="948">
        <f t="shared" si="14"/>
        <v>100</v>
      </c>
      <c r="X36" s="934"/>
      <c r="Y36" s="913"/>
      <c r="Z36" s="851" t="str">
        <f t="shared" si="15"/>
        <v>内部装修</v>
      </c>
      <c r="AA36" s="963">
        <f t="shared" si="3"/>
        <v>1</v>
      </c>
      <c r="AB36" s="963">
        <f t="shared" si="4"/>
        <v>1</v>
      </c>
      <c r="AC36" s="963">
        <f t="shared" si="5"/>
        <v>1</v>
      </c>
    </row>
    <row r="37" ht="15" spans="1:29">
      <c r="A37" s="810"/>
      <c r="B37" s="759" t="s">
        <v>1490</v>
      </c>
      <c r="C37" s="796"/>
      <c r="D37" s="771">
        <v>100</v>
      </c>
      <c r="E37" s="796"/>
      <c r="F37" s="1448">
        <f>SUMIF(106:106,E37,107:107)-SUMIF(106:106,C37,107:107)+100</f>
        <v>100</v>
      </c>
      <c r="G37" s="796"/>
      <c r="H37" s="771">
        <f>SUMIF(106:106,G37,107:107)-SUMIF(106:106,C37,107:107)+100</f>
        <v>100</v>
      </c>
      <c r="I37" s="796"/>
      <c r="J37" s="771">
        <f>SUMIF(106:106,I37,107:107)-SUMIF(106:106,C37,107:107)+100</f>
        <v>100</v>
      </c>
      <c r="K37" s="909"/>
      <c r="L37" s="901"/>
      <c r="M37" s="884"/>
      <c r="N37" s="884"/>
      <c r="O37" s="900"/>
      <c r="P37" s="913"/>
      <c r="Q37" s="893" t="str">
        <f t="shared" si="11"/>
        <v>内部装修状况</v>
      </c>
      <c r="R37" s="947" t="s">
        <v>1045</v>
      </c>
      <c r="S37" s="948">
        <f t="shared" si="12"/>
        <v>100</v>
      </c>
      <c r="T37" s="947" t="s">
        <v>1045</v>
      </c>
      <c r="U37" s="948">
        <f t="shared" si="13"/>
        <v>100</v>
      </c>
      <c r="V37" s="947" t="s">
        <v>1045</v>
      </c>
      <c r="W37" s="948">
        <f t="shared" si="14"/>
        <v>100</v>
      </c>
      <c r="X37" s="934"/>
      <c r="Y37" s="913"/>
      <c r="Z37" s="851" t="str">
        <f t="shared" si="15"/>
        <v>内部装修状况</v>
      </c>
      <c r="AA37" s="963">
        <f t="shared" si="3"/>
        <v>1</v>
      </c>
      <c r="AB37" s="963">
        <f t="shared" si="4"/>
        <v>1</v>
      </c>
      <c r="AC37" s="963">
        <f t="shared" si="5"/>
        <v>1</v>
      </c>
    </row>
    <row r="38" s="709" customFormat="1" ht="15" spans="1:29">
      <c r="A38" s="818"/>
      <c r="B38" s="1567">
        <v>111</v>
      </c>
      <c r="C38" s="1437">
        <v>111</v>
      </c>
      <c r="D38" s="771">
        <v>100</v>
      </c>
      <c r="E38" s="770"/>
      <c r="F38" s="1448">
        <f>SUMIF(108:108,E38,109:109)-SUMIF(108:108,C38,109:109)+100</f>
        <v>100</v>
      </c>
      <c r="G38" s="1437"/>
      <c r="H38" s="771">
        <f>SUMIF(108:108,G38,109:109)-SUMIF(108:108,C38,109:109)+100</f>
        <v>100</v>
      </c>
      <c r="I38" s="1437"/>
      <c r="J38" s="771">
        <f>SUMIF(108:108,I38,109:1038)-SUMIF(108:108,C38,109:109)+100</f>
        <v>100</v>
      </c>
      <c r="K38" s="908"/>
      <c r="L38" s="899"/>
      <c r="M38" s="911"/>
      <c r="N38" s="911"/>
      <c r="O38" s="912"/>
      <c r="P38" s="913"/>
      <c r="Q38" s="1493">
        <f t="shared" si="11"/>
        <v>111</v>
      </c>
      <c r="R38" s="949" t="s">
        <v>1045</v>
      </c>
      <c r="S38" s="950">
        <f t="shared" si="12"/>
        <v>100</v>
      </c>
      <c r="T38" s="949" t="s">
        <v>1045</v>
      </c>
      <c r="U38" s="950">
        <f t="shared" si="13"/>
        <v>100</v>
      </c>
      <c r="V38" s="949" t="s">
        <v>1045</v>
      </c>
      <c r="W38" s="950">
        <f t="shared" si="14"/>
        <v>100</v>
      </c>
      <c r="X38" s="951"/>
      <c r="Y38" s="913"/>
      <c r="Z38" s="964">
        <f t="shared" si="15"/>
        <v>111</v>
      </c>
      <c r="AA38" s="963">
        <f t="shared" si="3"/>
        <v>1</v>
      </c>
      <c r="AB38" s="963">
        <f t="shared" si="4"/>
        <v>1</v>
      </c>
      <c r="AC38" s="963">
        <f t="shared" si="5"/>
        <v>1</v>
      </c>
    </row>
    <row r="39" ht="15" spans="1:29">
      <c r="A39" s="810"/>
      <c r="B39" s="1567">
        <v>111</v>
      </c>
      <c r="C39" s="1437">
        <v>111</v>
      </c>
      <c r="D39" s="771">
        <v>100</v>
      </c>
      <c r="E39" s="770"/>
      <c r="F39" s="1448">
        <f>SUMIF(110:110,E39,111:111)-SUMIF(110:110,C39,111:111)+100</f>
        <v>100</v>
      </c>
      <c r="G39" s="1437"/>
      <c r="H39" s="771">
        <f>SUMIF(110:110,G39,111:111)-SUMIF(110:110,C39,111:111)+100</f>
        <v>100</v>
      </c>
      <c r="I39" s="1437"/>
      <c r="J39" s="771">
        <f>SUMIF(110:110,I39,111:111)-SUMIF(110:110,C39,111:111)+100</f>
        <v>100</v>
      </c>
      <c r="K39" s="908"/>
      <c r="L39" s="901"/>
      <c r="M39" s="884"/>
      <c r="N39" s="884"/>
      <c r="O39" s="900"/>
      <c r="P39" s="913"/>
      <c r="Q39" s="893">
        <f t="shared" si="11"/>
        <v>111</v>
      </c>
      <c r="R39" s="947" t="s">
        <v>1045</v>
      </c>
      <c r="S39" s="948">
        <f t="shared" si="12"/>
        <v>100</v>
      </c>
      <c r="T39" s="947" t="s">
        <v>1045</v>
      </c>
      <c r="U39" s="948">
        <f t="shared" si="13"/>
        <v>100</v>
      </c>
      <c r="V39" s="947" t="s">
        <v>1045</v>
      </c>
      <c r="W39" s="948">
        <f t="shared" si="14"/>
        <v>100</v>
      </c>
      <c r="X39" s="934"/>
      <c r="Y39" s="913"/>
      <c r="Z39" s="851">
        <f t="shared" si="15"/>
        <v>111</v>
      </c>
      <c r="AA39" s="963">
        <f t="shared" si="3"/>
        <v>1</v>
      </c>
      <c r="AB39" s="963">
        <f t="shared" si="4"/>
        <v>1</v>
      </c>
      <c r="AC39" s="963">
        <f t="shared" si="5"/>
        <v>1</v>
      </c>
    </row>
    <row r="40" ht="15.75" spans="1:29">
      <c r="A40" s="1460"/>
      <c r="B40" s="773">
        <v>111</v>
      </c>
      <c r="C40" s="774">
        <v>111</v>
      </c>
      <c r="D40" s="775">
        <v>100</v>
      </c>
      <c r="E40" s="770"/>
      <c r="F40" s="1462">
        <f>SUMIF(112:112,E40,113:113)-SUMIF(112:112,C40,113:113)+100</f>
        <v>100</v>
      </c>
      <c r="G40" s="1437"/>
      <c r="H40" s="775">
        <f>SUMIF(112:112,G40,113:113)-SUMIF(112:112,C40,113:113)+100</f>
        <v>100</v>
      </c>
      <c r="I40" s="1437"/>
      <c r="J40" s="775">
        <f>SUMIF(112:112,I40,113:113)-SUMIF(112:112,C40,113:113)+100</f>
        <v>100</v>
      </c>
      <c r="K40" s="908"/>
      <c r="L40" s="901"/>
      <c r="M40" s="884"/>
      <c r="N40" s="884"/>
      <c r="O40" s="900"/>
      <c r="P40" s="1572"/>
      <c r="Q40" s="893">
        <f t="shared" si="11"/>
        <v>111</v>
      </c>
      <c r="R40" s="947" t="s">
        <v>1045</v>
      </c>
      <c r="S40" s="948">
        <f t="shared" si="12"/>
        <v>100</v>
      </c>
      <c r="T40" s="947" t="s">
        <v>1045</v>
      </c>
      <c r="U40" s="948">
        <f t="shared" si="13"/>
        <v>100</v>
      </c>
      <c r="V40" s="947" t="s">
        <v>1045</v>
      </c>
      <c r="W40" s="948">
        <f t="shared" si="14"/>
        <v>100</v>
      </c>
      <c r="X40" s="934"/>
      <c r="Y40" s="1572"/>
      <c r="Z40" s="851">
        <f t="shared" si="15"/>
        <v>111</v>
      </c>
      <c r="AA40" s="963">
        <f t="shared" si="3"/>
        <v>1</v>
      </c>
      <c r="AB40" s="963">
        <f t="shared" si="4"/>
        <v>1</v>
      </c>
      <c r="AC40" s="963">
        <f t="shared" si="5"/>
        <v>1</v>
      </c>
    </row>
    <row r="41" ht="15" spans="1:29">
      <c r="A41" s="820" t="s">
        <v>1087</v>
      </c>
      <c r="B41" s="1463"/>
      <c r="C41" s="1464" t="s">
        <v>121</v>
      </c>
      <c r="D41" s="1465"/>
      <c r="E41" s="1466"/>
      <c r="F41" s="1467"/>
      <c r="G41" s="1468"/>
      <c r="H41" s="1469"/>
      <c r="I41" s="1466"/>
      <c r="J41" s="1469"/>
      <c r="K41" s="916"/>
      <c r="L41" s="917"/>
      <c r="N41" s="884"/>
      <c r="P41" s="893" t="str">
        <f>A41</f>
        <v>成交单价（元/平方米）</v>
      </c>
      <c r="Q41" s="893"/>
      <c r="R41" s="963">
        <f>E41</f>
        <v>0</v>
      </c>
      <c r="S41" s="963"/>
      <c r="T41" s="963">
        <f>G41</f>
        <v>0</v>
      </c>
      <c r="U41" s="963"/>
      <c r="V41" s="963">
        <f>I41</f>
        <v>0</v>
      </c>
      <c r="W41" s="963"/>
      <c r="X41" s="872"/>
      <c r="Y41" s="965"/>
      <c r="Z41" s="872"/>
      <c r="AA41" s="872"/>
      <c r="AB41" s="872"/>
      <c r="AC41" s="872"/>
    </row>
    <row r="42" ht="15.75" spans="1:29">
      <c r="A42" s="828" t="s">
        <v>1088</v>
      </c>
      <c r="B42" s="1470"/>
      <c r="C42" s="1471" t="e">
        <f>R43</f>
        <v>#DIV/0!</v>
      </c>
      <c r="D42" s="831" t="s">
        <v>1089</v>
      </c>
      <c r="E42" s="1472" t="e">
        <f>R42</f>
        <v>#DIV/0!</v>
      </c>
      <c r="F42" s="832"/>
      <c r="G42" s="1471" t="e">
        <f>T42</f>
        <v>#DIV/0!</v>
      </c>
      <c r="H42" s="832"/>
      <c r="I42" s="1472" t="e">
        <f>V42</f>
        <v>#DIV/0!</v>
      </c>
      <c r="J42" s="832"/>
      <c r="K42" s="918">
        <f>F42+H42+J42</f>
        <v>0</v>
      </c>
      <c r="L42" s="917"/>
      <c r="N42" s="884"/>
      <c r="P42" s="893" t="str">
        <f>A42</f>
        <v>比较价值（元/平方米）</v>
      </c>
      <c r="Q42" s="893"/>
      <c r="R42" s="963" t="e">
        <f>IF(E1="售价",ROUND(PRODUCT(R41,AA7:AA40),0),ROUND(PRODUCT(R41,AA7:AA40),1))</f>
        <v>#DIV/0!</v>
      </c>
      <c r="S42" s="963"/>
      <c r="T42" s="963" t="e">
        <f>IF(E1="售价",ROUND(PRODUCT(T41,AB7:AB40),0),ROUND(PRODUCT(T41,AB7:AB40),1))</f>
        <v>#DIV/0!</v>
      </c>
      <c r="U42" s="963"/>
      <c r="V42" s="963" t="e">
        <f>IF(E1="售价",ROUND(PRODUCT(V41,AC7:AC40),0),ROUND(PRODUCT(V41,AC7:AC40),1))</f>
        <v>#DIV/0!</v>
      </c>
      <c r="W42" s="963"/>
      <c r="X42" s="872"/>
      <c r="Y42" s="872"/>
      <c r="Z42" s="872"/>
      <c r="AA42" s="872"/>
      <c r="AB42" s="872"/>
      <c r="AC42" s="872"/>
    </row>
    <row r="43" ht="15.75" spans="1:29">
      <c r="A43" s="834" t="s">
        <v>1090</v>
      </c>
      <c r="B43" s="835"/>
      <c r="C43" s="1473" t="e">
        <f>R43</f>
        <v>#DIV/0!</v>
      </c>
      <c r="D43" s="1473"/>
      <c r="E43" s="1473"/>
      <c r="F43" s="1473"/>
      <c r="G43" s="1473"/>
      <c r="H43" s="1473"/>
      <c r="I43" s="1473"/>
      <c r="J43" s="1473"/>
      <c r="K43" s="919"/>
      <c r="L43" s="917"/>
      <c r="P43" s="920" t="str">
        <f>A43</f>
        <v>估价对象XX用房的比较价值（楼面单价，元/平方米）</v>
      </c>
      <c r="Q43" s="953"/>
      <c r="R43" s="1494" t="e">
        <f>IF(E1="售价",ROUND(IF(D42="简单平均",AVERAGE(R42:V42),R42*F42+T42*H42+V42*J42),0),ROUND(IF(D42="简单平均",AVERAGE(R42:V42),R42*F42+T42*H42+V42*J42),1))</f>
        <v>#DIV/0!</v>
      </c>
      <c r="S43" s="1494"/>
      <c r="T43" s="1494"/>
      <c r="U43" s="1494"/>
      <c r="V43" s="1494"/>
      <c r="W43" s="1494"/>
      <c r="X43" s="872"/>
      <c r="Y43" s="872"/>
      <c r="Z43" s="872"/>
      <c r="AA43" s="872"/>
      <c r="AB43" s="872"/>
      <c r="AC43" s="872"/>
    </row>
    <row r="44" spans="7:7">
      <c r="G44" s="837"/>
    </row>
    <row r="46" ht="13.5" customHeight="1" spans="3:10">
      <c r="C46" s="838" t="s">
        <v>1091</v>
      </c>
      <c r="D46" s="839"/>
      <c r="E46" s="840" t="e">
        <f>IF(E41&lt;E42,E42/E41-1,E41/E42-1)</f>
        <v>#DIV/0!</v>
      </c>
      <c r="F46" s="841" t="e">
        <f>IF(OR(E46&gt;=0.3,E46&lt;=-0.3),"超过30%","")</f>
        <v>#DIV/0!</v>
      </c>
      <c r="G46" s="840" t="e">
        <f>IF(G41&lt;G42,G42/G41-1,G41/G42-1)</f>
        <v>#DIV/0!</v>
      </c>
      <c r="H46" s="841" t="e">
        <f>IF(OR(G46&gt;=0.3,G46&lt;=-0.3),"超过30%","")</f>
        <v>#DIV/0!</v>
      </c>
      <c r="I46" s="840" t="e">
        <f>IF(I41&lt;I42,I42/I41-1,I41/I42-1)</f>
        <v>#DIV/0!</v>
      </c>
      <c r="J46" s="841" t="e">
        <f>IF(OR(I46&gt;=0.3,I46&lt;=-0.3),"超过30%","")</f>
        <v>#DIV/0!</v>
      </c>
    </row>
    <row r="47" ht="13.5" customHeight="1" spans="3:10">
      <c r="C47" s="838" t="s">
        <v>1092</v>
      </c>
      <c r="D47" s="842"/>
      <c r="E47" s="840" t="e">
        <f>IF(E42&lt;G42,G42/E42-1,E42/G42-1)</f>
        <v>#DIV/0!</v>
      </c>
      <c r="F47" s="841" t="e">
        <f>IF(OR(E47&gt;=0.2,E47&lt;=-0.2),"超过20%","")</f>
        <v>#DIV/0!</v>
      </c>
      <c r="G47" s="840" t="e">
        <f>IF(G42&lt;I42,I42/G42-1,G42/I42-1)</f>
        <v>#DIV/0!</v>
      </c>
      <c r="H47" s="841" t="e">
        <f>IF(OR(G47&gt;=0.2,G47&lt;=-0.2),"超过20%","")</f>
        <v>#DIV/0!</v>
      </c>
      <c r="I47" s="840" t="e">
        <f>IF(I42&lt;E42,E42/I42-1,I42/E42-1)</f>
        <v>#DIV/0!</v>
      </c>
      <c r="J47" s="841" t="e">
        <f>IF(OR(I47&gt;=0.2,I47&lt;=-0.2),"超过20%","")</f>
        <v>#DIV/0!</v>
      </c>
    </row>
    <row r="48" s="710" customFormat="1" ht="13.5" customHeight="1" spans="3:12">
      <c r="C48" s="838" t="s">
        <v>1093</v>
      </c>
      <c r="D48" s="842"/>
      <c r="E48" s="840" t="e">
        <f>IF(E41&lt;G41,G41/E41-1,E41/G41-1)</f>
        <v>#DIV/0!</v>
      </c>
      <c r="F48" s="841" t="e">
        <f>IF(OR(E48&gt;=0.3,E48&lt;=-0.3),"超过30%","")</f>
        <v>#DIV/0!</v>
      </c>
      <c r="G48" s="840" t="e">
        <f>IF(G41&lt;I41,I41/G41-1,G41/I41-1)</f>
        <v>#DIV/0!</v>
      </c>
      <c r="H48" s="841" t="e">
        <f>IF(OR(G48&gt;=0.3,G48&lt;=-0.3),"超过30%","")</f>
        <v>#DIV/0!</v>
      </c>
      <c r="I48" s="840" t="e">
        <f>IF(I41&lt;E41,E41/I41-1,I41/E41-1)</f>
        <v>#DIV/0!</v>
      </c>
      <c r="J48" s="841" t="e">
        <f>IF(OR(I48&gt;=0.3,I48&lt;=-0.3),"超过30%","")</f>
        <v>#DIV/0!</v>
      </c>
      <c r="K48" s="921"/>
      <c r="L48" s="922"/>
    </row>
    <row r="49" s="710" customFormat="1" spans="2:12">
      <c r="B49" s="843"/>
      <c r="C49" s="844"/>
      <c r="K49" s="921"/>
      <c r="L49" s="922"/>
    </row>
    <row r="50" spans="2:3">
      <c r="B50" s="843"/>
      <c r="C50" s="844"/>
    </row>
    <row r="51" ht="21" spans="1:17">
      <c r="A51" s="871" t="s">
        <v>1094</v>
      </c>
      <c r="B51" s="872"/>
      <c r="C51" s="873"/>
      <c r="D51" s="873"/>
      <c r="E51" s="873"/>
      <c r="F51" s="874"/>
      <c r="G51" s="874"/>
      <c r="H51" s="873"/>
      <c r="I51" s="873"/>
      <c r="J51" s="873"/>
      <c r="K51" s="1488"/>
      <c r="L51" s="1489"/>
      <c r="M51" s="873"/>
      <c r="N51" s="1490"/>
      <c r="O51" s="1490"/>
      <c r="P51" s="930"/>
      <c r="Q51" s="955"/>
    </row>
    <row r="52" s="712" customFormat="1" ht="15" spans="1:16">
      <c r="A52" s="1474" t="s">
        <v>1043</v>
      </c>
      <c r="B52" s="1475"/>
      <c r="C52" s="1476" t="str">
        <f>YEAR(C7)&amp;"-"&amp;MONTH(C7)</f>
        <v>2022-1</v>
      </c>
      <c r="D52" s="1477">
        <f>EDATE(C52,-1)</f>
        <v>44531</v>
      </c>
      <c r="E52" s="1571">
        <f t="shared" ref="E52:O52" si="16">EDATE(D52,-1)</f>
        <v>44501</v>
      </c>
      <c r="F52" s="1571">
        <f t="shared" si="16"/>
        <v>44470</v>
      </c>
      <c r="G52" s="1571">
        <f t="shared" si="16"/>
        <v>44440</v>
      </c>
      <c r="H52" s="1571">
        <f t="shared" si="16"/>
        <v>44409</v>
      </c>
      <c r="I52" s="1571">
        <f t="shared" si="16"/>
        <v>44378</v>
      </c>
      <c r="J52" s="1571">
        <f t="shared" si="16"/>
        <v>44348</v>
      </c>
      <c r="K52" s="1571">
        <f t="shared" si="16"/>
        <v>44317</v>
      </c>
      <c r="L52" s="1571">
        <f t="shared" si="16"/>
        <v>44287</v>
      </c>
      <c r="M52" s="1571">
        <f t="shared" si="16"/>
        <v>44256</v>
      </c>
      <c r="N52" s="1571">
        <f t="shared" si="16"/>
        <v>44228</v>
      </c>
      <c r="O52" s="1571">
        <f t="shared" si="16"/>
        <v>44197</v>
      </c>
      <c r="P52" s="1021"/>
    </row>
    <row r="53" s="707" customFormat="1" ht="15" spans="1:16">
      <c r="A53" s="1478"/>
      <c r="B53" s="977"/>
      <c r="C53" s="980">
        <v>100</v>
      </c>
      <c r="D53" s="981"/>
      <c r="E53" s="981"/>
      <c r="F53" s="981"/>
      <c r="G53" s="981"/>
      <c r="H53" s="981"/>
      <c r="I53" s="981"/>
      <c r="J53" s="981"/>
      <c r="K53" s="981"/>
      <c r="L53" s="981"/>
      <c r="M53" s="1491"/>
      <c r="N53" s="981"/>
      <c r="O53" s="1030"/>
      <c r="P53" s="955"/>
    </row>
    <row r="54" s="707" customFormat="1" ht="15.75" spans="1:17">
      <c r="A54" s="972" t="s">
        <v>1095</v>
      </c>
      <c r="B54" s="973"/>
      <c r="C54" s="974"/>
      <c r="D54" s="975"/>
      <c r="E54" s="975"/>
      <c r="F54" s="975"/>
      <c r="G54" s="975"/>
      <c r="H54" s="975"/>
      <c r="I54" s="975"/>
      <c r="J54" s="975"/>
      <c r="K54" s="975"/>
      <c r="L54" s="975"/>
      <c r="M54" s="1024"/>
      <c r="N54" s="975"/>
      <c r="O54" s="1492"/>
      <c r="P54" s="955"/>
      <c r="Q54" s="955"/>
    </row>
    <row r="55" s="707" customFormat="1" ht="15" spans="1:17">
      <c r="A55" s="976" t="s">
        <v>1046</v>
      </c>
      <c r="B55" s="977"/>
      <c r="C55" s="978" t="s">
        <v>1047</v>
      </c>
      <c r="D55" s="979"/>
      <c r="E55" s="979"/>
      <c r="F55" s="979"/>
      <c r="G55" s="979"/>
      <c r="H55" s="979"/>
      <c r="I55" s="979"/>
      <c r="J55" s="979"/>
      <c r="K55" s="979"/>
      <c r="L55" s="1026"/>
      <c r="M55" s="1027"/>
      <c r="N55" s="1028"/>
      <c r="O55" s="1028"/>
      <c r="P55" s="1029"/>
      <c r="Q55" s="955"/>
    </row>
    <row r="56" s="707" customFormat="1" ht="15.75" spans="1:17">
      <c r="A56" s="976"/>
      <c r="B56" s="977"/>
      <c r="C56" s="980">
        <v>100</v>
      </c>
      <c r="D56" s="981"/>
      <c r="E56" s="981"/>
      <c r="F56" s="981"/>
      <c r="G56" s="981"/>
      <c r="H56" s="981"/>
      <c r="I56" s="981"/>
      <c r="J56" s="981"/>
      <c r="K56" s="981"/>
      <c r="L56" s="981"/>
      <c r="M56" s="1030"/>
      <c r="N56" s="1028"/>
      <c r="O56" s="1028"/>
      <c r="P56" s="955"/>
      <c r="Q56" s="955"/>
    </row>
    <row r="57" spans="1:17">
      <c r="A57" s="982" t="s">
        <v>1096</v>
      </c>
      <c r="B57" s="983" t="s">
        <v>1051</v>
      </c>
      <c r="C57" s="1005">
        <f>C9</f>
        <v>0</v>
      </c>
      <c r="D57" s="914"/>
      <c r="E57" s="914"/>
      <c r="F57" s="914"/>
      <c r="G57" s="914"/>
      <c r="H57" s="914"/>
      <c r="I57" s="914"/>
      <c r="J57" s="914"/>
      <c r="K57" s="1031"/>
      <c r="L57" s="1032"/>
      <c r="M57" s="1033"/>
      <c r="N57" s="1034"/>
      <c r="O57" s="1034"/>
      <c r="P57" s="1035"/>
      <c r="Q57" s="955"/>
    </row>
    <row r="58" ht="15.75" spans="1:17">
      <c r="A58" s="984"/>
      <c r="B58" s="985"/>
      <c r="C58" s="986">
        <v>100</v>
      </c>
      <c r="D58" s="986"/>
      <c r="E58" s="986"/>
      <c r="F58" s="986"/>
      <c r="G58" s="986"/>
      <c r="H58" s="986"/>
      <c r="I58" s="986"/>
      <c r="J58" s="986"/>
      <c r="K58" s="986"/>
      <c r="L58" s="986"/>
      <c r="M58" s="1036"/>
      <c r="N58" s="1037"/>
      <c r="O58" s="1037"/>
      <c r="P58" s="1035"/>
      <c r="Q58" s="955"/>
    </row>
    <row r="59" ht="27.75" spans="1:17">
      <c r="A59" s="984"/>
      <c r="B59" s="987" t="s">
        <v>1054</v>
      </c>
      <c r="C59" s="988" t="s">
        <v>1097</v>
      </c>
      <c r="D59" s="988" t="s">
        <v>1098</v>
      </c>
      <c r="E59" s="988" t="s">
        <v>1099</v>
      </c>
      <c r="F59" s="988" t="s">
        <v>1100</v>
      </c>
      <c r="G59" s="988" t="s">
        <v>1101</v>
      </c>
      <c r="H59" s="988" t="s">
        <v>1102</v>
      </c>
      <c r="I59" s="988" t="s">
        <v>1103</v>
      </c>
      <c r="J59" s="988"/>
      <c r="K59" s="1038"/>
      <c r="L59" s="1039"/>
      <c r="M59" s="1040"/>
      <c r="N59" s="1034"/>
      <c r="O59" s="1034"/>
      <c r="P59" s="1035"/>
      <c r="Q59" s="955"/>
    </row>
    <row r="60" ht="15.75" spans="1:17">
      <c r="A60" s="984"/>
      <c r="B60" s="989"/>
      <c r="C60" s="990" t="s">
        <v>1482</v>
      </c>
      <c r="D60" s="990" t="s">
        <v>1482</v>
      </c>
      <c r="E60" s="990">
        <v>100</v>
      </c>
      <c r="F60" s="990">
        <f>E60-$K10</f>
        <v>100</v>
      </c>
      <c r="G60" s="990">
        <f>F60-$K10</f>
        <v>100</v>
      </c>
      <c r="H60" s="990">
        <f>G60-$K10</f>
        <v>100</v>
      </c>
      <c r="I60" s="990">
        <f>H60-$K10</f>
        <v>100</v>
      </c>
      <c r="J60" s="990"/>
      <c r="K60" s="990"/>
      <c r="L60" s="990"/>
      <c r="M60" s="1041"/>
      <c r="N60" s="1037"/>
      <c r="O60" s="1037"/>
      <c r="P60" s="1035"/>
      <c r="Q60" s="955"/>
    </row>
    <row r="61" ht="15.75" spans="1:17">
      <c r="A61" s="984"/>
      <c r="B61" s="991" t="s">
        <v>1056</v>
      </c>
      <c r="C61" s="992" t="str">
        <f>C62&amp;"（含）"&amp;"-"&amp;D62</f>
        <v>（含）-</v>
      </c>
      <c r="D61" s="992" t="str">
        <f t="shared" ref="D61:L61" si="17">D62&amp;"（含）"&amp;"-"&amp;E62</f>
        <v>（含）-</v>
      </c>
      <c r="E61" s="992" t="str">
        <f t="shared" si="17"/>
        <v>（含）-</v>
      </c>
      <c r="F61" s="992" t="str">
        <f t="shared" si="17"/>
        <v>（含）-</v>
      </c>
      <c r="G61" s="992" t="str">
        <f t="shared" si="17"/>
        <v>（含）-</v>
      </c>
      <c r="H61" s="992" t="str">
        <f t="shared" si="17"/>
        <v>（含）-</v>
      </c>
      <c r="I61" s="992" t="str">
        <f t="shared" si="17"/>
        <v>（含）-</v>
      </c>
      <c r="J61" s="992" t="str">
        <f t="shared" si="17"/>
        <v>（含）-</v>
      </c>
      <c r="K61" s="992" t="str">
        <f t="shared" si="17"/>
        <v>（含）-</v>
      </c>
      <c r="L61" s="992" t="str">
        <f t="shared" si="17"/>
        <v>（含）-</v>
      </c>
      <c r="M61" s="783" t="str">
        <f>M62&amp;"（含）"&amp;"-"&amp;P62</f>
        <v>（含）-</v>
      </c>
      <c r="N61" s="1037"/>
      <c r="O61" s="1037"/>
      <c r="P61" s="1035"/>
      <c r="Q61" s="955"/>
    </row>
    <row r="62" ht="15" spans="1:17">
      <c r="A62" s="984"/>
      <c r="B62" s="993"/>
      <c r="C62" s="768"/>
      <c r="D62" s="768"/>
      <c r="E62" s="768"/>
      <c r="F62" s="768"/>
      <c r="G62" s="768"/>
      <c r="H62" s="768"/>
      <c r="I62" s="768"/>
      <c r="J62" s="768"/>
      <c r="K62" s="1042"/>
      <c r="L62" s="1043"/>
      <c r="M62" s="1044"/>
      <c r="N62" s="1034"/>
      <c r="O62" s="1034"/>
      <c r="P62" s="1035"/>
      <c r="Q62" s="955"/>
    </row>
    <row r="63" ht="15.75" spans="1:17">
      <c r="A63" s="984"/>
      <c r="B63" s="985"/>
      <c r="C63" s="990">
        <v>100</v>
      </c>
      <c r="D63" s="990">
        <f t="shared" ref="D63:M63" si="18">C63-$K11</f>
        <v>100</v>
      </c>
      <c r="E63" s="990">
        <f t="shared" si="18"/>
        <v>100</v>
      </c>
      <c r="F63" s="990">
        <f t="shared" si="18"/>
        <v>100</v>
      </c>
      <c r="G63" s="990">
        <f t="shared" si="18"/>
        <v>100</v>
      </c>
      <c r="H63" s="990">
        <f t="shared" si="18"/>
        <v>100</v>
      </c>
      <c r="I63" s="990">
        <f t="shared" si="18"/>
        <v>100</v>
      </c>
      <c r="J63" s="990">
        <f t="shared" si="18"/>
        <v>100</v>
      </c>
      <c r="K63" s="990">
        <f t="shared" si="18"/>
        <v>100</v>
      </c>
      <c r="L63" s="990">
        <f t="shared" si="18"/>
        <v>100</v>
      </c>
      <c r="M63" s="1041">
        <f t="shared" si="18"/>
        <v>100</v>
      </c>
      <c r="N63" s="1037"/>
      <c r="O63" s="1037"/>
      <c r="P63" s="1035"/>
      <c r="Q63" s="955"/>
    </row>
    <row r="64" s="709" customFormat="1" ht="15.75" spans="1:17">
      <c r="A64" s="994"/>
      <c r="B64" s="987">
        <f>B12</f>
        <v>111</v>
      </c>
      <c r="C64" s="995"/>
      <c r="D64" s="995"/>
      <c r="E64" s="995"/>
      <c r="F64" s="995"/>
      <c r="G64" s="995"/>
      <c r="H64" s="996"/>
      <c r="I64" s="996"/>
      <c r="J64" s="996"/>
      <c r="K64" s="996"/>
      <c r="L64" s="1045"/>
      <c r="M64" s="1046"/>
      <c r="N64" s="1047"/>
      <c r="O64" s="1047"/>
      <c r="P64" s="1048"/>
      <c r="Q64" s="1077"/>
    </row>
    <row r="65" s="709" customFormat="1" ht="15.75" spans="1:17">
      <c r="A65" s="994"/>
      <c r="B65" s="989"/>
      <c r="C65" s="997"/>
      <c r="D65" s="986"/>
      <c r="E65" s="986"/>
      <c r="F65" s="986"/>
      <c r="G65" s="986"/>
      <c r="H65" s="986"/>
      <c r="I65" s="986"/>
      <c r="J65" s="986"/>
      <c r="K65" s="986"/>
      <c r="L65" s="986"/>
      <c r="M65" s="1036"/>
      <c r="N65" s="1037"/>
      <c r="O65" s="1037"/>
      <c r="P65" s="1048"/>
      <c r="Q65" s="1077"/>
    </row>
    <row r="66" s="709" customFormat="1" ht="15.75" spans="1:17">
      <c r="A66" s="994"/>
      <c r="B66" s="987">
        <f>B13</f>
        <v>111</v>
      </c>
      <c r="C66" s="995"/>
      <c r="D66" s="995"/>
      <c r="E66" s="995"/>
      <c r="F66" s="995"/>
      <c r="G66" s="995"/>
      <c r="H66" s="996"/>
      <c r="I66" s="996"/>
      <c r="J66" s="996"/>
      <c r="K66" s="996"/>
      <c r="L66" s="1045"/>
      <c r="M66" s="1046"/>
      <c r="N66" s="1047"/>
      <c r="O66" s="1047"/>
      <c r="P66" s="911"/>
      <c r="Q66" s="1078"/>
    </row>
    <row r="67" s="709" customFormat="1" ht="15.75" spans="1:17">
      <c r="A67" s="994"/>
      <c r="B67" s="989"/>
      <c r="C67" s="997"/>
      <c r="D67" s="986"/>
      <c r="E67" s="986"/>
      <c r="F67" s="986"/>
      <c r="G67" s="997"/>
      <c r="H67" s="998"/>
      <c r="I67" s="998"/>
      <c r="J67" s="998"/>
      <c r="K67" s="998"/>
      <c r="L67" s="998"/>
      <c r="M67" s="1049"/>
      <c r="N67" s="1047"/>
      <c r="O67" s="1047"/>
      <c r="P67" s="1048"/>
      <c r="Q67" s="1077"/>
    </row>
    <row r="68" s="709" customFormat="1" ht="15.75" spans="1:17">
      <c r="A68" s="994"/>
      <c r="B68" s="991">
        <f>B14</f>
        <v>111</v>
      </c>
      <c r="C68" s="979"/>
      <c r="D68" s="979"/>
      <c r="E68" s="979"/>
      <c r="F68" s="979"/>
      <c r="G68" s="979"/>
      <c r="H68" s="999"/>
      <c r="I68" s="999"/>
      <c r="J68" s="999"/>
      <c r="K68" s="999"/>
      <c r="L68" s="1050"/>
      <c r="M68" s="1051"/>
      <c r="N68" s="1047"/>
      <c r="O68" s="1047"/>
      <c r="P68" s="1052"/>
      <c r="Q68" s="1077"/>
    </row>
    <row r="69" s="709" customFormat="1" ht="15.75" spans="1:17">
      <c r="A69" s="1000"/>
      <c r="B69" s="1001"/>
      <c r="C69" s="1002"/>
      <c r="D69" s="1002"/>
      <c r="E69" s="1002"/>
      <c r="F69" s="1002"/>
      <c r="G69" s="1002"/>
      <c r="H69" s="1003"/>
      <c r="I69" s="1003"/>
      <c r="J69" s="1003"/>
      <c r="K69" s="1003"/>
      <c r="L69" s="1003"/>
      <c r="M69" s="1053"/>
      <c r="N69" s="1047"/>
      <c r="O69" s="1047"/>
      <c r="P69" s="1048"/>
      <c r="Q69" s="1077"/>
    </row>
    <row r="70" spans="1:17">
      <c r="A70" s="982" t="s">
        <v>1057</v>
      </c>
      <c r="B70" s="983" t="s">
        <v>208</v>
      </c>
      <c r="C70" s="1004" t="s">
        <v>226</v>
      </c>
      <c r="D70" s="1004" t="s">
        <v>238</v>
      </c>
      <c r="E70" s="1004" t="s">
        <v>249</v>
      </c>
      <c r="F70" s="1004" t="s">
        <v>259</v>
      </c>
      <c r="G70" s="1004" t="s">
        <v>266</v>
      </c>
      <c r="H70" s="1005"/>
      <c r="I70" s="1005"/>
      <c r="J70" s="1005"/>
      <c r="K70" s="1054"/>
      <c r="L70" s="1055"/>
      <c r="M70" s="1056"/>
      <c r="N70" s="1034"/>
      <c r="O70" s="1034"/>
      <c r="P70" s="1057"/>
      <c r="Q70" s="955"/>
    </row>
    <row r="71" ht="15.75" spans="1:17">
      <c r="A71" s="984"/>
      <c r="B71" s="989"/>
      <c r="C71" s="990">
        <v>100</v>
      </c>
      <c r="D71" s="990">
        <f>C71-$K15</f>
        <v>100</v>
      </c>
      <c r="E71" s="990">
        <f>D71-$K15</f>
        <v>100</v>
      </c>
      <c r="F71" s="990">
        <f>E71-$K15</f>
        <v>100</v>
      </c>
      <c r="G71" s="990">
        <f>F71-$K15</f>
        <v>100</v>
      </c>
      <c r="H71" s="990"/>
      <c r="I71" s="990"/>
      <c r="J71" s="990"/>
      <c r="K71" s="990"/>
      <c r="L71" s="990"/>
      <c r="M71" s="1041"/>
      <c r="N71" s="1037"/>
      <c r="O71" s="1037"/>
      <c r="P71" s="1035"/>
      <c r="Q71" s="955"/>
    </row>
    <row r="72" ht="15.75" spans="1:17">
      <c r="A72" s="984"/>
      <c r="B72" s="987" t="s">
        <v>209</v>
      </c>
      <c r="C72" s="1006" t="s">
        <v>226</v>
      </c>
      <c r="D72" s="1006" t="s">
        <v>238</v>
      </c>
      <c r="E72" s="1006" t="s">
        <v>249</v>
      </c>
      <c r="F72" s="1006" t="s">
        <v>259</v>
      </c>
      <c r="G72" s="1006" t="s">
        <v>266</v>
      </c>
      <c r="H72" s="988"/>
      <c r="I72" s="988"/>
      <c r="J72" s="988"/>
      <c r="K72" s="1038"/>
      <c r="L72" s="1039"/>
      <c r="M72" s="1040"/>
      <c r="N72" s="1034"/>
      <c r="O72" s="1034"/>
      <c r="P72" s="1035"/>
      <c r="Q72" s="955"/>
    </row>
    <row r="73" ht="15.75" spans="1:17">
      <c r="A73" s="984"/>
      <c r="B73" s="989"/>
      <c r="C73" s="990">
        <v>100</v>
      </c>
      <c r="D73" s="990">
        <f>C73-$K17</f>
        <v>100</v>
      </c>
      <c r="E73" s="990">
        <f>D73-$K17</f>
        <v>100</v>
      </c>
      <c r="F73" s="990">
        <f>E73-$K17</f>
        <v>100</v>
      </c>
      <c r="G73" s="990">
        <f>F73-$K17</f>
        <v>100</v>
      </c>
      <c r="H73" s="990"/>
      <c r="I73" s="990"/>
      <c r="J73" s="990"/>
      <c r="K73" s="990"/>
      <c r="L73" s="990"/>
      <c r="M73" s="1041"/>
      <c r="N73" s="1037"/>
      <c r="O73" s="1037"/>
      <c r="P73" s="1035"/>
      <c r="Q73" s="955"/>
    </row>
    <row r="74" ht="15.75" spans="1:17">
      <c r="A74" s="984"/>
      <c r="B74" s="987" t="s">
        <v>211</v>
      </c>
      <c r="C74" s="1006" t="s">
        <v>226</v>
      </c>
      <c r="D74" s="1006" t="s">
        <v>238</v>
      </c>
      <c r="E74" s="1006" t="s">
        <v>249</v>
      </c>
      <c r="F74" s="1006" t="s">
        <v>259</v>
      </c>
      <c r="G74" s="1006" t="s">
        <v>266</v>
      </c>
      <c r="H74" s="988"/>
      <c r="I74" s="988"/>
      <c r="J74" s="988"/>
      <c r="K74" s="1038"/>
      <c r="L74" s="1039"/>
      <c r="M74" s="1040"/>
      <c r="N74" s="1034"/>
      <c r="O74" s="1034"/>
      <c r="P74" s="1035"/>
      <c r="Q74" s="955"/>
    </row>
    <row r="75" ht="15.75" spans="1:17">
      <c r="A75" s="984"/>
      <c r="B75" s="989"/>
      <c r="C75" s="990">
        <v>100</v>
      </c>
      <c r="D75" s="990">
        <f>C75-$K19</f>
        <v>100</v>
      </c>
      <c r="E75" s="990">
        <f>D75-$K19</f>
        <v>100</v>
      </c>
      <c r="F75" s="990">
        <f>E75-$K19</f>
        <v>100</v>
      </c>
      <c r="G75" s="990">
        <f>F75-$K19</f>
        <v>100</v>
      </c>
      <c r="H75" s="990"/>
      <c r="I75" s="990"/>
      <c r="J75" s="990"/>
      <c r="K75" s="990"/>
      <c r="L75" s="990"/>
      <c r="M75" s="1041"/>
      <c r="N75" s="1037"/>
      <c r="O75" s="1037"/>
      <c r="P75" s="1035"/>
      <c r="Q75" s="955"/>
    </row>
    <row r="76" ht="15.75" spans="1:17">
      <c r="A76" s="984"/>
      <c r="B76" s="991" t="s">
        <v>212</v>
      </c>
      <c r="C76" s="988" t="s">
        <v>1104</v>
      </c>
      <c r="D76" s="988" t="s">
        <v>1105</v>
      </c>
      <c r="E76" s="988" t="s">
        <v>1106</v>
      </c>
      <c r="F76" s="988" t="s">
        <v>1107</v>
      </c>
      <c r="G76" s="988" t="s">
        <v>1108</v>
      </c>
      <c r="H76" s="988"/>
      <c r="I76" s="988"/>
      <c r="J76" s="988"/>
      <c r="K76" s="988"/>
      <c r="L76" s="988"/>
      <c r="M76" s="1497"/>
      <c r="N76" s="1037"/>
      <c r="O76" s="1037"/>
      <c r="P76" s="1035"/>
      <c r="Q76" s="955"/>
    </row>
    <row r="77" ht="15.75" spans="1:17">
      <c r="A77" s="984"/>
      <c r="B77" s="991"/>
      <c r="C77" s="990">
        <v>100</v>
      </c>
      <c r="D77" s="990">
        <f>C77-$K21</f>
        <v>100</v>
      </c>
      <c r="E77" s="990">
        <f>D77-$K21</f>
        <v>100</v>
      </c>
      <c r="F77" s="990">
        <f>E77-$K21</f>
        <v>100</v>
      </c>
      <c r="G77" s="990">
        <f>F77-$K21</f>
        <v>100</v>
      </c>
      <c r="H77" s="1480"/>
      <c r="I77" s="1480"/>
      <c r="J77" s="1480"/>
      <c r="K77" s="1480"/>
      <c r="L77" s="1480"/>
      <c r="M77" s="785"/>
      <c r="N77" s="1037"/>
      <c r="O77" s="1037"/>
      <c r="P77" s="1035"/>
      <c r="Q77" s="955"/>
    </row>
    <row r="78" ht="15.75" spans="1:17">
      <c r="A78" s="984"/>
      <c r="B78" s="987" t="s">
        <v>213</v>
      </c>
      <c r="C78" s="1006" t="s">
        <v>226</v>
      </c>
      <c r="D78" s="1006" t="s">
        <v>238</v>
      </c>
      <c r="E78" s="1006" t="s">
        <v>249</v>
      </c>
      <c r="F78" s="1006" t="s">
        <v>259</v>
      </c>
      <c r="G78" s="1006" t="s">
        <v>266</v>
      </c>
      <c r="H78" s="988"/>
      <c r="I78" s="988"/>
      <c r="J78" s="988"/>
      <c r="K78" s="1038"/>
      <c r="L78" s="1039"/>
      <c r="M78" s="1040"/>
      <c r="N78" s="1034"/>
      <c r="O78" s="1034"/>
      <c r="P78" s="1035"/>
      <c r="Q78" s="955"/>
    </row>
    <row r="79" ht="15.75" spans="1:17">
      <c r="A79" s="984"/>
      <c r="B79" s="989"/>
      <c r="C79" s="990">
        <v>100</v>
      </c>
      <c r="D79" s="990">
        <f>C79-$K23</f>
        <v>100</v>
      </c>
      <c r="E79" s="990">
        <f>D79-$K23</f>
        <v>100</v>
      </c>
      <c r="F79" s="990">
        <f>E79-$K23</f>
        <v>100</v>
      </c>
      <c r="G79" s="990">
        <f>F79-$K23</f>
        <v>100</v>
      </c>
      <c r="H79" s="990"/>
      <c r="I79" s="990"/>
      <c r="J79" s="990"/>
      <c r="K79" s="990"/>
      <c r="L79" s="990"/>
      <c r="M79" s="1041"/>
      <c r="N79" s="1037"/>
      <c r="O79" s="1037"/>
      <c r="P79" s="1035"/>
      <c r="Q79" s="955"/>
    </row>
    <row r="80" s="707" customFormat="1" ht="15.75" spans="1:17">
      <c r="A80" s="1007"/>
      <c r="B80" s="987">
        <f>B25</f>
        <v>111</v>
      </c>
      <c r="C80" s="995"/>
      <c r="D80" s="995"/>
      <c r="E80" s="995"/>
      <c r="F80" s="995"/>
      <c r="G80" s="995"/>
      <c r="H80" s="995"/>
      <c r="I80" s="995"/>
      <c r="J80" s="995"/>
      <c r="K80" s="995"/>
      <c r="L80" s="1353"/>
      <c r="M80" s="1498"/>
      <c r="N80" s="1028"/>
      <c r="O80" s="1028"/>
      <c r="P80" s="1035"/>
      <c r="Q80" s="955"/>
    </row>
    <row r="81" s="707" customFormat="1" ht="15.75" spans="1:17">
      <c r="A81" s="1007"/>
      <c r="B81" s="989"/>
      <c r="C81" s="997"/>
      <c r="D81" s="986"/>
      <c r="E81" s="986"/>
      <c r="F81" s="986"/>
      <c r="G81" s="986"/>
      <c r="H81" s="986"/>
      <c r="I81" s="986"/>
      <c r="J81" s="986"/>
      <c r="K81" s="986"/>
      <c r="L81" s="986"/>
      <c r="M81" s="1036"/>
      <c r="N81" s="1037"/>
      <c r="O81" s="1037"/>
      <c r="P81" s="1035"/>
      <c r="Q81" s="955"/>
    </row>
    <row r="82" s="707" customFormat="1" ht="15.75" spans="1:17">
      <c r="A82" s="1007"/>
      <c r="B82" s="987">
        <f>B26</f>
        <v>111</v>
      </c>
      <c r="C82" s="995"/>
      <c r="D82" s="995"/>
      <c r="E82" s="995"/>
      <c r="F82" s="995"/>
      <c r="G82" s="995"/>
      <c r="H82" s="995"/>
      <c r="I82" s="995"/>
      <c r="J82" s="995"/>
      <c r="K82" s="995"/>
      <c r="L82" s="1353"/>
      <c r="M82" s="1498"/>
      <c r="N82" s="1028"/>
      <c r="O82" s="1028"/>
      <c r="P82" s="1035"/>
      <c r="Q82" s="955"/>
    </row>
    <row r="83" s="707" customFormat="1" ht="15.75" spans="1:17">
      <c r="A83" s="1007"/>
      <c r="B83" s="989"/>
      <c r="C83" s="997"/>
      <c r="D83" s="986"/>
      <c r="E83" s="986"/>
      <c r="F83" s="986"/>
      <c r="G83" s="986"/>
      <c r="H83" s="986"/>
      <c r="I83" s="986"/>
      <c r="J83" s="986"/>
      <c r="K83" s="986"/>
      <c r="L83" s="986"/>
      <c r="M83" s="1036"/>
      <c r="N83" s="1037"/>
      <c r="O83" s="1037"/>
      <c r="P83" s="1035"/>
      <c r="Q83" s="955"/>
    </row>
    <row r="84" s="709" customFormat="1" ht="15.75" spans="1:17">
      <c r="A84" s="994"/>
      <c r="B84" s="987">
        <f>B27</f>
        <v>111</v>
      </c>
      <c r="C84" s="995"/>
      <c r="D84" s="995"/>
      <c r="E84" s="995"/>
      <c r="F84" s="995"/>
      <c r="G84" s="995"/>
      <c r="H84" s="995"/>
      <c r="I84" s="995"/>
      <c r="J84" s="995"/>
      <c r="K84" s="995"/>
      <c r="L84" s="1353"/>
      <c r="M84" s="1498"/>
      <c r="N84" s="1047"/>
      <c r="O84" s="1047"/>
      <c r="P84" s="1048"/>
      <c r="Q84" s="1077"/>
    </row>
    <row r="85" s="709" customFormat="1" ht="15.75" spans="1:17">
      <c r="A85" s="994"/>
      <c r="B85" s="989"/>
      <c r="C85" s="997"/>
      <c r="D85" s="986"/>
      <c r="E85" s="986"/>
      <c r="F85" s="986"/>
      <c r="G85" s="986"/>
      <c r="H85" s="986"/>
      <c r="I85" s="986"/>
      <c r="J85" s="986"/>
      <c r="K85" s="986"/>
      <c r="L85" s="986"/>
      <c r="M85" s="1036"/>
      <c r="N85" s="1047"/>
      <c r="O85" s="1047"/>
      <c r="P85" s="1048"/>
      <c r="Q85" s="1077"/>
    </row>
    <row r="86" ht="15.75" spans="1:17">
      <c r="A86" s="984"/>
      <c r="B86" s="991">
        <f>B28</f>
        <v>111</v>
      </c>
      <c r="C86" s="979"/>
      <c r="D86" s="979"/>
      <c r="E86" s="979"/>
      <c r="F86" s="979"/>
      <c r="G86" s="1012"/>
      <c r="H86" s="1012"/>
      <c r="I86" s="1012"/>
      <c r="J86" s="1012"/>
      <c r="K86" s="1067"/>
      <c r="L86" s="1068"/>
      <c r="M86" s="1069"/>
      <c r="N86" s="1034"/>
      <c r="O86" s="1034"/>
      <c r="P86" s="1035"/>
      <c r="Q86" s="955"/>
    </row>
    <row r="87" ht="15.75" spans="1:17">
      <c r="A87" s="1573"/>
      <c r="B87" s="1001"/>
      <c r="C87" s="1002"/>
      <c r="D87" s="1002"/>
      <c r="E87" s="1002"/>
      <c r="F87" s="1002"/>
      <c r="G87" s="1013"/>
      <c r="H87" s="1013"/>
      <c r="I87" s="1013"/>
      <c r="J87" s="1013"/>
      <c r="K87" s="1013"/>
      <c r="L87" s="1013"/>
      <c r="M87" s="1070"/>
      <c r="N87" s="1037"/>
      <c r="O87" s="1037"/>
      <c r="P87" s="1035"/>
      <c r="Q87" s="955"/>
    </row>
    <row r="88" spans="1:17">
      <c r="A88" s="982" t="s">
        <v>1070</v>
      </c>
      <c r="B88" s="983" t="s">
        <v>1071</v>
      </c>
      <c r="C88" s="914"/>
      <c r="D88" s="914"/>
      <c r="E88" s="914"/>
      <c r="F88" s="914"/>
      <c r="G88" s="914"/>
      <c r="H88" s="914"/>
      <c r="I88" s="914"/>
      <c r="J88" s="914"/>
      <c r="K88" s="1031"/>
      <c r="L88" s="1032"/>
      <c r="M88" s="1033"/>
      <c r="N88" s="1034"/>
      <c r="O88" s="1034"/>
      <c r="P88" s="1035"/>
      <c r="Q88" s="955"/>
    </row>
    <row r="89" ht="15.75" spans="1:17">
      <c r="A89" s="984"/>
      <c r="B89" s="989"/>
      <c r="C89" s="990">
        <v>100</v>
      </c>
      <c r="D89" s="990">
        <f t="shared" ref="D89:M89" si="19">C89-$K29</f>
        <v>100</v>
      </c>
      <c r="E89" s="990">
        <f t="shared" si="19"/>
        <v>100</v>
      </c>
      <c r="F89" s="990">
        <f t="shared" si="19"/>
        <v>100</v>
      </c>
      <c r="G89" s="990">
        <f t="shared" si="19"/>
        <v>100</v>
      </c>
      <c r="H89" s="990">
        <f t="shared" si="19"/>
        <v>100</v>
      </c>
      <c r="I89" s="990">
        <f t="shared" si="19"/>
        <v>100</v>
      </c>
      <c r="J89" s="990">
        <f t="shared" si="19"/>
        <v>100</v>
      </c>
      <c r="K89" s="990">
        <f t="shared" si="19"/>
        <v>100</v>
      </c>
      <c r="L89" s="990">
        <f t="shared" si="19"/>
        <v>100</v>
      </c>
      <c r="M89" s="1041">
        <f t="shared" si="19"/>
        <v>100</v>
      </c>
      <c r="N89" s="1037"/>
      <c r="O89" s="1037"/>
      <c r="P89" s="1035"/>
      <c r="Q89" s="955"/>
    </row>
    <row r="90" ht="15.75" spans="1:17">
      <c r="A90" s="984"/>
      <c r="B90" s="987" t="s">
        <v>1074</v>
      </c>
      <c r="C90" s="1006" t="str">
        <f>C91&amp;"(含)"&amp;"-"&amp;D91</f>
        <v>(含)-</v>
      </c>
      <c r="D90" s="1006" t="str">
        <f t="shared" ref="D90:L90" si="20">D91&amp;"(含)"&amp;"-"&amp;E91</f>
        <v>(含)-</v>
      </c>
      <c r="E90" s="1006" t="str">
        <f t="shared" si="20"/>
        <v>(含)-</v>
      </c>
      <c r="F90" s="1006" t="str">
        <f t="shared" si="20"/>
        <v>(含)-</v>
      </c>
      <c r="G90" s="1006" t="str">
        <f t="shared" si="20"/>
        <v>(含)-</v>
      </c>
      <c r="H90" s="1006" t="str">
        <f t="shared" si="20"/>
        <v>(含)-</v>
      </c>
      <c r="I90" s="1006" t="str">
        <f t="shared" si="20"/>
        <v>(含)-</v>
      </c>
      <c r="J90" s="1006" t="str">
        <f t="shared" si="20"/>
        <v>(含)-</v>
      </c>
      <c r="K90" s="1006" t="str">
        <f t="shared" si="20"/>
        <v>(含)-</v>
      </c>
      <c r="L90" s="1006" t="str">
        <f t="shared" si="20"/>
        <v>(含)-</v>
      </c>
      <c r="M90" s="1059" t="str">
        <f>M91&amp;"(含)"&amp;"-"&amp;P91</f>
        <v>(含)-</v>
      </c>
      <c r="N90" s="1028"/>
      <c r="O90" s="1028"/>
      <c r="P90" s="1035"/>
      <c r="Q90" s="955"/>
    </row>
    <row r="91" s="709" customFormat="1" ht="15" spans="1:17">
      <c r="A91" s="1014"/>
      <c r="B91" s="1015"/>
      <c r="C91" s="971"/>
      <c r="D91" s="971"/>
      <c r="E91" s="971"/>
      <c r="F91" s="971"/>
      <c r="G91" s="971"/>
      <c r="H91" s="971"/>
      <c r="I91" s="971"/>
      <c r="J91" s="1071"/>
      <c r="K91" s="1071"/>
      <c r="L91" s="1072"/>
      <c r="M91" s="1073"/>
      <c r="N91" s="1047"/>
      <c r="O91" s="1047"/>
      <c r="P91" s="1048"/>
      <c r="Q91" s="1077"/>
    </row>
    <row r="92" s="709" customFormat="1" ht="15.75" spans="1:17">
      <c r="A92" s="994"/>
      <c r="B92" s="989"/>
      <c r="C92" s="997"/>
      <c r="D92" s="986"/>
      <c r="E92" s="986"/>
      <c r="F92" s="986"/>
      <c r="G92" s="986"/>
      <c r="H92" s="986"/>
      <c r="I92" s="986"/>
      <c r="J92" s="986"/>
      <c r="K92" s="986"/>
      <c r="L92" s="986"/>
      <c r="M92" s="1036"/>
      <c r="N92" s="1037"/>
      <c r="O92" s="1037"/>
      <c r="P92" s="1048"/>
      <c r="Q92" s="1077"/>
    </row>
    <row r="93" ht="15.75" spans="1:17">
      <c r="A93" s="1018"/>
      <c r="B93" s="987" t="s">
        <v>1075</v>
      </c>
      <c r="C93" s="995"/>
      <c r="D93" s="995"/>
      <c r="E93" s="1011"/>
      <c r="F93" s="1011"/>
      <c r="G93" s="1011"/>
      <c r="H93" s="1011"/>
      <c r="I93" s="1011"/>
      <c r="J93" s="1011"/>
      <c r="K93" s="1064"/>
      <c r="L93" s="1065"/>
      <c r="M93" s="1066"/>
      <c r="N93" s="1034"/>
      <c r="O93" s="1034"/>
      <c r="P93" s="1035"/>
      <c r="Q93" s="955"/>
    </row>
    <row r="94" ht="15.75" spans="1:17">
      <c r="A94" s="984"/>
      <c r="B94" s="989"/>
      <c r="C94" s="990">
        <v>100</v>
      </c>
      <c r="D94" s="990">
        <f t="shared" ref="D94:M94" si="21">C94-$K31</f>
        <v>100</v>
      </c>
      <c r="E94" s="990">
        <f t="shared" si="21"/>
        <v>100</v>
      </c>
      <c r="F94" s="990">
        <f t="shared" si="21"/>
        <v>100</v>
      </c>
      <c r="G94" s="990">
        <f t="shared" si="21"/>
        <v>100</v>
      </c>
      <c r="H94" s="990">
        <f t="shared" si="21"/>
        <v>100</v>
      </c>
      <c r="I94" s="990">
        <f t="shared" si="21"/>
        <v>100</v>
      </c>
      <c r="J94" s="990">
        <f t="shared" si="21"/>
        <v>100</v>
      </c>
      <c r="K94" s="990">
        <f t="shared" si="21"/>
        <v>100</v>
      </c>
      <c r="L94" s="990">
        <f t="shared" si="21"/>
        <v>100</v>
      </c>
      <c r="M94" s="1041">
        <f t="shared" si="21"/>
        <v>100</v>
      </c>
      <c r="N94" s="1037"/>
      <c r="O94" s="1037"/>
      <c r="P94" s="1035"/>
      <c r="Q94" s="955"/>
    </row>
    <row r="95" ht="15.75" spans="1:17">
      <c r="A95" s="1018"/>
      <c r="B95" s="987" t="s">
        <v>1077</v>
      </c>
      <c r="C95" s="995"/>
      <c r="D95" s="995"/>
      <c r="E95" s="995"/>
      <c r="F95" s="1011"/>
      <c r="G95" s="1011"/>
      <c r="H95" s="1011"/>
      <c r="I95" s="1011"/>
      <c r="J95" s="1011"/>
      <c r="K95" s="1064"/>
      <c r="L95" s="1065"/>
      <c r="M95" s="1066"/>
      <c r="N95" s="1034"/>
      <c r="O95" s="1034"/>
      <c r="P95" s="1035"/>
      <c r="Q95" s="955"/>
    </row>
    <row r="96" ht="15.75" spans="1:17">
      <c r="A96" s="984"/>
      <c r="B96" s="989"/>
      <c r="C96" s="990">
        <v>100</v>
      </c>
      <c r="D96" s="990">
        <f t="shared" ref="D96:M96" si="22">C96-$K32</f>
        <v>100</v>
      </c>
      <c r="E96" s="990">
        <f t="shared" si="22"/>
        <v>100</v>
      </c>
      <c r="F96" s="990">
        <f t="shared" si="22"/>
        <v>100</v>
      </c>
      <c r="G96" s="990">
        <f t="shared" si="22"/>
        <v>100</v>
      </c>
      <c r="H96" s="990">
        <f t="shared" si="22"/>
        <v>100</v>
      </c>
      <c r="I96" s="990">
        <f t="shared" si="22"/>
        <v>100</v>
      </c>
      <c r="J96" s="990">
        <f t="shared" si="22"/>
        <v>100</v>
      </c>
      <c r="K96" s="990">
        <f t="shared" si="22"/>
        <v>100</v>
      </c>
      <c r="L96" s="990">
        <f t="shared" si="22"/>
        <v>100</v>
      </c>
      <c r="M96" s="1041">
        <f t="shared" si="22"/>
        <v>100</v>
      </c>
      <c r="N96" s="1037"/>
      <c r="O96" s="1037"/>
      <c r="P96" s="1035"/>
      <c r="Q96" s="955"/>
    </row>
    <row r="97" ht="15.75" spans="1:17">
      <c r="A97" s="1018"/>
      <c r="B97" s="987" t="s">
        <v>1078</v>
      </c>
      <c r="C97" s="1006" t="str">
        <f>C98&amp;"(含)"&amp;"-"&amp;D98</f>
        <v>0.5(含)-0.6</v>
      </c>
      <c r="D97" s="1006" t="str">
        <f>D98&amp;"(含)"&amp;"-"&amp;E98</f>
        <v>0.6(含)-0.7</v>
      </c>
      <c r="E97" s="1006" t="str">
        <f>E98&amp;"(含)"&amp;"-"&amp;F98</f>
        <v>0.7(含)-0.8</v>
      </c>
      <c r="F97" s="1006" t="str">
        <f>F98&amp;"(含)"&amp;"-"&amp;G98</f>
        <v>0.8(含)-0.9</v>
      </c>
      <c r="G97" s="1006" t="str">
        <f>G98&amp;"(含)"&amp;"-"&amp;H98</f>
        <v>0.9(含)-1</v>
      </c>
      <c r="H97" s="1006"/>
      <c r="I97" s="1011"/>
      <c r="J97" s="1011"/>
      <c r="K97" s="1064"/>
      <c r="L97" s="1065"/>
      <c r="M97" s="1066"/>
      <c r="N97" s="1034"/>
      <c r="O97" s="1034"/>
      <c r="P97" s="1035"/>
      <c r="Q97" s="955"/>
    </row>
    <row r="98" ht="15" spans="1:17">
      <c r="A98" s="1018"/>
      <c r="B98" s="991"/>
      <c r="C98" s="369">
        <v>0.5</v>
      </c>
      <c r="D98" s="369">
        <v>0.6</v>
      </c>
      <c r="E98" s="369">
        <v>0.7</v>
      </c>
      <c r="F98" s="369">
        <v>0.8</v>
      </c>
      <c r="G98" s="369">
        <v>0.9</v>
      </c>
      <c r="H98" s="369">
        <v>1</v>
      </c>
      <c r="I98" s="1558"/>
      <c r="J98" s="1558"/>
      <c r="K98" s="1559"/>
      <c r="L98" s="1560"/>
      <c r="M98" s="1561"/>
      <c r="N98" s="1034"/>
      <c r="O98" s="1034"/>
      <c r="P98" s="1035"/>
      <c r="Q98" s="955"/>
    </row>
    <row r="99" ht="15.75" spans="1:17">
      <c r="A99" s="984"/>
      <c r="B99" s="989"/>
      <c r="C99" s="1008">
        <v>100</v>
      </c>
      <c r="D99" s="990">
        <f>C99+$K33</f>
        <v>100</v>
      </c>
      <c r="E99" s="990">
        <f t="shared" ref="E99:M99" si="23">D99+$K33</f>
        <v>100</v>
      </c>
      <c r="F99" s="990">
        <f t="shared" si="23"/>
        <v>100</v>
      </c>
      <c r="G99" s="990">
        <f t="shared" si="23"/>
        <v>100</v>
      </c>
      <c r="H99" s="990">
        <f t="shared" si="23"/>
        <v>100</v>
      </c>
      <c r="I99" s="990">
        <f t="shared" si="23"/>
        <v>100</v>
      </c>
      <c r="J99" s="990">
        <f t="shared" si="23"/>
        <v>100</v>
      </c>
      <c r="K99" s="990">
        <f t="shared" si="23"/>
        <v>100</v>
      </c>
      <c r="L99" s="990">
        <f t="shared" si="23"/>
        <v>100</v>
      </c>
      <c r="M99" s="990">
        <f t="shared" si="23"/>
        <v>100</v>
      </c>
      <c r="N99" s="1037"/>
      <c r="O99" s="1037"/>
      <c r="P99" s="1035"/>
      <c r="Q99" s="955"/>
    </row>
    <row r="100" s="709" customFormat="1" ht="15.75" spans="1:17">
      <c r="A100" s="1014"/>
      <c r="B100" s="987" t="s">
        <v>1079</v>
      </c>
      <c r="C100" s="995"/>
      <c r="D100" s="995"/>
      <c r="E100" s="995"/>
      <c r="F100" s="995"/>
      <c r="G100" s="995"/>
      <c r="H100" s="1011"/>
      <c r="I100" s="1011"/>
      <c r="J100" s="1011"/>
      <c r="K100" s="1064"/>
      <c r="L100" s="1065"/>
      <c r="M100" s="1066"/>
      <c r="N100" s="1047"/>
      <c r="O100" s="1047"/>
      <c r="P100" s="1048"/>
      <c r="Q100" s="1077"/>
    </row>
    <row r="101" s="709" customFormat="1" ht="15.75" spans="1:17">
      <c r="A101" s="994"/>
      <c r="B101" s="989"/>
      <c r="C101" s="990">
        <v>100</v>
      </c>
      <c r="D101" s="990">
        <f>C101-$K34</f>
        <v>100</v>
      </c>
      <c r="E101" s="990">
        <f t="shared" ref="E101:M101" si="24">D101-$K34</f>
        <v>100</v>
      </c>
      <c r="F101" s="990">
        <f t="shared" si="24"/>
        <v>100</v>
      </c>
      <c r="G101" s="990">
        <f t="shared" si="24"/>
        <v>100</v>
      </c>
      <c r="H101" s="990">
        <f t="shared" si="24"/>
        <v>100</v>
      </c>
      <c r="I101" s="990">
        <f t="shared" si="24"/>
        <v>100</v>
      </c>
      <c r="J101" s="990">
        <f t="shared" si="24"/>
        <v>100</v>
      </c>
      <c r="K101" s="990">
        <f t="shared" si="24"/>
        <v>100</v>
      </c>
      <c r="L101" s="990">
        <f t="shared" si="24"/>
        <v>100</v>
      </c>
      <c r="M101" s="990">
        <f t="shared" si="24"/>
        <v>100</v>
      </c>
      <c r="N101" s="1047"/>
      <c r="O101" s="1047"/>
      <c r="P101" s="1048"/>
      <c r="Q101" s="1077"/>
    </row>
    <row r="102" ht="15.75" spans="1:17">
      <c r="A102" s="1018"/>
      <c r="B102" s="987" t="s">
        <v>1080</v>
      </c>
      <c r="C102" s="995"/>
      <c r="D102" s="995"/>
      <c r="E102" s="995"/>
      <c r="F102" s="995"/>
      <c r="G102" s="995"/>
      <c r="H102" s="1011"/>
      <c r="I102" s="1011"/>
      <c r="J102" s="1011"/>
      <c r="K102" s="1064"/>
      <c r="L102" s="1065"/>
      <c r="M102" s="1066"/>
      <c r="N102" s="1034"/>
      <c r="O102" s="1034"/>
      <c r="P102" s="1035"/>
      <c r="Q102" s="955"/>
    </row>
    <row r="103" ht="15.75" spans="1:17">
      <c r="A103" s="984"/>
      <c r="B103" s="989"/>
      <c r="C103" s="990">
        <v>100</v>
      </c>
      <c r="D103" s="990">
        <f t="shared" ref="D103:M103" si="25">C103-$K35</f>
        <v>100</v>
      </c>
      <c r="E103" s="990">
        <f t="shared" si="25"/>
        <v>100</v>
      </c>
      <c r="F103" s="990">
        <f t="shared" si="25"/>
        <v>100</v>
      </c>
      <c r="G103" s="990">
        <f t="shared" si="25"/>
        <v>100</v>
      </c>
      <c r="H103" s="990">
        <f t="shared" si="25"/>
        <v>100</v>
      </c>
      <c r="I103" s="990">
        <f t="shared" si="25"/>
        <v>100</v>
      </c>
      <c r="J103" s="990">
        <f t="shared" si="25"/>
        <v>100</v>
      </c>
      <c r="K103" s="990">
        <f t="shared" si="25"/>
        <v>100</v>
      </c>
      <c r="L103" s="990">
        <f t="shared" si="25"/>
        <v>100</v>
      </c>
      <c r="M103" s="1041">
        <f t="shared" si="25"/>
        <v>100</v>
      </c>
      <c r="N103" s="1037"/>
      <c r="O103" s="1037"/>
      <c r="P103" s="1035"/>
      <c r="Q103" s="955"/>
    </row>
    <row r="104" ht="15.75" spans="1:17">
      <c r="A104" s="1018"/>
      <c r="B104" s="987" t="s">
        <v>1083</v>
      </c>
      <c r="C104" s="995"/>
      <c r="D104" s="995"/>
      <c r="E104" s="995"/>
      <c r="F104" s="995"/>
      <c r="G104" s="995"/>
      <c r="H104" s="1011"/>
      <c r="I104" s="1011"/>
      <c r="J104" s="1011"/>
      <c r="K104" s="1064"/>
      <c r="L104" s="1065"/>
      <c r="M104" s="1066"/>
      <c r="N104" s="1034"/>
      <c r="O104" s="1034"/>
      <c r="P104" s="1035"/>
      <c r="Q104" s="955"/>
    </row>
    <row r="105" ht="15.75" spans="1:17">
      <c r="A105" s="984"/>
      <c r="B105" s="989"/>
      <c r="C105" s="990">
        <v>100</v>
      </c>
      <c r="D105" s="990">
        <f>C105-$K36</f>
        <v>100</v>
      </c>
      <c r="E105" s="990">
        <f>D105-$K36</f>
        <v>100</v>
      </c>
      <c r="F105" s="990">
        <f>E105-$K36</f>
        <v>100</v>
      </c>
      <c r="G105" s="990">
        <f>F105-$K36</f>
        <v>100</v>
      </c>
      <c r="H105" s="990"/>
      <c r="I105" s="990"/>
      <c r="J105" s="990"/>
      <c r="K105" s="990"/>
      <c r="L105" s="990"/>
      <c r="M105" s="1041"/>
      <c r="N105" s="1037"/>
      <c r="O105" s="1037"/>
      <c r="P105" s="1035"/>
      <c r="Q105" s="955"/>
    </row>
    <row r="106" ht="15.75" spans="1:17">
      <c r="A106" s="1018"/>
      <c r="B106" s="1496" t="s">
        <v>1491</v>
      </c>
      <c r="C106" s="1006" t="s">
        <v>226</v>
      </c>
      <c r="D106" s="1006" t="s">
        <v>238</v>
      </c>
      <c r="E106" s="1006" t="s">
        <v>249</v>
      </c>
      <c r="F106" s="1006" t="s">
        <v>259</v>
      </c>
      <c r="G106" s="1006" t="s">
        <v>266</v>
      </c>
      <c r="H106" s="988"/>
      <c r="I106" s="988"/>
      <c r="J106" s="988"/>
      <c r="K106" s="1038"/>
      <c r="L106" s="1039"/>
      <c r="M106" s="1040"/>
      <c r="N106" s="1037"/>
      <c r="O106" s="1037"/>
      <c r="P106" s="1502"/>
      <c r="Q106" s="1503"/>
    </row>
    <row r="107" ht="15.75" spans="1:17">
      <c r="A107" s="984"/>
      <c r="B107" s="989"/>
      <c r="C107" s="1008">
        <v>100</v>
      </c>
      <c r="D107" s="990">
        <f t="shared" ref="D107:M107" si="26">C107-$K37</f>
        <v>100</v>
      </c>
      <c r="E107" s="990">
        <f t="shared" si="26"/>
        <v>100</v>
      </c>
      <c r="F107" s="990">
        <f t="shared" si="26"/>
        <v>100</v>
      </c>
      <c r="G107" s="990">
        <f t="shared" si="26"/>
        <v>100</v>
      </c>
      <c r="H107" s="990">
        <f t="shared" si="26"/>
        <v>100</v>
      </c>
      <c r="I107" s="990">
        <f t="shared" si="26"/>
        <v>100</v>
      </c>
      <c r="J107" s="990">
        <f t="shared" si="26"/>
        <v>100</v>
      </c>
      <c r="K107" s="990">
        <f t="shared" si="26"/>
        <v>100</v>
      </c>
      <c r="L107" s="990">
        <f t="shared" si="26"/>
        <v>100</v>
      </c>
      <c r="M107" s="990">
        <f t="shared" si="26"/>
        <v>100</v>
      </c>
      <c r="N107" s="1037"/>
      <c r="O107" s="1037"/>
      <c r="P107" s="1035"/>
      <c r="Q107" s="955"/>
    </row>
    <row r="108" s="709" customFormat="1" ht="15.75" spans="1:17">
      <c r="A108" s="1014"/>
      <c r="B108" s="987">
        <f>B38</f>
        <v>111</v>
      </c>
      <c r="C108" s="995"/>
      <c r="D108" s="995"/>
      <c r="E108" s="995"/>
      <c r="F108" s="995"/>
      <c r="G108" s="995"/>
      <c r="H108" s="996"/>
      <c r="I108" s="996"/>
      <c r="J108" s="996"/>
      <c r="K108" s="996"/>
      <c r="L108" s="1045"/>
      <c r="M108" s="1046"/>
      <c r="N108" s="1047"/>
      <c r="O108" s="1047"/>
      <c r="P108" s="1048"/>
      <c r="Q108" s="1077"/>
    </row>
    <row r="109" s="709" customFormat="1" ht="15.75" spans="1:17">
      <c r="A109" s="994"/>
      <c r="B109" s="985"/>
      <c r="C109" s="997"/>
      <c r="D109" s="986"/>
      <c r="E109" s="986"/>
      <c r="F109" s="986"/>
      <c r="G109" s="997"/>
      <c r="H109" s="998"/>
      <c r="I109" s="998"/>
      <c r="J109" s="998"/>
      <c r="K109" s="998"/>
      <c r="L109" s="998"/>
      <c r="M109" s="1049"/>
      <c r="N109" s="1047"/>
      <c r="O109" s="1047"/>
      <c r="P109" s="1048"/>
      <c r="Q109" s="1077"/>
    </row>
    <row r="110" ht="15.75" spans="1:17">
      <c r="A110" s="1018"/>
      <c r="B110" s="987">
        <f>B39</f>
        <v>111</v>
      </c>
      <c r="C110" s="995"/>
      <c r="D110" s="995"/>
      <c r="E110" s="995"/>
      <c r="F110" s="995"/>
      <c r="G110" s="995"/>
      <c r="H110" s="996"/>
      <c r="I110" s="996"/>
      <c r="J110" s="996"/>
      <c r="K110" s="996"/>
      <c r="L110" s="1045"/>
      <c r="M110" s="1046"/>
      <c r="N110" s="1034"/>
      <c r="O110" s="1034"/>
      <c r="P110" s="1035"/>
      <c r="Q110" s="955"/>
    </row>
    <row r="111" ht="15.75" spans="1:17">
      <c r="A111" s="984"/>
      <c r="B111" s="989"/>
      <c r="C111" s="997"/>
      <c r="D111" s="986"/>
      <c r="E111" s="986"/>
      <c r="F111" s="986"/>
      <c r="G111" s="997"/>
      <c r="H111" s="998"/>
      <c r="I111" s="998"/>
      <c r="J111" s="998"/>
      <c r="K111" s="998"/>
      <c r="L111" s="998"/>
      <c r="M111" s="1049"/>
      <c r="N111" s="1037"/>
      <c r="O111" s="1037"/>
      <c r="P111" s="1035"/>
      <c r="Q111" s="955"/>
    </row>
    <row r="112" ht="15.75" spans="1:17">
      <c r="A112" s="1018"/>
      <c r="B112" s="991">
        <f>B40</f>
        <v>111</v>
      </c>
      <c r="C112" s="979"/>
      <c r="D112" s="979"/>
      <c r="E112" s="979"/>
      <c r="F112" s="979"/>
      <c r="G112" s="1012"/>
      <c r="H112" s="1012"/>
      <c r="I112" s="1012"/>
      <c r="J112" s="1012"/>
      <c r="K112" s="979"/>
      <c r="L112" s="1026"/>
      <c r="M112" s="1069"/>
      <c r="N112" s="1034"/>
      <c r="O112" s="1034"/>
      <c r="P112" s="1035"/>
      <c r="Q112" s="955"/>
    </row>
    <row r="113" ht="15.75" spans="1:17">
      <c r="A113" s="1573"/>
      <c r="B113" s="1001"/>
      <c r="C113" s="1002"/>
      <c r="D113" s="1002"/>
      <c r="E113" s="1002"/>
      <c r="F113" s="1002"/>
      <c r="G113" s="1013"/>
      <c r="H113" s="1013"/>
      <c r="I113" s="1013"/>
      <c r="J113" s="1013"/>
      <c r="K113" s="1013"/>
      <c r="L113" s="1013"/>
      <c r="M113" s="1070"/>
      <c r="N113" s="1037"/>
      <c r="O113" s="1037"/>
      <c r="P113" s="1035"/>
      <c r="Q113" s="955"/>
    </row>
  </sheetData>
  <sheetProtection password="CEE9" sheet="1" formatCells="0" formatColumns="0" formatRows="0" objects="1" scenarios="1"/>
  <mergeCells count="40">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41:Q41"/>
    <mergeCell ref="R41:S41"/>
    <mergeCell ref="T41:U41"/>
    <mergeCell ref="V41:W41"/>
    <mergeCell ref="P42:Q42"/>
    <mergeCell ref="R42:S42"/>
    <mergeCell ref="T42:U42"/>
    <mergeCell ref="V42:W42"/>
    <mergeCell ref="P43:Q43"/>
    <mergeCell ref="R43:W43"/>
    <mergeCell ref="P9:P14"/>
    <mergeCell ref="P15:P28"/>
    <mergeCell ref="P29:P40"/>
    <mergeCell ref="Y9:Y14"/>
    <mergeCell ref="Y15:Y28"/>
    <mergeCell ref="Y29:Y40"/>
    <mergeCell ref="AA4:AA6"/>
    <mergeCell ref="AB4:AB6"/>
    <mergeCell ref="AC4:AC6"/>
    <mergeCell ref="Y4:Z6"/>
    <mergeCell ref="P4:Q6"/>
    <mergeCell ref="R4:S6"/>
    <mergeCell ref="T4:U6"/>
    <mergeCell ref="V4:W6"/>
  </mergeCells>
  <conditionalFormatting sqref="F42">
    <cfRule type="expression" dxfId="5" priority="4">
      <formula>$D$42="简单平均"</formula>
    </cfRule>
  </conditionalFormatting>
  <conditionalFormatting sqref="H42">
    <cfRule type="expression" dxfId="5" priority="3">
      <formula>$D$42="简单平均"</formula>
    </cfRule>
  </conditionalFormatting>
  <conditionalFormatting sqref="J42">
    <cfRule type="expression" dxfId="5" priority="2">
      <formula>$D$42="简单平均"</formula>
    </cfRule>
  </conditionalFormatting>
  <conditionalFormatting sqref="E46">
    <cfRule type="expression" dxfId="8" priority="16" stopIfTrue="1">
      <formula>$F$46="超过30%"</formula>
    </cfRule>
  </conditionalFormatting>
  <conditionalFormatting sqref="G46">
    <cfRule type="expression" dxfId="8" priority="12" stopIfTrue="1">
      <formula>$H$46="超过30%"</formula>
    </cfRule>
  </conditionalFormatting>
  <conditionalFormatting sqref="I46">
    <cfRule type="expression" dxfId="8" priority="7" stopIfTrue="1">
      <formula>$J$46="超过30%"</formula>
    </cfRule>
  </conditionalFormatting>
  <conditionalFormatting sqref="J46">
    <cfRule type="containsText" dxfId="9" priority="10" stopIfTrue="1" operator="between" text="超过">
      <formula>NOT(ISERROR(SEARCH("超过",J46)))</formula>
    </cfRule>
  </conditionalFormatting>
  <conditionalFormatting sqref="E47">
    <cfRule type="expression" dxfId="8" priority="15" stopIfTrue="1">
      <formula>$F$47="超过20%"</formula>
    </cfRule>
  </conditionalFormatting>
  <conditionalFormatting sqref="G47">
    <cfRule type="expression" dxfId="8" priority="11" stopIfTrue="1">
      <formula>$H$47="超过20%"</formula>
    </cfRule>
  </conditionalFormatting>
  <conditionalFormatting sqref="I47">
    <cfRule type="expression" dxfId="8" priority="6" stopIfTrue="1">
      <formula>$J$47="超过20%"</formula>
    </cfRule>
  </conditionalFormatting>
  <conditionalFormatting sqref="J47">
    <cfRule type="containsText" dxfId="9" priority="8" stopIfTrue="1" operator="between" text="超过">
      <formula>NOT(ISERROR(SEARCH("超过",J47)))</formula>
    </cfRule>
  </conditionalFormatting>
  <conditionalFormatting sqref="E48">
    <cfRule type="expression" dxfId="8" priority="14" stopIfTrue="1">
      <formula>$F$48="超过30%"</formula>
    </cfRule>
  </conditionalFormatting>
  <conditionalFormatting sqref="F48">
    <cfRule type="containsText" dxfId="9" priority="18" stopIfTrue="1" operator="between" text="超过">
      <formula>NOT(ISERROR(SEARCH("超过",F48)))</formula>
    </cfRule>
  </conditionalFormatting>
  <conditionalFormatting sqref="G48">
    <cfRule type="expression" dxfId="8" priority="13" stopIfTrue="1">
      <formula>$H$48="超过30%"</formula>
    </cfRule>
  </conditionalFormatting>
  <conditionalFormatting sqref="H48">
    <cfRule type="containsText" dxfId="9" priority="19" stopIfTrue="1" operator="between" text="超过">
      <formula>NOT(ISERROR(SEARCH("超过",H48)))</formula>
    </cfRule>
  </conditionalFormatting>
  <conditionalFormatting sqref="I48">
    <cfRule type="expression" dxfId="8" priority="5" stopIfTrue="1">
      <formula>$J$48="超过30%"</formula>
    </cfRule>
  </conditionalFormatting>
  <conditionalFormatting sqref="J48">
    <cfRule type="containsText" dxfId="9" priority="9" stopIfTrue="1" operator="between" text="超过">
      <formula>NOT(ISERROR(SEARCH("超过",J48)))</formula>
    </cfRule>
  </conditionalFormatting>
  <conditionalFormatting sqref="F7:F40 H7:H40 J7:J40">
    <cfRule type="cellIs" dxfId="10" priority="1" operator="notEqual">
      <formula>100</formula>
    </cfRule>
  </conditionalFormatting>
  <conditionalFormatting sqref="F46 H46">
    <cfRule type="containsText" dxfId="9" priority="20" stopIfTrue="1" operator="between" text="超过">
      <formula>NOT(ISERROR(SEARCH("超过",F46)))</formula>
    </cfRule>
  </conditionalFormatting>
  <conditionalFormatting sqref="F47 H47">
    <cfRule type="containsText" dxfId="9" priority="17" stopIfTrue="1" operator="between" text="超过">
      <formula>NOT(ISERROR(SEARCH("超过",F47)))</formula>
    </cfRule>
  </conditionalFormatting>
  <dataValidations count="20">
    <dataValidation type="list" allowBlank="1" showInputMessage="1" showErrorMessage="1" sqref="C8 E8 G8 I8">
      <formula1>工业交易情况</formula1>
    </dataValidation>
    <dataValidation type="list" allowBlank="1" showInputMessage="1" showErrorMessage="1" sqref="C1">
      <formula1>"估价对象,仅计算典型户型"</formula1>
    </dataValidation>
    <dataValidation type="list" allowBlank="1" showInputMessage="1" showErrorMessage="1" sqref="E1">
      <formula1>"售价,租金"</formula1>
    </dataValidation>
    <dataValidation type="list" allowBlank="1" showInputMessage="1" showErrorMessage="1" sqref="D2">
      <formula1>"需扣减承租人权益,——"</formula1>
    </dataValidation>
    <dataValidation type="list" allowBlank="1" showInputMessage="1" showErrorMessage="1" sqref="G2">
      <formula1>估价方法</formula1>
    </dataValidation>
    <dataValidation type="list" allowBlank="1" showInputMessage="1" showErrorMessage="1" sqref="E9 G9 I9">
      <formula1>工业用途</formula1>
    </dataValidation>
    <dataValidation type="list" allowBlank="1" showInputMessage="1" showErrorMessage="1" sqref="C16 E16 G16 I16">
      <formula1>产业集聚程度</formula1>
    </dataValidation>
    <dataValidation type="list" allowBlank="1" showInputMessage="1" showErrorMessage="1" sqref="C10 E10 G10 I10">
      <formula1>土地年限区间</formula1>
    </dataValidation>
    <dataValidation type="list" allowBlank="1" showInputMessage="1" showErrorMessage="1" sqref="C18 E18 G18 I18">
      <formula1>交通便捷度</formula1>
    </dataValidation>
    <dataValidation type="list" allowBlank="1" showInputMessage="1" showErrorMessage="1" sqref="C20 E20 G20 I20">
      <formula1>公共配套设施</formula1>
    </dataValidation>
    <dataValidation type="list" allowBlank="1" showInputMessage="1" showErrorMessage="1" sqref="C22 E22 G22 I22">
      <formula1>基础设施水平</formula1>
    </dataValidation>
    <dataValidation type="list" allowBlank="1" showInputMessage="1" showErrorMessage="1" sqref="C24 E24 G24 I24">
      <formula1>环境</formula1>
    </dataValidation>
    <dataValidation type="list" allowBlank="1" showInputMessage="1" showErrorMessage="1" sqref="C29 E29 G29 I29">
      <formula1>工业建筑类型</formula1>
    </dataValidation>
    <dataValidation type="list" allowBlank="1" showInputMessage="1" showErrorMessage="1" sqref="C31 E31 G31 I31">
      <formula1>工业建筑结构</formula1>
    </dataValidation>
    <dataValidation type="list" allowBlank="1" showInputMessage="1" showErrorMessage="1" sqref="C32 E32 G32 I32">
      <formula1>工业公共部分装修</formula1>
    </dataValidation>
    <dataValidation type="list" allowBlank="1" showInputMessage="1" showErrorMessage="1" sqref="C34 E34 G34 I34">
      <formula1>工业物业管理</formula1>
    </dataValidation>
    <dataValidation type="list" allowBlank="1" showInputMessage="1" showErrorMessage="1" sqref="C35 E35 G35 I35">
      <formula1>工业基础设施水平</formula1>
    </dataValidation>
    <dataValidation type="list" allowBlank="1" showInputMessage="1" showErrorMessage="1" sqref="C36 E36 G36 I36">
      <formula1>工业内部装修</formula1>
    </dataValidation>
    <dataValidation type="list" allowBlank="1" showInputMessage="1" showErrorMessage="1" sqref="C37 E37 G37 I37">
      <formula1>内部装修维护情况</formula1>
    </dataValidation>
    <dataValidation type="list" allowBlank="1" showInputMessage="1" showErrorMessage="1" sqref="D42">
      <formula1>"简单平均,加权平均"</formula1>
    </dataValidation>
  </dataValidations>
  <pageMargins left="0.708661417322835" right="0.708661417322835" top="1.06299212598425" bottom="0.94488188976378" header="0.31496062992126" footer="0.31496062992126"/>
  <pageSetup paperSize="9" scale="52" fitToHeight="0" orientation="portrait"/>
  <headerFooter/>
  <legacyDrawing r:id="rId2"/>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5">
    <tabColor rgb="FF92D050"/>
    <pageSetUpPr fitToPage="1"/>
  </sheetPr>
  <dimension ref="A1:AC102"/>
  <sheetViews>
    <sheetView view="pageBreakPreview" zoomScale="70" zoomScaleNormal="60" workbookViewId="0">
      <selection activeCell="C13" sqref="C13:H13"/>
    </sheetView>
  </sheetViews>
  <sheetFormatPr defaultColWidth="9" defaultRowHeight="14.25"/>
  <cols>
    <col min="1" max="1" width="10.5" style="713" customWidth="1"/>
    <col min="2" max="2" width="15.75" style="713" customWidth="1"/>
    <col min="3" max="3" width="14.375" style="713" customWidth="1"/>
    <col min="4" max="4" width="12.25" style="713" customWidth="1"/>
    <col min="5" max="5" width="14.375" style="713" customWidth="1"/>
    <col min="6" max="6" width="12.25" style="713" customWidth="1"/>
    <col min="7" max="7" width="14.5" style="713" customWidth="1"/>
    <col min="8" max="8" width="12.25" style="713" customWidth="1"/>
    <col min="9" max="9" width="15.5" style="713" customWidth="1"/>
    <col min="10" max="10" width="12.25" style="713" customWidth="1"/>
    <col min="11" max="11" width="12.25" style="714" customWidth="1"/>
    <col min="12" max="12" width="12.25" style="715" customWidth="1"/>
    <col min="13" max="15" width="12.25" style="713" customWidth="1"/>
    <col min="16" max="16" width="4.75" style="713" customWidth="1"/>
    <col min="17" max="17" width="19.5" style="713" customWidth="1"/>
    <col min="18" max="22" width="6.125" style="713" customWidth="1"/>
    <col min="23" max="23" width="5.75" style="713" customWidth="1"/>
    <col min="24" max="24" width="4.25" style="713" customWidth="1"/>
    <col min="25" max="25" width="3.5" style="713" customWidth="1"/>
    <col min="26" max="26" width="19.75" style="713" customWidth="1"/>
    <col min="27" max="28" width="9.375" style="713" customWidth="1"/>
    <col min="29" max="16384" width="9" style="713"/>
  </cols>
  <sheetData>
    <row r="1" s="1417" customFormat="1" ht="28.5" customHeight="1" spans="1:29">
      <c r="A1" s="1418" t="s">
        <v>1492</v>
      </c>
      <c r="B1" s="1419"/>
      <c r="C1" s="1420"/>
      <c r="D1" s="1504"/>
      <c r="E1" s="1422"/>
      <c r="F1" s="1505" t="s">
        <v>1030</v>
      </c>
      <c r="G1" s="1504"/>
      <c r="H1" s="1504"/>
      <c r="I1" s="1504"/>
      <c r="J1" s="1504"/>
      <c r="K1" s="1549"/>
      <c r="L1" s="1482"/>
      <c r="M1" s="1483"/>
      <c r="N1" s="1483"/>
      <c r="O1" s="1483"/>
      <c r="P1" s="1484"/>
      <c r="Q1" s="1484"/>
      <c r="R1" s="1484"/>
      <c r="S1" s="1484"/>
      <c r="T1" s="1484"/>
      <c r="U1" s="1484"/>
      <c r="V1" s="1484"/>
      <c r="W1" s="1484"/>
      <c r="X1" s="1484"/>
      <c r="Y1" s="1484"/>
      <c r="Z1" s="1484"/>
      <c r="AA1" s="1484"/>
      <c r="AB1" s="1484"/>
      <c r="AC1" s="1495"/>
    </row>
    <row r="2" s="706" customFormat="1" ht="28.5" customHeight="1" spans="1:29">
      <c r="A2" s="1424" t="s">
        <v>868</v>
      </c>
      <c r="B2" s="1425" t="e">
        <f ca="1">IF(D2="——",IF(B37="元/平方米",IF(C2="元",ROUND(C39*D3,0),ROUND(C39*D3/10000,0)),IF(C2="元",ROUND(F3*C39,0),ROUND(F3*C39/10000,0))),IF(B37="元/平方米",IF(C2="元",ROUND(C39*D3,0),ROUND(C39*D3/10000,0)),IF(C2="元",ROUND(F3*C39,0),ROUND(F3*C39/10000,0)))-E2)</f>
        <v>#DIV/0!</v>
      </c>
      <c r="C2" s="1426" t="str">
        <f>'数据-取费表'!B3</f>
        <v>元</v>
      </c>
      <c r="D2" s="1427"/>
      <c r="E2" s="1506" t="e">
        <f ca="1">SUMIF(INDIRECT("'"&amp;G2&amp;"'"&amp;"!A:A"),"承租人权益价值",INDIRECT("'"&amp;G2&amp;"'"&amp;"!c:c"))</f>
        <v>#REF!</v>
      </c>
      <c r="F2" s="1429" t="str">
        <f>C2</f>
        <v>元</v>
      </c>
      <c r="G2" s="1430"/>
      <c r="H2" s="724"/>
      <c r="I2" s="724"/>
      <c r="J2" s="724"/>
      <c r="K2" s="879"/>
      <c r="L2" s="880"/>
      <c r="M2" s="881"/>
      <c r="N2" s="881"/>
      <c r="O2" s="881"/>
      <c r="P2" s="878"/>
      <c r="Q2" s="878"/>
      <c r="R2" s="878"/>
      <c r="S2" s="878"/>
      <c r="T2" s="878"/>
      <c r="U2" s="878"/>
      <c r="V2" s="878"/>
      <c r="W2" s="878"/>
      <c r="X2" s="878"/>
      <c r="Y2" s="878"/>
      <c r="Z2" s="878"/>
      <c r="AA2" s="878"/>
      <c r="AB2" s="878"/>
      <c r="AC2" s="956"/>
    </row>
    <row r="3" s="706" customFormat="1" ht="28.5" customHeight="1" spans="1:29">
      <c r="A3" s="726" t="s">
        <v>869</v>
      </c>
      <c r="B3" s="727" t="e">
        <f>IF(AND(D2="——",B37="元/平方米"),C39,ROUND(F3*C39/D3,0))</f>
        <v>#DIV/0!</v>
      </c>
      <c r="C3" s="1431" t="s">
        <v>1031</v>
      </c>
      <c r="D3" s="1432">
        <f>IF(C1="仅计算典型户型",'数据-取费表'!E5,'数据-取费表'!B5)</f>
        <v>246.59</v>
      </c>
      <c r="E3" s="1507" t="s">
        <v>1493</v>
      </c>
      <c r="F3" s="1431">
        <f>'数据-取费表'!B42</f>
        <v>0</v>
      </c>
      <c r="G3" s="724"/>
      <c r="H3" s="724"/>
      <c r="I3" s="724"/>
      <c r="J3" s="724"/>
      <c r="K3" s="879"/>
      <c r="L3" s="880"/>
      <c r="M3" s="881"/>
      <c r="N3" s="881"/>
      <c r="O3" s="881"/>
      <c r="P3" s="878"/>
      <c r="Q3" s="878"/>
      <c r="R3" s="878"/>
      <c r="S3" s="878"/>
      <c r="T3" s="878"/>
      <c r="U3" s="878"/>
      <c r="V3" s="878"/>
      <c r="W3" s="878"/>
      <c r="X3" s="878"/>
      <c r="Y3" s="878"/>
      <c r="Z3" s="878"/>
      <c r="AA3" s="878"/>
      <c r="AB3" s="957"/>
      <c r="AC3" s="958"/>
    </row>
    <row r="4" ht="15" spans="1:29">
      <c r="A4" s="728" t="s">
        <v>1032</v>
      </c>
      <c r="B4" s="729"/>
      <c r="C4" s="730" t="s">
        <v>1033</v>
      </c>
      <c r="D4" s="731"/>
      <c r="E4" s="732" t="s">
        <v>1034</v>
      </c>
      <c r="F4" s="733"/>
      <c r="G4" s="730" t="s">
        <v>1035</v>
      </c>
      <c r="H4" s="731"/>
      <c r="I4" s="730" t="s">
        <v>1036</v>
      </c>
      <c r="J4" s="731"/>
      <c r="K4" s="882" t="s">
        <v>1037</v>
      </c>
      <c r="L4" s="883"/>
      <c r="M4" s="884"/>
      <c r="N4" s="884"/>
      <c r="O4" s="884"/>
      <c r="P4" s="885" t="s">
        <v>1038</v>
      </c>
      <c r="Q4" s="931"/>
      <c r="R4" s="932" t="s">
        <v>1034</v>
      </c>
      <c r="S4" s="933"/>
      <c r="T4" s="932" t="s">
        <v>1035</v>
      </c>
      <c r="U4" s="933"/>
      <c r="V4" s="851" t="s">
        <v>1036</v>
      </c>
      <c r="W4" s="851"/>
      <c r="X4" s="934"/>
      <c r="Y4" s="932" t="s">
        <v>1038</v>
      </c>
      <c r="Z4" s="933"/>
      <c r="AA4" s="959" t="s">
        <v>1034</v>
      </c>
      <c r="AB4" s="934" t="s">
        <v>1035</v>
      </c>
      <c r="AC4" s="959" t="s">
        <v>1036</v>
      </c>
    </row>
    <row r="5" ht="15" spans="1:29">
      <c r="A5" s="734"/>
      <c r="B5" s="735"/>
      <c r="C5" s="736" t="s">
        <v>1039</v>
      </c>
      <c r="D5" s="737"/>
      <c r="E5" s="738" t="s">
        <v>1470</v>
      </c>
      <c r="F5" s="739"/>
      <c r="G5" s="736" t="s">
        <v>1471</v>
      </c>
      <c r="H5" s="737"/>
      <c r="I5" s="736" t="s">
        <v>1472</v>
      </c>
      <c r="J5" s="737"/>
      <c r="K5" s="882"/>
      <c r="L5" s="883"/>
      <c r="M5" s="884"/>
      <c r="N5" s="884"/>
      <c r="O5" s="884"/>
      <c r="P5" s="886"/>
      <c r="Q5" s="935"/>
      <c r="R5" s="936"/>
      <c r="S5" s="937"/>
      <c r="T5" s="936"/>
      <c r="U5" s="937"/>
      <c r="V5" s="851"/>
      <c r="W5" s="851"/>
      <c r="X5" s="934"/>
      <c r="Y5" s="936"/>
      <c r="Z5" s="937"/>
      <c r="AA5" s="934"/>
      <c r="AB5" s="934"/>
      <c r="AC5" s="934"/>
    </row>
    <row r="6" ht="15.75" spans="1:29">
      <c r="A6" s="740"/>
      <c r="B6" s="741"/>
      <c r="C6" s="742" t="s">
        <v>1041</v>
      </c>
      <c r="D6" s="743"/>
      <c r="E6" s="744" t="s">
        <v>1041</v>
      </c>
      <c r="F6" s="745"/>
      <c r="G6" s="742" t="s">
        <v>1041</v>
      </c>
      <c r="H6" s="743"/>
      <c r="I6" s="742" t="s">
        <v>1041</v>
      </c>
      <c r="J6" s="743"/>
      <c r="K6" s="882" t="s">
        <v>1042</v>
      </c>
      <c r="L6" s="883"/>
      <c r="M6" s="884"/>
      <c r="N6" s="884"/>
      <c r="O6" s="884"/>
      <c r="P6" s="887"/>
      <c r="Q6" s="938"/>
      <c r="R6" s="936"/>
      <c r="S6" s="937"/>
      <c r="T6" s="939"/>
      <c r="U6" s="940"/>
      <c r="V6" s="851"/>
      <c r="W6" s="851"/>
      <c r="X6" s="934"/>
      <c r="Y6" s="939"/>
      <c r="Z6" s="940"/>
      <c r="AA6" s="960"/>
      <c r="AB6" s="960"/>
      <c r="AC6" s="960"/>
    </row>
    <row r="7" s="707" customFormat="1" ht="15.75" spans="1:29">
      <c r="A7" s="746" t="s">
        <v>1043</v>
      </c>
      <c r="B7" s="747"/>
      <c r="C7" s="748">
        <f>'数据-取费表'!B2</f>
        <v>44567</v>
      </c>
      <c r="D7" s="749">
        <v>100</v>
      </c>
      <c r="E7" s="750"/>
      <c r="F7" s="751">
        <f>SUMIF(48:48,YEAR(E7)&amp;"-"&amp;MONTH(E7),49:49)</f>
        <v>0</v>
      </c>
      <c r="G7" s="750"/>
      <c r="H7" s="749">
        <f>SUMIF(48:48,YEAR(G7)&amp;"-"&amp;MONTH(G7),49:49)</f>
        <v>0</v>
      </c>
      <c r="I7" s="750"/>
      <c r="J7" s="749">
        <f>SUMIF(48:48,YEAR(I7)&amp;"-"&amp;MONTH(I7),49:49)</f>
        <v>0</v>
      </c>
      <c r="K7" s="888"/>
      <c r="L7" s="889"/>
      <c r="M7" s="890"/>
      <c r="N7" s="890"/>
      <c r="O7" s="890"/>
      <c r="P7" s="891" t="s">
        <v>1044</v>
      </c>
      <c r="Q7" s="941"/>
      <c r="R7" s="942" t="s">
        <v>1045</v>
      </c>
      <c r="S7" s="943">
        <f t="shared" ref="S7:S14" si="0">F7</f>
        <v>0</v>
      </c>
      <c r="T7" s="942" t="s">
        <v>1045</v>
      </c>
      <c r="U7" s="943">
        <f t="shared" ref="U7:U14" si="1">H7</f>
        <v>0</v>
      </c>
      <c r="V7" s="942" t="s">
        <v>1045</v>
      </c>
      <c r="W7" s="943">
        <f t="shared" ref="W7:W14" si="2">J7</f>
        <v>0</v>
      </c>
      <c r="X7" s="944"/>
      <c r="Y7" s="891" t="s">
        <v>1044</v>
      </c>
      <c r="Z7" s="945"/>
      <c r="AA7" s="961" t="e">
        <f>D7/F7</f>
        <v>#DIV/0!</v>
      </c>
      <c r="AB7" s="961" t="e">
        <f>D7/H7</f>
        <v>#DIV/0!</v>
      </c>
      <c r="AC7" s="961" t="e">
        <f>D7/J7</f>
        <v>#DIV/0!</v>
      </c>
    </row>
    <row r="8" s="707" customFormat="1" ht="15.75" spans="1:29">
      <c r="A8" s="746" t="s">
        <v>1046</v>
      </c>
      <c r="B8" s="747"/>
      <c r="C8" s="753" t="s">
        <v>1047</v>
      </c>
      <c r="D8" s="749">
        <v>100</v>
      </c>
      <c r="E8" s="753"/>
      <c r="F8" s="751">
        <f>SUMIF(51:51,E8,52:52)-SUMIF(51:51,C8,52:52)+100</f>
        <v>0</v>
      </c>
      <c r="G8" s="753"/>
      <c r="H8" s="749">
        <f>SUMIF(51:51,G8,52:52)-SUMIF(51:51,C8,52:52)+100</f>
        <v>0</v>
      </c>
      <c r="I8" s="753"/>
      <c r="J8" s="749">
        <f>SUMIF(51:51,I8,52:52)-SUMIF(51:51,C8,52:52)+100</f>
        <v>0</v>
      </c>
      <c r="K8" s="888"/>
      <c r="L8" s="889"/>
      <c r="M8" s="890"/>
      <c r="N8" s="890"/>
      <c r="O8" s="890"/>
      <c r="P8" s="891" t="s">
        <v>1049</v>
      </c>
      <c r="Q8" s="945"/>
      <c r="R8" s="942" t="s">
        <v>1045</v>
      </c>
      <c r="S8" s="943">
        <f t="shared" si="0"/>
        <v>0</v>
      </c>
      <c r="T8" s="942" t="s">
        <v>1045</v>
      </c>
      <c r="U8" s="943">
        <f t="shared" si="1"/>
        <v>0</v>
      </c>
      <c r="V8" s="942" t="s">
        <v>1045</v>
      </c>
      <c r="W8" s="943">
        <f t="shared" si="2"/>
        <v>0</v>
      </c>
      <c r="X8" s="944"/>
      <c r="Y8" s="891" t="s">
        <v>1049</v>
      </c>
      <c r="Z8" s="945"/>
      <c r="AA8" s="961" t="e">
        <f t="shared" ref="AA8:AA36" si="3">D8/F8</f>
        <v>#DIV/0!</v>
      </c>
      <c r="AB8" s="961" t="e">
        <f t="shared" ref="AB8:AB36" si="4">D8/H8</f>
        <v>#DIV/0!</v>
      </c>
      <c r="AC8" s="961" t="e">
        <f t="shared" ref="AC8:AC36" si="5">D8/J8</f>
        <v>#DIV/0!</v>
      </c>
    </row>
    <row r="9" s="707" customFormat="1" spans="1:29">
      <c r="A9" s="1508" t="s">
        <v>1050</v>
      </c>
      <c r="B9" s="1509" t="s">
        <v>1051</v>
      </c>
      <c r="C9" s="1433"/>
      <c r="D9" s="757">
        <v>100</v>
      </c>
      <c r="E9" s="1434"/>
      <c r="F9" s="757">
        <f>SUMIF(53:53,E9,54:54)-SUMIF(53:53,C9,54:54)+100</f>
        <v>100</v>
      </c>
      <c r="G9" s="1510"/>
      <c r="H9" s="757">
        <f>SUMIF(53:53,G9,54:54)-SUMIF(53:53,C9,54:54)+100</f>
        <v>100</v>
      </c>
      <c r="I9" s="1510"/>
      <c r="J9" s="757">
        <f>SUMIF(53:53,I9,54:54)-SUMIF(53:53,C9,54:54)+100</f>
        <v>100</v>
      </c>
      <c r="K9" s="888"/>
      <c r="L9" s="889"/>
      <c r="M9" s="890"/>
      <c r="N9" s="890"/>
      <c r="O9" s="892"/>
      <c r="P9" s="893" t="s">
        <v>1052</v>
      </c>
      <c r="Q9" s="946" t="str">
        <f t="shared" ref="Q9:Q14" si="6">B9</f>
        <v>用途</v>
      </c>
      <c r="R9" s="942" t="s">
        <v>1045</v>
      </c>
      <c r="S9" s="943">
        <f t="shared" si="0"/>
        <v>100</v>
      </c>
      <c r="T9" s="942" t="s">
        <v>1045</v>
      </c>
      <c r="U9" s="943">
        <f t="shared" si="1"/>
        <v>100</v>
      </c>
      <c r="V9" s="942" t="s">
        <v>1045</v>
      </c>
      <c r="W9" s="943">
        <f t="shared" si="2"/>
        <v>100</v>
      </c>
      <c r="X9" s="944"/>
      <c r="Y9" s="946" t="s">
        <v>1053</v>
      </c>
      <c r="Z9" s="962" t="str">
        <f t="shared" ref="Z9:Z14" si="7">Q9</f>
        <v>用途</v>
      </c>
      <c r="AA9" s="961">
        <f t="shared" si="3"/>
        <v>1</v>
      </c>
      <c r="AB9" s="961">
        <f t="shared" si="4"/>
        <v>1</v>
      </c>
      <c r="AC9" s="961">
        <f t="shared" si="5"/>
        <v>1</v>
      </c>
    </row>
    <row r="10" s="708" customFormat="1" ht="27" spans="1:29">
      <c r="A10" s="1511"/>
      <c r="B10" s="1512" t="s">
        <v>1054</v>
      </c>
      <c r="C10" s="1435"/>
      <c r="D10" s="761">
        <v>100</v>
      </c>
      <c r="E10" s="1435"/>
      <c r="F10" s="761">
        <f>SUMIF(55:55,E10,56:56)-SUMIF(55:55,C10,56:56)+100</f>
        <v>100</v>
      </c>
      <c r="G10" s="1436"/>
      <c r="H10" s="761">
        <f>SUMIF(55:55,G10,56:56)-SUMIF(55:55,C10,56:56)+100</f>
        <v>100</v>
      </c>
      <c r="I10" s="1435"/>
      <c r="J10" s="761">
        <f>SUMIF(55:55,I10,56:56)-SUMIF(55:55,C10,56:56)+100</f>
        <v>100</v>
      </c>
      <c r="K10" s="909"/>
      <c r="L10" s="895"/>
      <c r="M10" s="896"/>
      <c r="N10" s="896"/>
      <c r="O10" s="897"/>
      <c r="P10" s="893"/>
      <c r="Q10" s="946" t="str">
        <f t="shared" si="6"/>
        <v>土地使用年限（年）</v>
      </c>
      <c r="R10" s="942" t="s">
        <v>1045</v>
      </c>
      <c r="S10" s="943">
        <f t="shared" si="0"/>
        <v>100</v>
      </c>
      <c r="T10" s="942" t="s">
        <v>1045</v>
      </c>
      <c r="U10" s="943">
        <f t="shared" si="1"/>
        <v>100</v>
      </c>
      <c r="V10" s="942" t="s">
        <v>1045</v>
      </c>
      <c r="W10" s="943">
        <f t="shared" si="2"/>
        <v>100</v>
      </c>
      <c r="X10" s="944"/>
      <c r="Y10" s="946"/>
      <c r="Z10" s="962" t="str">
        <f t="shared" si="7"/>
        <v>土地使用年限（年）</v>
      </c>
      <c r="AA10" s="961">
        <f t="shared" si="3"/>
        <v>1</v>
      </c>
      <c r="AB10" s="961">
        <f t="shared" si="4"/>
        <v>1</v>
      </c>
      <c r="AC10" s="961">
        <f t="shared" si="5"/>
        <v>1</v>
      </c>
    </row>
    <row r="11" ht="15" spans="1:29">
      <c r="A11" s="1513"/>
      <c r="B11" s="1514">
        <v>111</v>
      </c>
      <c r="C11" s="760"/>
      <c r="D11" s="761">
        <v>100</v>
      </c>
      <c r="E11" s="760"/>
      <c r="F11" s="761">
        <f>SUMIF(57:57,E11,58:58)-SUMIF(57:57,C11,58:58)+100</f>
        <v>100</v>
      </c>
      <c r="G11" s="760"/>
      <c r="H11" s="761">
        <f>SUMIF(57:57,G11,58:58)-SUMIF(57:57,C11,58:58)+100</f>
        <v>100</v>
      </c>
      <c r="I11" s="760"/>
      <c r="J11" s="761">
        <f>SUMIF(57:57,I11,58:58)-SUMIF(57:57,C11,58:58)+100</f>
        <v>100</v>
      </c>
      <c r="K11" s="908"/>
      <c r="L11" s="899"/>
      <c r="M11" s="884"/>
      <c r="N11" s="884"/>
      <c r="O11" s="900"/>
      <c r="P11" s="893"/>
      <c r="Q11" s="946">
        <f t="shared" si="6"/>
        <v>111</v>
      </c>
      <c r="R11" s="942" t="s">
        <v>1045</v>
      </c>
      <c r="S11" s="943">
        <f t="shared" si="0"/>
        <v>100</v>
      </c>
      <c r="T11" s="942" t="s">
        <v>1045</v>
      </c>
      <c r="U11" s="943">
        <f t="shared" si="1"/>
        <v>100</v>
      </c>
      <c r="V11" s="942" t="s">
        <v>1045</v>
      </c>
      <c r="W11" s="943">
        <f t="shared" si="2"/>
        <v>100</v>
      </c>
      <c r="X11" s="944"/>
      <c r="Y11" s="946"/>
      <c r="Z11" s="962">
        <f t="shared" si="7"/>
        <v>111</v>
      </c>
      <c r="AA11" s="961">
        <f t="shared" si="3"/>
        <v>1</v>
      </c>
      <c r="AB11" s="961">
        <f t="shared" si="4"/>
        <v>1</v>
      </c>
      <c r="AC11" s="961">
        <f t="shared" si="5"/>
        <v>1</v>
      </c>
    </row>
    <row r="12" s="707" customFormat="1" ht="15" spans="1:29">
      <c r="A12" s="1515"/>
      <c r="B12" s="1514">
        <v>111</v>
      </c>
      <c r="C12" s="760"/>
      <c r="D12" s="767">
        <v>100</v>
      </c>
      <c r="E12" s="760"/>
      <c r="F12" s="761">
        <f>SUMIF(59:59,E12,60:60)-SUMIF(59:59,C12,60:60)+100</f>
        <v>100</v>
      </c>
      <c r="G12" s="760"/>
      <c r="H12" s="761">
        <f>SUMIF(59:59,G12,60:60)-SUMIF(59:59,C12,60:60)+100</f>
        <v>100</v>
      </c>
      <c r="I12" s="760"/>
      <c r="J12" s="761">
        <f>SUMIF(59:59,I12,60:60)-SUMIF(59:59,C12,60:60)+100</f>
        <v>100</v>
      </c>
      <c r="K12" s="908"/>
      <c r="L12" s="889"/>
      <c r="M12" s="890"/>
      <c r="N12" s="890"/>
      <c r="O12" s="892"/>
      <c r="P12" s="893"/>
      <c r="Q12" s="946">
        <f t="shared" si="6"/>
        <v>111</v>
      </c>
      <c r="R12" s="942" t="s">
        <v>1045</v>
      </c>
      <c r="S12" s="943">
        <f t="shared" si="0"/>
        <v>100</v>
      </c>
      <c r="T12" s="942" t="s">
        <v>1045</v>
      </c>
      <c r="U12" s="943">
        <f t="shared" si="1"/>
        <v>100</v>
      </c>
      <c r="V12" s="942" t="s">
        <v>1045</v>
      </c>
      <c r="W12" s="943">
        <f t="shared" si="2"/>
        <v>100</v>
      </c>
      <c r="X12" s="944"/>
      <c r="Y12" s="946"/>
      <c r="Z12" s="962">
        <f t="shared" si="7"/>
        <v>111</v>
      </c>
      <c r="AA12" s="961">
        <f t="shared" si="3"/>
        <v>1</v>
      </c>
      <c r="AB12" s="961">
        <f t="shared" si="4"/>
        <v>1</v>
      </c>
      <c r="AC12" s="961">
        <f t="shared" si="5"/>
        <v>1</v>
      </c>
    </row>
    <row r="13" ht="15.75" spans="1:29">
      <c r="A13" s="1516"/>
      <c r="B13" s="1514">
        <v>111</v>
      </c>
      <c r="C13" s="770"/>
      <c r="D13" s="771">
        <v>100</v>
      </c>
      <c r="E13" s="760"/>
      <c r="F13" s="761">
        <f>SUMIF(61:61,E13,62:62)-SUMIF(61:61,C13,62:62)+100</f>
        <v>100</v>
      </c>
      <c r="G13" s="760"/>
      <c r="H13" s="771">
        <f>SUMIF(61:61,G13,62:62)-SUMIF(61:61,C13,62:62)+100</f>
        <v>100</v>
      </c>
      <c r="I13" s="760"/>
      <c r="J13" s="771">
        <f>SUMIF(61:61,I13,62:62)-SUMIF(61:61,C13,62:62)+100</f>
        <v>100</v>
      </c>
      <c r="K13" s="908"/>
      <c r="L13" s="901"/>
      <c r="M13" s="884"/>
      <c r="N13" s="884"/>
      <c r="O13" s="900"/>
      <c r="P13" s="893"/>
      <c r="Q13" s="946">
        <f t="shared" si="6"/>
        <v>111</v>
      </c>
      <c r="R13" s="942" t="s">
        <v>1045</v>
      </c>
      <c r="S13" s="943">
        <f t="shared" si="0"/>
        <v>100</v>
      </c>
      <c r="T13" s="942" t="s">
        <v>1045</v>
      </c>
      <c r="U13" s="943">
        <f t="shared" si="1"/>
        <v>100</v>
      </c>
      <c r="V13" s="942" t="s">
        <v>1045</v>
      </c>
      <c r="W13" s="943">
        <f t="shared" si="2"/>
        <v>100</v>
      </c>
      <c r="X13" s="944"/>
      <c r="Y13" s="946"/>
      <c r="Z13" s="962">
        <f t="shared" si="7"/>
        <v>111</v>
      </c>
      <c r="AA13" s="961">
        <f t="shared" si="3"/>
        <v>1</v>
      </c>
      <c r="AB13" s="961">
        <f t="shared" si="4"/>
        <v>1</v>
      </c>
      <c r="AC13" s="961">
        <f t="shared" si="5"/>
        <v>1</v>
      </c>
    </row>
    <row r="14" ht="81" spans="1:29">
      <c r="A14" s="728" t="s">
        <v>1057</v>
      </c>
      <c r="B14" s="777" t="s">
        <v>209</v>
      </c>
      <c r="C14" s="1517" t="str">
        <f>IF(B1="工业",估价对象房地状况!G4,估价对象房地状况!C6)</f>
        <v>估价对象周边道路状况、公共交通通达情况、停车便捷程度，综合评价交通便捷度较好</v>
      </c>
      <c r="D14" s="1518">
        <v>100</v>
      </c>
      <c r="E14" s="780"/>
      <c r="F14" s="779">
        <f>SUMIF(63:63,E15,64:64)-SUMIF(63:63,C15,64:64)+100</f>
        <v>100</v>
      </c>
      <c r="G14" s="780"/>
      <c r="H14" s="779">
        <f>SUMIF(63:63,G15,64:64)-SUMIF(63:63,C15,64:64)+100</f>
        <v>100</v>
      </c>
      <c r="I14" s="780"/>
      <c r="J14" s="779">
        <f>SUMIF(63:63,I15,64:64)-SUMIF(63:63,C15,64:64)+100</f>
        <v>100</v>
      </c>
      <c r="K14" s="1485"/>
      <c r="L14" s="901"/>
      <c r="M14" s="884"/>
      <c r="N14" s="884"/>
      <c r="O14" s="900"/>
      <c r="P14" s="903" t="s">
        <v>1058</v>
      </c>
      <c r="Q14" s="893" t="str">
        <f t="shared" si="6"/>
        <v>交通便捷度</v>
      </c>
      <c r="R14" s="947" t="s">
        <v>1045</v>
      </c>
      <c r="S14" s="948">
        <f t="shared" si="0"/>
        <v>100</v>
      </c>
      <c r="T14" s="947" t="s">
        <v>1045</v>
      </c>
      <c r="U14" s="948">
        <f t="shared" si="1"/>
        <v>100</v>
      </c>
      <c r="V14" s="947" t="s">
        <v>1045</v>
      </c>
      <c r="W14" s="948">
        <f t="shared" si="2"/>
        <v>100</v>
      </c>
      <c r="X14" s="934"/>
      <c r="Y14" s="903" t="s">
        <v>1058</v>
      </c>
      <c r="Z14" s="851" t="str">
        <f t="shared" si="7"/>
        <v>交通便捷度</v>
      </c>
      <c r="AA14" s="963">
        <f t="shared" si="3"/>
        <v>1</v>
      </c>
      <c r="AB14" s="963">
        <f t="shared" si="4"/>
        <v>1</v>
      </c>
      <c r="AC14" s="963">
        <f t="shared" si="5"/>
        <v>1</v>
      </c>
    </row>
    <row r="15" ht="15" spans="1:29">
      <c r="A15" s="734"/>
      <c r="B15" s="1519"/>
      <c r="C15" s="1520"/>
      <c r="D15" s="1521"/>
      <c r="E15" s="782"/>
      <c r="F15" s="783"/>
      <c r="G15" s="784"/>
      <c r="H15" s="785"/>
      <c r="I15" s="782"/>
      <c r="J15" s="783"/>
      <c r="K15" s="1486"/>
      <c r="L15" s="901"/>
      <c r="M15" s="884"/>
      <c r="N15" s="884"/>
      <c r="O15" s="900"/>
      <c r="P15" s="904"/>
      <c r="Q15" s="893"/>
      <c r="R15" s="947"/>
      <c r="S15" s="948"/>
      <c r="T15" s="947"/>
      <c r="U15" s="948"/>
      <c r="V15" s="947"/>
      <c r="W15" s="948"/>
      <c r="X15" s="934"/>
      <c r="Y15" s="904"/>
      <c r="Z15" s="851"/>
      <c r="AA15" s="963">
        <v>1</v>
      </c>
      <c r="AB15" s="963">
        <v>1</v>
      </c>
      <c r="AC15" s="963">
        <v>1</v>
      </c>
    </row>
    <row r="16" ht="40.5" spans="1:29">
      <c r="A16" s="734"/>
      <c r="B16" s="786" t="s">
        <v>211</v>
      </c>
      <c r="C16" s="1522" t="str">
        <f>IF(B1="工业",估价对象房地状况!G5,估价对象房地状况!C7)</f>
        <v>估价对象所在区域公共配套设施齐备情况</v>
      </c>
      <c r="D16" s="1523">
        <v>100</v>
      </c>
      <c r="E16" s="788"/>
      <c r="F16" s="785">
        <f>SUMIF(65:65,E17,66:66)-SUMIF(65:65,C17,66:66)+100</f>
        <v>100</v>
      </c>
      <c r="G16" s="788"/>
      <c r="H16" s="789">
        <f>SUMIF(65:65,G17,66:66)-SUMIF(65:65,C17,66:66)+100</f>
        <v>100</v>
      </c>
      <c r="I16" s="788"/>
      <c r="J16" s="789">
        <f>SUMIF(65:65,I17,66:66)-SUMIF(65:65,C17,66:66)+100</f>
        <v>100</v>
      </c>
      <c r="K16" s="1485"/>
      <c r="L16" s="901"/>
      <c r="M16" s="884"/>
      <c r="N16" s="884"/>
      <c r="O16" s="900"/>
      <c r="P16" s="904"/>
      <c r="Q16" s="893" t="str">
        <f>B16</f>
        <v>公共配套设施</v>
      </c>
      <c r="R16" s="947" t="s">
        <v>1045</v>
      </c>
      <c r="S16" s="948">
        <f>F16</f>
        <v>100</v>
      </c>
      <c r="T16" s="947" t="s">
        <v>1045</v>
      </c>
      <c r="U16" s="948">
        <f>H16</f>
        <v>100</v>
      </c>
      <c r="V16" s="947" t="s">
        <v>1045</v>
      </c>
      <c r="W16" s="948">
        <f>J16</f>
        <v>100</v>
      </c>
      <c r="X16" s="934"/>
      <c r="Y16" s="904"/>
      <c r="Z16" s="851" t="str">
        <f>Q16</f>
        <v>公共配套设施</v>
      </c>
      <c r="AA16" s="963">
        <f t="shared" si="3"/>
        <v>1</v>
      </c>
      <c r="AB16" s="963">
        <f t="shared" si="4"/>
        <v>1</v>
      </c>
      <c r="AC16" s="963">
        <f t="shared" si="5"/>
        <v>1</v>
      </c>
    </row>
    <row r="17" ht="15" spans="1:29">
      <c r="A17" s="734"/>
      <c r="B17" s="790"/>
      <c r="C17" s="1524"/>
      <c r="D17" s="1523"/>
      <c r="E17" s="791"/>
      <c r="F17" s="785"/>
      <c r="G17" s="791"/>
      <c r="H17" s="783"/>
      <c r="I17" s="791"/>
      <c r="J17" s="783"/>
      <c r="K17" s="1486"/>
      <c r="L17" s="901"/>
      <c r="M17" s="884"/>
      <c r="N17" s="884"/>
      <c r="O17" s="900"/>
      <c r="P17" s="904"/>
      <c r="Q17" s="893"/>
      <c r="R17" s="947"/>
      <c r="S17" s="948"/>
      <c r="T17" s="947"/>
      <c r="U17" s="948"/>
      <c r="V17" s="947"/>
      <c r="W17" s="948"/>
      <c r="X17" s="934"/>
      <c r="Y17" s="904"/>
      <c r="Z17" s="851"/>
      <c r="AA17" s="963">
        <v>1</v>
      </c>
      <c r="AB17" s="963">
        <v>1</v>
      </c>
      <c r="AC17" s="963">
        <v>1</v>
      </c>
    </row>
    <row r="18" ht="27" spans="1:29">
      <c r="A18" s="734"/>
      <c r="B18" s="794" t="s">
        <v>212</v>
      </c>
      <c r="C18" s="1522" t="str">
        <f>IF(B1="工业",估价对象房地状况!G6,估价对象房地状况!C8)</f>
        <v>估价对象所在区域基础设施水平</v>
      </c>
      <c r="D18" s="1523">
        <v>100</v>
      </c>
      <c r="E18" s="788"/>
      <c r="F18" s="785">
        <f>SUMIF(67:67,E19,68:68)-SUMIF(67:67,C19,68:68)+100</f>
        <v>100</v>
      </c>
      <c r="G18" s="788"/>
      <c r="H18" s="789">
        <f>SUMIF(67:67,G19,68:68)-SUMIF(67:67,C19,68:68)+100</f>
        <v>100</v>
      </c>
      <c r="I18" s="788"/>
      <c r="J18" s="789">
        <f>SUMIF(67:67,I19,68:68)-SUMIF(67:67,C19,68:68)+100</f>
        <v>100</v>
      </c>
      <c r="K18" s="1485"/>
      <c r="L18" s="901"/>
      <c r="M18" s="884"/>
      <c r="N18" s="884"/>
      <c r="O18" s="900"/>
      <c r="P18" s="904"/>
      <c r="Q18" s="893" t="str">
        <f>B18</f>
        <v>基础设施水平</v>
      </c>
      <c r="R18" s="947" t="s">
        <v>1045</v>
      </c>
      <c r="S18" s="948">
        <f>F18</f>
        <v>100</v>
      </c>
      <c r="T18" s="947" t="s">
        <v>1045</v>
      </c>
      <c r="U18" s="948">
        <f>H18</f>
        <v>100</v>
      </c>
      <c r="V18" s="947" t="s">
        <v>1045</v>
      </c>
      <c r="W18" s="948">
        <f>J18</f>
        <v>100</v>
      </c>
      <c r="X18" s="934"/>
      <c r="Y18" s="904"/>
      <c r="Z18" s="851" t="str">
        <f>Q18</f>
        <v>基础设施水平</v>
      </c>
      <c r="AA18" s="963">
        <f t="shared" ref="AA18" si="8">D18/F18</f>
        <v>1</v>
      </c>
      <c r="AB18" s="963">
        <f t="shared" ref="AB18" si="9">D18/H18</f>
        <v>1</v>
      </c>
      <c r="AC18" s="963">
        <f t="shared" ref="AC18" si="10">D18/J18</f>
        <v>1</v>
      </c>
    </row>
    <row r="19" ht="15" spans="1:29">
      <c r="A19" s="734"/>
      <c r="B19" s="794"/>
      <c r="C19" s="1525"/>
      <c r="D19" s="1523"/>
      <c r="E19" s="1526"/>
      <c r="F19" s="785"/>
      <c r="G19" s="1526"/>
      <c r="H19" s="783"/>
      <c r="I19" s="791"/>
      <c r="J19" s="783"/>
      <c r="K19" s="1487"/>
      <c r="L19" s="901"/>
      <c r="M19" s="884"/>
      <c r="N19" s="884"/>
      <c r="O19" s="900"/>
      <c r="P19" s="904"/>
      <c r="Q19" s="893"/>
      <c r="R19" s="947"/>
      <c r="S19" s="948"/>
      <c r="T19" s="947"/>
      <c r="U19" s="948"/>
      <c r="V19" s="947"/>
      <c r="W19" s="948"/>
      <c r="X19" s="934"/>
      <c r="Y19" s="904"/>
      <c r="Z19" s="851"/>
      <c r="AA19" s="963">
        <v>1</v>
      </c>
      <c r="AB19" s="963">
        <v>1</v>
      </c>
      <c r="AC19" s="963">
        <v>1</v>
      </c>
    </row>
    <row r="20" ht="54" spans="1:29">
      <c r="A20" s="734"/>
      <c r="B20" s="786" t="s">
        <v>1062</v>
      </c>
      <c r="C20" s="1522" t="str">
        <f>IF(B1="工业",估价对象房地状况!G7,估价对象房地状况!C9)</f>
        <v>区域自然环境：；人文环境；综合评价环境状况一般</v>
      </c>
      <c r="D20" s="1527">
        <v>100</v>
      </c>
      <c r="E20" s="1445"/>
      <c r="F20" s="789">
        <f>SUMIF(69:69,E21,70:70)-SUMIF(69:69,C21,70:70)+100</f>
        <v>100</v>
      </c>
      <c r="G20" s="1445"/>
      <c r="H20" s="785">
        <f>SUMIF(69:69,G21,70:70)-SUMIF(69:69,C21,70:70)+100</f>
        <v>100</v>
      </c>
      <c r="I20" s="788"/>
      <c r="J20" s="785">
        <f>SUMIF(69:69,I21,70:70)-SUMIF(69:69,C21,70:70)+100</f>
        <v>100</v>
      </c>
      <c r="K20" s="1485"/>
      <c r="L20" s="901"/>
      <c r="M20" s="884"/>
      <c r="N20" s="884"/>
      <c r="O20" s="900"/>
      <c r="P20" s="904"/>
      <c r="Q20" s="893" t="str">
        <f>B20</f>
        <v>自然及人文环境</v>
      </c>
      <c r="R20" s="947" t="s">
        <v>1045</v>
      </c>
      <c r="S20" s="948">
        <f>F20</f>
        <v>100</v>
      </c>
      <c r="T20" s="947" t="s">
        <v>1045</v>
      </c>
      <c r="U20" s="948">
        <f>H20</f>
        <v>100</v>
      </c>
      <c r="V20" s="947" t="s">
        <v>1045</v>
      </c>
      <c r="W20" s="948">
        <f>J20</f>
        <v>100</v>
      </c>
      <c r="X20" s="934"/>
      <c r="Y20" s="904"/>
      <c r="Z20" s="851" t="str">
        <f>Q20</f>
        <v>自然及人文环境</v>
      </c>
      <c r="AA20" s="963">
        <f t="shared" si="3"/>
        <v>1</v>
      </c>
      <c r="AB20" s="963">
        <f t="shared" si="4"/>
        <v>1</v>
      </c>
      <c r="AC20" s="963">
        <f t="shared" si="5"/>
        <v>1</v>
      </c>
    </row>
    <row r="21" ht="15" spans="1:29">
      <c r="A21" s="734"/>
      <c r="B21" s="790"/>
      <c r="C21" s="1520"/>
      <c r="D21" s="1521"/>
      <c r="E21" s="782"/>
      <c r="F21" s="783"/>
      <c r="G21" s="784"/>
      <c r="H21" s="783"/>
      <c r="I21" s="782"/>
      <c r="J21" s="783"/>
      <c r="K21" s="1486"/>
      <c r="L21" s="901"/>
      <c r="M21" s="884"/>
      <c r="N21" s="884"/>
      <c r="O21" s="900"/>
      <c r="P21" s="904"/>
      <c r="Q21" s="893"/>
      <c r="R21" s="947"/>
      <c r="S21" s="948"/>
      <c r="T21" s="947"/>
      <c r="U21" s="948"/>
      <c r="V21" s="947"/>
      <c r="W21" s="948"/>
      <c r="X21" s="934"/>
      <c r="Y21" s="904"/>
      <c r="Z21" s="851"/>
      <c r="AA21" s="963">
        <v>1</v>
      </c>
      <c r="AB21" s="963">
        <v>1</v>
      </c>
      <c r="AC21" s="963">
        <v>1</v>
      </c>
    </row>
    <row r="22" ht="15" spans="1:29">
      <c r="A22" s="734"/>
      <c r="B22" s="786" t="s">
        <v>1475</v>
      </c>
      <c r="C22" s="797"/>
      <c r="D22" s="1523">
        <v>100</v>
      </c>
      <c r="E22" s="796"/>
      <c r="F22" s="771">
        <f>SUMIF(71:71,E22,72:72)-SUMIF(71:71,C22,72:72)+100</f>
        <v>100</v>
      </c>
      <c r="G22" s="797"/>
      <c r="H22" s="771">
        <f>SUMIF(71:71,G22,72:72)-SUMIF(71:71,C22,72:72)+100</f>
        <v>100</v>
      </c>
      <c r="I22" s="796"/>
      <c r="J22" s="771">
        <f>SUMIF(71:71,I22,72:72)-SUMIF(71:71,C22,72:72)+100</f>
        <v>100</v>
      </c>
      <c r="K22" s="909"/>
      <c r="L22" s="901"/>
      <c r="M22" s="884"/>
      <c r="N22" s="884"/>
      <c r="O22" s="900"/>
      <c r="P22" s="904"/>
      <c r="Q22" s="893" t="str">
        <f>B22</f>
        <v>楼层</v>
      </c>
      <c r="R22" s="947" t="s">
        <v>1045</v>
      </c>
      <c r="S22" s="948">
        <f>F22</f>
        <v>100</v>
      </c>
      <c r="T22" s="947" t="s">
        <v>1045</v>
      </c>
      <c r="U22" s="948">
        <f>H22</f>
        <v>100</v>
      </c>
      <c r="V22" s="947" t="s">
        <v>1045</v>
      </c>
      <c r="W22" s="948">
        <f>J22</f>
        <v>100</v>
      </c>
      <c r="X22" s="934"/>
      <c r="Y22" s="904"/>
      <c r="Z22" s="851" t="str">
        <f>Q22</f>
        <v>楼层</v>
      </c>
      <c r="AA22" s="963">
        <f t="shared" si="3"/>
        <v>1</v>
      </c>
      <c r="AB22" s="963">
        <f t="shared" si="4"/>
        <v>1</v>
      </c>
      <c r="AC22" s="963">
        <f t="shared" si="5"/>
        <v>1</v>
      </c>
    </row>
    <row r="23" ht="15" spans="1:29">
      <c r="A23" s="734"/>
      <c r="B23" s="1528">
        <v>111</v>
      </c>
      <c r="C23" s="1529"/>
      <c r="D23" s="1530">
        <v>100</v>
      </c>
      <c r="E23" s="760"/>
      <c r="F23" s="771">
        <f>SUMIF(73:73,E23,74:74)-SUMIF(73:73,C23,74:74)+100</f>
        <v>100</v>
      </c>
      <c r="G23" s="1531"/>
      <c r="H23" s="771">
        <f>SUMIF(73:73,G23,74:74)-SUMIF(73:73,C23,74:74)+100</f>
        <v>100</v>
      </c>
      <c r="I23" s="760"/>
      <c r="J23" s="771">
        <f>SUMIF(73:73,I23,74:74)-SUMIF(73:73,C23,74:74)+100</f>
        <v>100</v>
      </c>
      <c r="K23" s="908"/>
      <c r="L23" s="901"/>
      <c r="M23" s="884"/>
      <c r="N23" s="884"/>
      <c r="O23" s="900"/>
      <c r="P23" s="904"/>
      <c r="Q23" s="893">
        <f>B23</f>
        <v>111</v>
      </c>
      <c r="R23" s="947" t="s">
        <v>1045</v>
      </c>
      <c r="S23" s="948">
        <f>F23</f>
        <v>100</v>
      </c>
      <c r="T23" s="947" t="s">
        <v>1045</v>
      </c>
      <c r="U23" s="948">
        <f>H23</f>
        <v>100</v>
      </c>
      <c r="V23" s="947" t="s">
        <v>1045</v>
      </c>
      <c r="W23" s="948">
        <f>J23</f>
        <v>100</v>
      </c>
      <c r="X23" s="934"/>
      <c r="Y23" s="904"/>
      <c r="Z23" s="851">
        <f>Q23</f>
        <v>111</v>
      </c>
      <c r="AA23" s="963">
        <f t="shared" si="3"/>
        <v>1</v>
      </c>
      <c r="AB23" s="963">
        <f t="shared" si="4"/>
        <v>1</v>
      </c>
      <c r="AC23" s="963">
        <f t="shared" si="5"/>
        <v>1</v>
      </c>
    </row>
    <row r="24" ht="15" spans="1:29">
      <c r="A24" s="734"/>
      <c r="B24" s="1528">
        <v>111</v>
      </c>
      <c r="C24" s="1529"/>
      <c r="D24" s="1530">
        <v>100</v>
      </c>
      <c r="E24" s="760"/>
      <c r="F24" s="771">
        <f>SUMIF(75:75,E24,76:76)-SUMIF(75:75,C24,76:76)+100</f>
        <v>100</v>
      </c>
      <c r="G24" s="1531"/>
      <c r="H24" s="771">
        <f>SUMIF(75:75,G24,76:76)-SUMIF(75:75,C24,76:76)+100</f>
        <v>100</v>
      </c>
      <c r="I24" s="760"/>
      <c r="J24" s="771">
        <f>SUMIF(75:75,I24,76:76)-SUMIF(75:75,C24,76:76)+100</f>
        <v>100</v>
      </c>
      <c r="K24" s="908"/>
      <c r="L24" s="901"/>
      <c r="M24" s="884"/>
      <c r="N24" s="884"/>
      <c r="O24" s="900"/>
      <c r="P24" s="904"/>
      <c r="Q24" s="893">
        <f t="shared" ref="Q24:Q36" si="11">B24</f>
        <v>111</v>
      </c>
      <c r="R24" s="947" t="s">
        <v>1045</v>
      </c>
      <c r="S24" s="948">
        <f>F24</f>
        <v>100</v>
      </c>
      <c r="T24" s="947" t="s">
        <v>1045</v>
      </c>
      <c r="U24" s="948">
        <f>H24</f>
        <v>100</v>
      </c>
      <c r="V24" s="947" t="s">
        <v>1045</v>
      </c>
      <c r="W24" s="948">
        <f>J24</f>
        <v>100</v>
      </c>
      <c r="X24" s="934"/>
      <c r="Y24" s="904"/>
      <c r="Z24" s="851">
        <f>Q24</f>
        <v>111</v>
      </c>
      <c r="AA24" s="963">
        <f t="shared" si="3"/>
        <v>1</v>
      </c>
      <c r="AB24" s="963">
        <f t="shared" si="4"/>
        <v>1</v>
      </c>
      <c r="AC24" s="963">
        <f t="shared" si="5"/>
        <v>1</v>
      </c>
    </row>
    <row r="25" s="707" customFormat="1" ht="15.75" spans="1:29">
      <c r="A25" s="1532"/>
      <c r="B25" s="1533">
        <v>111</v>
      </c>
      <c r="C25" s="1534"/>
      <c r="D25" s="1535">
        <v>100</v>
      </c>
      <c r="E25" s="1536"/>
      <c r="F25" s="1537">
        <f>SUMIF(77:77,E25,78:78)-SUMIF(77:77,C25,78:78)+100</f>
        <v>100</v>
      </c>
      <c r="G25" s="974"/>
      <c r="H25" s="1537">
        <f>SUMIF(77:77,G25,78:78)-SUMIF(77:77,C25,78:78)+100</f>
        <v>100</v>
      </c>
      <c r="I25" s="1536"/>
      <c r="J25" s="1537">
        <f>SUMIF(77:77,I25,78:78)-SUMIF(77:77,C25,78:78)+100</f>
        <v>100</v>
      </c>
      <c r="K25" s="908"/>
      <c r="L25" s="889"/>
      <c r="M25" s="890"/>
      <c r="N25" s="890"/>
      <c r="O25" s="892"/>
      <c r="P25" s="904"/>
      <c r="Q25" s="946">
        <f t="shared" si="11"/>
        <v>111</v>
      </c>
      <c r="R25" s="942" t="s">
        <v>1045</v>
      </c>
      <c r="S25" s="943">
        <f>F25</f>
        <v>100</v>
      </c>
      <c r="T25" s="942" t="s">
        <v>1045</v>
      </c>
      <c r="U25" s="943">
        <f>H25</f>
        <v>100</v>
      </c>
      <c r="V25" s="942" t="s">
        <v>1045</v>
      </c>
      <c r="W25" s="943">
        <f>J25</f>
        <v>100</v>
      </c>
      <c r="X25" s="944"/>
      <c r="Y25" s="904"/>
      <c r="Z25" s="962">
        <f>Q25</f>
        <v>111</v>
      </c>
      <c r="AA25" s="963">
        <f t="shared" si="3"/>
        <v>1</v>
      </c>
      <c r="AB25" s="963">
        <f t="shared" si="4"/>
        <v>1</v>
      </c>
      <c r="AC25" s="963">
        <f t="shared" si="5"/>
        <v>1</v>
      </c>
    </row>
    <row r="26" ht="28.5" spans="1:29">
      <c r="A26" s="1538" t="s">
        <v>1070</v>
      </c>
      <c r="B26" s="1539" t="s">
        <v>1494</v>
      </c>
      <c r="C26" s="1540"/>
      <c r="D26" s="783">
        <v>100</v>
      </c>
      <c r="E26" s="782"/>
      <c r="F26" s="1441">
        <f>SUMIF(79:79,E26,80:80)-SUMIF(79:79,C26,80:80)+100</f>
        <v>100</v>
      </c>
      <c r="G26" s="782"/>
      <c r="H26" s="783">
        <f>SUMIF(79:79,G26,80:80)-SUMIF(79:79,C26,80:80)+100</f>
        <v>100</v>
      </c>
      <c r="I26" s="782"/>
      <c r="J26" s="783">
        <f>SUMIF(79:79,I26,80:80)-SUMIF(79:79,C26,80:80)+100</f>
        <v>100</v>
      </c>
      <c r="K26" s="909"/>
      <c r="L26" s="901"/>
      <c r="M26" s="884"/>
      <c r="N26" s="884"/>
      <c r="O26" s="900"/>
      <c r="P26" s="910" t="s">
        <v>1073</v>
      </c>
      <c r="Q26" s="893" t="str">
        <f t="shared" si="11"/>
        <v>配套类型</v>
      </c>
      <c r="R26" s="947" t="s">
        <v>1045</v>
      </c>
      <c r="S26" s="948">
        <f t="shared" ref="S26:S36" si="12">F26</f>
        <v>100</v>
      </c>
      <c r="T26" s="947" t="s">
        <v>1045</v>
      </c>
      <c r="U26" s="948">
        <f t="shared" ref="U26:U36" si="13">H26</f>
        <v>100</v>
      </c>
      <c r="V26" s="947" t="s">
        <v>1045</v>
      </c>
      <c r="W26" s="948">
        <f t="shared" ref="W26:W36" si="14">J26</f>
        <v>100</v>
      </c>
      <c r="X26" s="934"/>
      <c r="Y26" s="913" t="s">
        <v>1073</v>
      </c>
      <c r="Z26" s="851" t="str">
        <f t="shared" ref="Z26:Z36" si="15">Q26</f>
        <v>配套类型</v>
      </c>
      <c r="AA26" s="963">
        <f t="shared" si="3"/>
        <v>1</v>
      </c>
      <c r="AB26" s="963">
        <f t="shared" si="4"/>
        <v>1</v>
      </c>
      <c r="AC26" s="963">
        <f t="shared" si="5"/>
        <v>1</v>
      </c>
    </row>
    <row r="27" s="709" customFormat="1" ht="15" spans="1:29">
      <c r="A27" s="1541"/>
      <c r="B27" s="799" t="s">
        <v>1495</v>
      </c>
      <c r="C27" s="1542"/>
      <c r="D27" s="761">
        <v>100</v>
      </c>
      <c r="E27" s="1542"/>
      <c r="F27" s="1448">
        <f>SUMIF(81:81,E27,82:82)-SUMIF(81:81,C27,82:82)+100</f>
        <v>100</v>
      </c>
      <c r="G27" s="1542"/>
      <c r="H27" s="771">
        <f>SUMIF(81:81,G27,82:82)-SUMIF(81:81,C27,82:82)+100</f>
        <v>100</v>
      </c>
      <c r="I27" s="1542"/>
      <c r="J27" s="771">
        <f>SUMIF(81:81,I27,82:82)-SUMIF(81:81,C27,82:82)+100</f>
        <v>100</v>
      </c>
      <c r="K27" s="908"/>
      <c r="L27" s="899"/>
      <c r="M27" s="911"/>
      <c r="N27" s="911"/>
      <c r="O27" s="912"/>
      <c r="P27" s="913"/>
      <c r="Q27" s="1493" t="str">
        <f t="shared" si="11"/>
        <v>项目停车位配比</v>
      </c>
      <c r="R27" s="949" t="s">
        <v>1045</v>
      </c>
      <c r="S27" s="950">
        <f t="shared" si="12"/>
        <v>100</v>
      </c>
      <c r="T27" s="949" t="s">
        <v>1045</v>
      </c>
      <c r="U27" s="950">
        <f t="shared" si="13"/>
        <v>100</v>
      </c>
      <c r="V27" s="949" t="s">
        <v>1045</v>
      </c>
      <c r="W27" s="950">
        <f t="shared" si="14"/>
        <v>100</v>
      </c>
      <c r="X27" s="951"/>
      <c r="Y27" s="913"/>
      <c r="Z27" s="964" t="str">
        <f t="shared" si="15"/>
        <v>项目停车位配比</v>
      </c>
      <c r="AA27" s="963">
        <f t="shared" si="3"/>
        <v>1</v>
      </c>
      <c r="AB27" s="963">
        <f t="shared" si="4"/>
        <v>1</v>
      </c>
      <c r="AC27" s="963">
        <f t="shared" si="5"/>
        <v>1</v>
      </c>
    </row>
    <row r="28" ht="15" spans="1:29">
      <c r="A28" s="1543"/>
      <c r="B28" s="799" t="s">
        <v>1077</v>
      </c>
      <c r="C28" s="1458"/>
      <c r="D28" s="771">
        <v>100</v>
      </c>
      <c r="E28" s="1458"/>
      <c r="F28" s="1448">
        <f>SUMIF(83:83,E28,84:84)-SUMIF(83:83,C28,84:84)+100</f>
        <v>100</v>
      </c>
      <c r="G28" s="1458"/>
      <c r="H28" s="771">
        <f>SUMIF(83:83,G28,84:84)-SUMIF(83:83,C28,84:84)+100</f>
        <v>100</v>
      </c>
      <c r="I28" s="1458"/>
      <c r="J28" s="771">
        <f>SUMIF(83:83,I28,84:84)-SUMIF(83:83,C28,84:84)+100</f>
        <v>100</v>
      </c>
      <c r="K28" s="909"/>
      <c r="L28" s="901"/>
      <c r="M28" s="884"/>
      <c r="N28" s="884"/>
      <c r="O28" s="900"/>
      <c r="P28" s="913"/>
      <c r="Q28" s="893" t="str">
        <f t="shared" si="11"/>
        <v>公共部分装修</v>
      </c>
      <c r="R28" s="947" t="s">
        <v>1045</v>
      </c>
      <c r="S28" s="948">
        <f t="shared" si="12"/>
        <v>100</v>
      </c>
      <c r="T28" s="947" t="s">
        <v>1045</v>
      </c>
      <c r="U28" s="948">
        <f t="shared" si="13"/>
        <v>100</v>
      </c>
      <c r="V28" s="947" t="s">
        <v>1045</v>
      </c>
      <c r="W28" s="948">
        <f t="shared" si="14"/>
        <v>100</v>
      </c>
      <c r="X28" s="934"/>
      <c r="Y28" s="913"/>
      <c r="Z28" s="851" t="str">
        <f t="shared" si="15"/>
        <v>公共部分装修</v>
      </c>
      <c r="AA28" s="963">
        <f t="shared" si="3"/>
        <v>1</v>
      </c>
      <c r="AB28" s="963">
        <f t="shared" si="4"/>
        <v>1</v>
      </c>
      <c r="AC28" s="963">
        <f t="shared" si="5"/>
        <v>1</v>
      </c>
    </row>
    <row r="29" ht="15" spans="1:29">
      <c r="A29" s="1543"/>
      <c r="B29" s="799" t="s">
        <v>1496</v>
      </c>
      <c r="C29" s="1437"/>
      <c r="D29" s="771">
        <v>100</v>
      </c>
      <c r="E29" s="1455"/>
      <c r="F29" s="1448" t="e">
        <f>LOOKUP(E29,86:86,87:87)-LOOKUP(C29,86:86,87:87)+100</f>
        <v>#N/A</v>
      </c>
      <c r="G29" s="1455"/>
      <c r="H29" s="1448" t="e">
        <f>LOOKUP(G29,86:86,87:87)-LOOKUP(C29,86:86,87:87)+100</f>
        <v>#N/A</v>
      </c>
      <c r="I29" s="1455"/>
      <c r="J29" s="771" t="e">
        <f>LOOKUP(I29,86:86,87:87)-LOOKUP(C29,86:86,87:87)+100</f>
        <v>#N/A</v>
      </c>
      <c r="K29" s="909"/>
      <c r="L29" s="901"/>
      <c r="M29" s="884"/>
      <c r="N29" s="884"/>
      <c r="O29" s="900"/>
      <c r="P29" s="913"/>
      <c r="Q29" s="893" t="str">
        <f t="shared" si="11"/>
        <v>成新率</v>
      </c>
      <c r="R29" s="947" t="s">
        <v>1045</v>
      </c>
      <c r="S29" s="948" t="e">
        <f t="shared" si="12"/>
        <v>#N/A</v>
      </c>
      <c r="T29" s="947" t="s">
        <v>1045</v>
      </c>
      <c r="U29" s="948" t="e">
        <f t="shared" si="13"/>
        <v>#N/A</v>
      </c>
      <c r="V29" s="947" t="s">
        <v>1045</v>
      </c>
      <c r="W29" s="948" t="e">
        <f t="shared" si="14"/>
        <v>#N/A</v>
      </c>
      <c r="X29" s="934"/>
      <c r="Y29" s="913"/>
      <c r="Z29" s="851" t="str">
        <f t="shared" si="15"/>
        <v>成新率</v>
      </c>
      <c r="AA29" s="963" t="e">
        <f t="shared" si="3"/>
        <v>#N/A</v>
      </c>
      <c r="AB29" s="963" t="e">
        <f t="shared" si="4"/>
        <v>#N/A</v>
      </c>
      <c r="AC29" s="963" t="e">
        <f t="shared" si="5"/>
        <v>#N/A</v>
      </c>
    </row>
    <row r="30" ht="15" spans="1:29">
      <c r="A30" s="1543"/>
      <c r="B30" s="799" t="s">
        <v>1497</v>
      </c>
      <c r="C30" s="1459"/>
      <c r="D30" s="771">
        <v>100</v>
      </c>
      <c r="E30" s="1459"/>
      <c r="F30" s="1448">
        <f>SUMIF(88:88,E30,89:89)-SUMIF(88:88,C30,89:89)+100</f>
        <v>100</v>
      </c>
      <c r="G30" s="1459"/>
      <c r="H30" s="771">
        <f>SUMIF(88:88,G30,89:89)-SUMIF(88:88,C30,89:89)+100</f>
        <v>100</v>
      </c>
      <c r="I30" s="1459"/>
      <c r="J30" s="771">
        <f>SUMIF(88:88,I30,89:89)-SUMIF(88:88,C30,89:89)+100</f>
        <v>100</v>
      </c>
      <c r="K30" s="909"/>
      <c r="L30" s="901"/>
      <c r="M30" s="884"/>
      <c r="N30" s="884"/>
      <c r="O30" s="900"/>
      <c r="P30" s="913"/>
      <c r="Q30" s="893" t="str">
        <f t="shared" si="11"/>
        <v>物业等级</v>
      </c>
      <c r="R30" s="947" t="s">
        <v>1045</v>
      </c>
      <c r="S30" s="948">
        <f t="shared" si="12"/>
        <v>100</v>
      </c>
      <c r="T30" s="947" t="s">
        <v>1045</v>
      </c>
      <c r="U30" s="948">
        <f t="shared" si="13"/>
        <v>100</v>
      </c>
      <c r="V30" s="947" t="s">
        <v>1045</v>
      </c>
      <c r="W30" s="948">
        <f t="shared" si="14"/>
        <v>100</v>
      </c>
      <c r="X30" s="934"/>
      <c r="Y30" s="913"/>
      <c r="Z30" s="851" t="str">
        <f t="shared" si="15"/>
        <v>物业等级</v>
      </c>
      <c r="AA30" s="963">
        <f t="shared" si="3"/>
        <v>1</v>
      </c>
      <c r="AB30" s="963">
        <f t="shared" si="4"/>
        <v>1</v>
      </c>
      <c r="AC30" s="963">
        <f t="shared" si="5"/>
        <v>1</v>
      </c>
    </row>
    <row r="31" s="707" customFormat="1" ht="15" spans="1:29">
      <c r="A31" s="1544"/>
      <c r="B31" s="799" t="s">
        <v>1498</v>
      </c>
      <c r="C31" s="1437"/>
      <c r="D31" s="761">
        <v>100</v>
      </c>
      <c r="E31" s="1437"/>
      <c r="F31" s="1448" t="e">
        <f>LOOKUP(E31,91:91,92:92)-LOOKUP(C31,91:91,92:92)+100</f>
        <v>#N/A</v>
      </c>
      <c r="G31" s="1437"/>
      <c r="H31" s="771" t="e">
        <f>LOOKUP(G31,91:91,92:92)-LOOKUP(C31,91:91,92:92)+100</f>
        <v>#N/A</v>
      </c>
      <c r="I31" s="1437"/>
      <c r="J31" s="771" t="e">
        <f>LOOKUP(I31,91:91,92:92)-LOOKUP(C31,91:91,92:92)+100</f>
        <v>#N/A</v>
      </c>
      <c r="K31" s="909"/>
      <c r="L31" s="889"/>
      <c r="M31" s="890"/>
      <c r="N31" s="890"/>
      <c r="O31" s="892"/>
      <c r="P31" s="913"/>
      <c r="Q31" s="946" t="str">
        <f t="shared" si="11"/>
        <v>停车位面积</v>
      </c>
      <c r="R31" s="942" t="s">
        <v>1045</v>
      </c>
      <c r="S31" s="943" t="e">
        <f t="shared" si="12"/>
        <v>#N/A</v>
      </c>
      <c r="T31" s="942" t="s">
        <v>1045</v>
      </c>
      <c r="U31" s="943" t="e">
        <f t="shared" si="13"/>
        <v>#N/A</v>
      </c>
      <c r="V31" s="942" t="s">
        <v>1045</v>
      </c>
      <c r="W31" s="943" t="e">
        <f t="shared" si="14"/>
        <v>#N/A</v>
      </c>
      <c r="X31" s="944"/>
      <c r="Y31" s="913"/>
      <c r="Z31" s="962" t="str">
        <f t="shared" si="15"/>
        <v>停车位面积</v>
      </c>
      <c r="AA31" s="961" t="e">
        <f t="shared" si="3"/>
        <v>#N/A</v>
      </c>
      <c r="AB31" s="961" t="e">
        <f t="shared" si="4"/>
        <v>#N/A</v>
      </c>
      <c r="AC31" s="961" t="e">
        <f t="shared" si="5"/>
        <v>#N/A</v>
      </c>
    </row>
    <row r="32" ht="15" spans="1:29">
      <c r="A32" s="1543"/>
      <c r="B32" s="799" t="s">
        <v>1499</v>
      </c>
      <c r="C32" s="1458"/>
      <c r="D32" s="771">
        <v>100</v>
      </c>
      <c r="E32" s="1458"/>
      <c r="F32" s="1448">
        <f>SUMIF(93:93,E32,94:94)-SUMIF(93:93,C32,94:94)+100</f>
        <v>100</v>
      </c>
      <c r="G32" s="1458"/>
      <c r="H32" s="771">
        <f>SUMIF(93:93,G32,94:94)-SUMIF(93:93,C32,94:94)+100</f>
        <v>100</v>
      </c>
      <c r="I32" s="1458"/>
      <c r="J32" s="771">
        <f>SUMIF(93:93,I32,94:94)-SUMIF(93:93,C32,94:94)+100</f>
        <v>100</v>
      </c>
      <c r="K32" s="909"/>
      <c r="L32" s="901"/>
      <c r="M32" s="884"/>
      <c r="N32" s="884"/>
      <c r="O32" s="900"/>
      <c r="P32" s="913" t="s">
        <v>1073</v>
      </c>
      <c r="Q32" s="893" t="str">
        <f t="shared" si="11"/>
        <v>车位类型</v>
      </c>
      <c r="R32" s="947" t="s">
        <v>1045</v>
      </c>
      <c r="S32" s="948">
        <f t="shared" si="12"/>
        <v>100</v>
      </c>
      <c r="T32" s="947" t="s">
        <v>1045</v>
      </c>
      <c r="U32" s="948">
        <f t="shared" si="13"/>
        <v>100</v>
      </c>
      <c r="V32" s="947" t="s">
        <v>1045</v>
      </c>
      <c r="W32" s="948">
        <f t="shared" si="14"/>
        <v>100</v>
      </c>
      <c r="X32" s="934"/>
      <c r="Y32" s="913" t="s">
        <v>1073</v>
      </c>
      <c r="Z32" s="851" t="str">
        <f t="shared" si="15"/>
        <v>车位类型</v>
      </c>
      <c r="AA32" s="963">
        <f t="shared" si="3"/>
        <v>1</v>
      </c>
      <c r="AB32" s="963">
        <f t="shared" si="4"/>
        <v>1</v>
      </c>
      <c r="AC32" s="963">
        <f t="shared" si="5"/>
        <v>1</v>
      </c>
    </row>
    <row r="33" ht="15" spans="1:29">
      <c r="A33" s="1543"/>
      <c r="B33" s="799" t="s">
        <v>1500</v>
      </c>
      <c r="C33" s="1458"/>
      <c r="D33" s="771">
        <v>100</v>
      </c>
      <c r="E33" s="1458"/>
      <c r="F33" s="1448">
        <f>SUMIF(95:95,E33,96:96)-SUMIF(95:95,C33,96:96)+100</f>
        <v>100</v>
      </c>
      <c r="G33" s="1458"/>
      <c r="H33" s="771">
        <f>SUMIF(95:95,G33,96:96)-SUMIF(95:95,C33,96:96)+100</f>
        <v>100</v>
      </c>
      <c r="I33" s="1458"/>
      <c r="J33" s="771">
        <f>SUMIF(95:95,I33,96:96)-SUMIF(95:95,C33,96:96)+100</f>
        <v>100</v>
      </c>
      <c r="K33" s="909"/>
      <c r="L33" s="901"/>
      <c r="M33" s="884"/>
      <c r="N33" s="884"/>
      <c r="O33" s="900"/>
      <c r="P33" s="913"/>
      <c r="Q33" s="893" t="str">
        <f t="shared" si="11"/>
        <v>是否直接入户</v>
      </c>
      <c r="R33" s="947" t="s">
        <v>1045</v>
      </c>
      <c r="S33" s="948">
        <f t="shared" si="12"/>
        <v>100</v>
      </c>
      <c r="T33" s="947" t="s">
        <v>1045</v>
      </c>
      <c r="U33" s="948">
        <f t="shared" si="13"/>
        <v>100</v>
      </c>
      <c r="V33" s="947" t="s">
        <v>1045</v>
      </c>
      <c r="W33" s="948">
        <f t="shared" si="14"/>
        <v>100</v>
      </c>
      <c r="X33" s="934"/>
      <c r="Y33" s="913"/>
      <c r="Z33" s="851" t="str">
        <f t="shared" si="15"/>
        <v>是否直接入户</v>
      </c>
      <c r="AA33" s="963">
        <f t="shared" si="3"/>
        <v>1</v>
      </c>
      <c r="AB33" s="963">
        <f t="shared" si="4"/>
        <v>1</v>
      </c>
      <c r="AC33" s="963">
        <f t="shared" si="5"/>
        <v>1</v>
      </c>
    </row>
    <row r="34" ht="15" spans="1:29">
      <c r="A34" s="1543"/>
      <c r="B34" s="1528">
        <v>111</v>
      </c>
      <c r="C34" s="760"/>
      <c r="D34" s="771">
        <v>100</v>
      </c>
      <c r="E34" s="760"/>
      <c r="F34" s="1448">
        <f>SUMIF(97:97,E34,98:98)-SUMIF(97:97,C34,98:98)+100</f>
        <v>100</v>
      </c>
      <c r="G34" s="760"/>
      <c r="H34" s="771">
        <f>SUMIF(97:97,G34,98:98)-SUMIF(97:97,C34,98:98)+100</f>
        <v>100</v>
      </c>
      <c r="I34" s="760"/>
      <c r="J34" s="771">
        <f>SUMIF(97:97,I34,98:98)-SUMIF(97:97,C34,98:98)+100</f>
        <v>100</v>
      </c>
      <c r="K34" s="908"/>
      <c r="L34" s="901"/>
      <c r="M34" s="884"/>
      <c r="N34" s="884"/>
      <c r="O34" s="900"/>
      <c r="P34" s="913"/>
      <c r="Q34" s="893">
        <f t="shared" si="11"/>
        <v>111</v>
      </c>
      <c r="R34" s="947" t="s">
        <v>1045</v>
      </c>
      <c r="S34" s="948">
        <f t="shared" si="12"/>
        <v>100</v>
      </c>
      <c r="T34" s="947" t="s">
        <v>1045</v>
      </c>
      <c r="U34" s="948">
        <f t="shared" si="13"/>
        <v>100</v>
      </c>
      <c r="V34" s="947" t="s">
        <v>1045</v>
      </c>
      <c r="W34" s="948">
        <f t="shared" si="14"/>
        <v>100</v>
      </c>
      <c r="X34" s="934"/>
      <c r="Y34" s="913"/>
      <c r="Z34" s="851">
        <f t="shared" si="15"/>
        <v>111</v>
      </c>
      <c r="AA34" s="963">
        <f t="shared" si="3"/>
        <v>1</v>
      </c>
      <c r="AB34" s="963">
        <f t="shared" si="4"/>
        <v>1</v>
      </c>
      <c r="AC34" s="963">
        <f t="shared" si="5"/>
        <v>1</v>
      </c>
    </row>
    <row r="35" s="709" customFormat="1" ht="15" spans="1:29">
      <c r="A35" s="1541"/>
      <c r="B35" s="1528">
        <v>111</v>
      </c>
      <c r="C35" s="760"/>
      <c r="D35" s="771">
        <v>100</v>
      </c>
      <c r="E35" s="760"/>
      <c r="F35" s="1448">
        <f>SUMIF(99:99,E35,100:100)-SUMIF(99:99,C35,100:100)+100</f>
        <v>100</v>
      </c>
      <c r="G35" s="760"/>
      <c r="H35" s="771">
        <f>SUMIF(99:99,G35,100:100)-SUMIF(99:99,C35,100:100)+100</f>
        <v>100</v>
      </c>
      <c r="I35" s="760"/>
      <c r="J35" s="771">
        <f>SUMIF(99:99,I35,100:100)-SUMIF(99:99,C35,100:100)+100</f>
        <v>100</v>
      </c>
      <c r="K35" s="908"/>
      <c r="L35" s="899"/>
      <c r="M35" s="911"/>
      <c r="N35" s="911"/>
      <c r="O35" s="912"/>
      <c r="P35" s="913"/>
      <c r="Q35" s="1493">
        <f t="shared" si="11"/>
        <v>111</v>
      </c>
      <c r="R35" s="949" t="s">
        <v>1045</v>
      </c>
      <c r="S35" s="950">
        <f t="shared" si="12"/>
        <v>100</v>
      </c>
      <c r="T35" s="949" t="s">
        <v>1045</v>
      </c>
      <c r="U35" s="950">
        <f t="shared" si="13"/>
        <v>100</v>
      </c>
      <c r="V35" s="949" t="s">
        <v>1045</v>
      </c>
      <c r="W35" s="950">
        <f t="shared" si="14"/>
        <v>100</v>
      </c>
      <c r="X35" s="951"/>
      <c r="Y35" s="913"/>
      <c r="Z35" s="964">
        <f t="shared" si="15"/>
        <v>111</v>
      </c>
      <c r="AA35" s="963">
        <f t="shared" si="3"/>
        <v>1</v>
      </c>
      <c r="AB35" s="963">
        <f t="shared" si="4"/>
        <v>1</v>
      </c>
      <c r="AC35" s="963">
        <f t="shared" si="5"/>
        <v>1</v>
      </c>
    </row>
    <row r="36" ht="15.75" spans="1:29">
      <c r="A36" s="1545"/>
      <c r="B36" s="1533">
        <v>111</v>
      </c>
      <c r="C36" s="770"/>
      <c r="D36" s="771">
        <v>100</v>
      </c>
      <c r="E36" s="760"/>
      <c r="F36" s="1448">
        <f>SUMIF(101:101,E36,102:102)-SUMIF(101:101,C36,102:102)+100</f>
        <v>100</v>
      </c>
      <c r="G36" s="760"/>
      <c r="H36" s="771">
        <f>SUMIF(101:101,G36,102:102)-SUMIF(101:101,C36,102:102)+100</f>
        <v>100</v>
      </c>
      <c r="I36" s="760"/>
      <c r="J36" s="771">
        <f>SUMIF(101:101,I36,102:102)-SUMIF(101:101,C36,102:102)+100</f>
        <v>100</v>
      </c>
      <c r="K36" s="908"/>
      <c r="L36" s="901"/>
      <c r="M36" s="884"/>
      <c r="N36" s="884"/>
      <c r="O36" s="900"/>
      <c r="P36" s="913"/>
      <c r="Q36" s="893">
        <f t="shared" si="11"/>
        <v>111</v>
      </c>
      <c r="R36" s="947" t="s">
        <v>1045</v>
      </c>
      <c r="S36" s="948">
        <f t="shared" si="12"/>
        <v>100</v>
      </c>
      <c r="T36" s="947" t="s">
        <v>1045</v>
      </c>
      <c r="U36" s="948">
        <f t="shared" si="13"/>
        <v>100</v>
      </c>
      <c r="V36" s="947" t="s">
        <v>1045</v>
      </c>
      <c r="W36" s="948">
        <f t="shared" si="14"/>
        <v>100</v>
      </c>
      <c r="X36" s="934"/>
      <c r="Y36" s="913"/>
      <c r="Z36" s="851">
        <f t="shared" si="15"/>
        <v>111</v>
      </c>
      <c r="AA36" s="963">
        <f t="shared" si="3"/>
        <v>1</v>
      </c>
      <c r="AB36" s="963">
        <f t="shared" si="4"/>
        <v>1</v>
      </c>
      <c r="AC36" s="963">
        <f t="shared" si="5"/>
        <v>1</v>
      </c>
    </row>
    <row r="37" ht="15" spans="1:29">
      <c r="A37" s="820" t="s">
        <v>1501</v>
      </c>
      <c r="B37" s="1546" t="s">
        <v>1502</v>
      </c>
      <c r="C37" s="1464" t="s">
        <v>121</v>
      </c>
      <c r="D37" s="1465"/>
      <c r="E37" s="1466"/>
      <c r="F37" s="1467"/>
      <c r="G37" s="1468"/>
      <c r="H37" s="1469"/>
      <c r="I37" s="1466"/>
      <c r="J37" s="1469"/>
      <c r="K37" s="1550"/>
      <c r="L37" s="917"/>
      <c r="N37" s="884"/>
      <c r="P37" s="893" t="str">
        <f>A37</f>
        <v>成交单价</v>
      </c>
      <c r="Q37" s="893"/>
      <c r="R37" s="963">
        <f>E37</f>
        <v>0</v>
      </c>
      <c r="S37" s="963"/>
      <c r="T37" s="963">
        <f>G37</f>
        <v>0</v>
      </c>
      <c r="U37" s="963"/>
      <c r="V37" s="963">
        <f>I37</f>
        <v>0</v>
      </c>
      <c r="W37" s="963"/>
      <c r="X37" s="872"/>
      <c r="Y37" s="965"/>
      <c r="Z37" s="872"/>
      <c r="AA37" s="872"/>
      <c r="AB37" s="872"/>
      <c r="AC37" s="872"/>
    </row>
    <row r="38" ht="15.75" spans="1:29">
      <c r="A38" s="828" t="s">
        <v>1503</v>
      </c>
      <c r="B38" s="1470" t="str">
        <f>B37</f>
        <v>元/平方米</v>
      </c>
      <c r="C38" s="1471" t="e">
        <f>R39</f>
        <v>#DIV/0!</v>
      </c>
      <c r="D38" s="831" t="s">
        <v>1089</v>
      </c>
      <c r="E38" s="1472" t="e">
        <f>R38</f>
        <v>#DIV/0!</v>
      </c>
      <c r="F38" s="832"/>
      <c r="G38" s="1471" t="e">
        <f>T38</f>
        <v>#DIV/0!</v>
      </c>
      <c r="H38" s="832"/>
      <c r="I38" s="1472" t="e">
        <f>V38</f>
        <v>#DIV/0!</v>
      </c>
      <c r="J38" s="832"/>
      <c r="K38" s="918">
        <f>F38+H38+J38</f>
        <v>0</v>
      </c>
      <c r="L38" s="917"/>
      <c r="P38" s="893" t="str">
        <f>A38</f>
        <v>比较价值</v>
      </c>
      <c r="Q38" s="893"/>
      <c r="R38" s="963" t="e">
        <f>IF(E1="售价",ROUND(PRODUCT(R37,AA7:AA36),0),ROUND(PRODUCT(R37,AA7:AA36),1))</f>
        <v>#DIV/0!</v>
      </c>
      <c r="S38" s="963"/>
      <c r="T38" s="963" t="e">
        <f>IF(E1="售价",ROUND(PRODUCT(T37,AB7:AB36),0),ROUND(PRODUCT(T37,AB7:AB36),1))</f>
        <v>#DIV/0!</v>
      </c>
      <c r="U38" s="963"/>
      <c r="V38" s="963" t="e">
        <f>IF(E1="售价",ROUND(PRODUCT(V37,AC7:AC36),0),ROUND(PRODUCT(V37,AC7:AC36),1))</f>
        <v>#DIV/0!</v>
      </c>
      <c r="W38" s="963"/>
      <c r="X38" s="872"/>
      <c r="Y38" s="872"/>
      <c r="Z38" s="872"/>
      <c r="AA38" s="872"/>
      <c r="AB38" s="872"/>
      <c r="AC38" s="872"/>
    </row>
    <row r="39" ht="15.75" spans="1:29">
      <c r="A39" s="834" t="s">
        <v>1090</v>
      </c>
      <c r="B39" s="835"/>
      <c r="C39" s="1473" t="e">
        <f>R39</f>
        <v>#DIV/0!</v>
      </c>
      <c r="D39" s="1473"/>
      <c r="E39" s="1473"/>
      <c r="F39" s="1473"/>
      <c r="G39" s="1473"/>
      <c r="H39" s="1473"/>
      <c r="I39" s="1473"/>
      <c r="J39" s="1473"/>
      <c r="K39" s="1551"/>
      <c r="L39" s="917"/>
      <c r="P39" s="920" t="str">
        <f>A39</f>
        <v>估价对象XX用房的比较价值（楼面单价，元/平方米）</v>
      </c>
      <c r="Q39" s="953"/>
      <c r="R39" s="1494" t="e">
        <f>IF(E1="售价",ROUND(IF(D38="简单平均",AVERAGE(R38:W38),R38*F38+T38*H38+V38*J38),0),ROUND(IF(D38="简单平均",AVERAGE(R38:V38),R38*F38+T38*H38+V38*J38),1))</f>
        <v>#DIV/0!</v>
      </c>
      <c r="S39" s="1494"/>
      <c r="T39" s="1494"/>
      <c r="U39" s="1494"/>
      <c r="V39" s="1494"/>
      <c r="W39" s="1494"/>
      <c r="X39" s="872"/>
      <c r="Y39" s="872"/>
      <c r="Z39" s="872"/>
      <c r="AA39" s="872"/>
      <c r="AB39" s="872"/>
      <c r="AC39" s="872"/>
    </row>
    <row r="40" spans="7:29">
      <c r="G40" s="837"/>
      <c r="P40" s="872"/>
      <c r="Q40" s="872"/>
      <c r="R40" s="872"/>
      <c r="S40" s="872"/>
      <c r="T40" s="872"/>
      <c r="U40" s="872"/>
      <c r="V40" s="872"/>
      <c r="W40" s="872"/>
      <c r="X40" s="872"/>
      <c r="Y40" s="872"/>
      <c r="Z40" s="872"/>
      <c r="AA40" s="872"/>
      <c r="AB40" s="872"/>
      <c r="AC40" s="872"/>
    </row>
    <row r="41" spans="16:29">
      <c r="P41" s="872"/>
      <c r="Q41" s="872"/>
      <c r="R41" s="872"/>
      <c r="S41" s="872"/>
      <c r="T41" s="872"/>
      <c r="U41" s="872"/>
      <c r="V41" s="872"/>
      <c r="W41" s="872"/>
      <c r="X41" s="872"/>
      <c r="Y41" s="872"/>
      <c r="Z41" s="872"/>
      <c r="AA41" s="872"/>
      <c r="AB41" s="872"/>
      <c r="AC41" s="872"/>
    </row>
    <row r="42" ht="13.5" customHeight="1" spans="3:29">
      <c r="C42" s="838" t="s">
        <v>1091</v>
      </c>
      <c r="D42" s="839"/>
      <c r="E42" s="840" t="e">
        <f>IF(E37&lt;E38,E38/E37-1,E37/E38-1)</f>
        <v>#DIV/0!</v>
      </c>
      <c r="F42" s="841" t="e">
        <f>IF(OR(E42&gt;=0.3,E42&lt;=-0.3),"超过30%","")</f>
        <v>#DIV/0!</v>
      </c>
      <c r="G42" s="840" t="e">
        <f>IF(G37&lt;G38,G38/G37-1,G37/G38-1)</f>
        <v>#DIV/0!</v>
      </c>
      <c r="H42" s="841" t="e">
        <f>IF(OR(G42&gt;=0.3,G42&lt;=-0.3),"超过30%","")</f>
        <v>#DIV/0!</v>
      </c>
      <c r="I42" s="840" t="e">
        <f>IF(I37&lt;I38,I38/I37-1,I37/I38-1)</f>
        <v>#DIV/0!</v>
      </c>
      <c r="J42" s="841" t="e">
        <f>IF(OR(I42&gt;=0.3,I42&lt;=-0.3),"超过30%","")</f>
        <v>#DIV/0!</v>
      </c>
      <c r="P42" s="872"/>
      <c r="Q42" s="872"/>
      <c r="R42" s="872"/>
      <c r="S42" s="872"/>
      <c r="T42" s="872"/>
      <c r="U42" s="872"/>
      <c r="V42" s="872"/>
      <c r="W42" s="872"/>
      <c r="X42" s="872"/>
      <c r="Y42" s="872"/>
      <c r="Z42" s="872"/>
      <c r="AA42" s="872"/>
      <c r="AB42" s="872"/>
      <c r="AC42" s="872"/>
    </row>
    <row r="43" ht="13.5" customHeight="1" spans="3:29">
      <c r="C43" s="838" t="s">
        <v>1092</v>
      </c>
      <c r="D43" s="842"/>
      <c r="E43" s="840" t="e">
        <f>IF(E38&lt;G38,G38/E38-1,E38/G38-1)</f>
        <v>#DIV/0!</v>
      </c>
      <c r="F43" s="841" t="e">
        <f>IF(OR(E43&gt;=0.2,E43&lt;=-0.2),"超过20%","")</f>
        <v>#DIV/0!</v>
      </c>
      <c r="G43" s="840" t="e">
        <f>IF(G38&lt;I38,I38/G38-1,G38/I38-1)</f>
        <v>#DIV/0!</v>
      </c>
      <c r="H43" s="841" t="e">
        <f>IF(OR(G43&gt;=0.2,G43&lt;=-0.2),"超过20%","")</f>
        <v>#DIV/0!</v>
      </c>
      <c r="I43" s="840" t="e">
        <f>IF(I38&lt;E38,E38/I38-1,I38/E38-1)</f>
        <v>#DIV/0!</v>
      </c>
      <c r="J43" s="841" t="e">
        <f>IF(OR(I43&gt;=0.2,I43&lt;=-0.2),"超过20%","")</f>
        <v>#DIV/0!</v>
      </c>
      <c r="P43" s="872"/>
      <c r="Q43" s="872"/>
      <c r="R43" s="872"/>
      <c r="S43" s="872"/>
      <c r="T43" s="872"/>
      <c r="U43" s="872"/>
      <c r="V43" s="872"/>
      <c r="W43" s="872"/>
      <c r="X43" s="872"/>
      <c r="Y43" s="872"/>
      <c r="Z43" s="872"/>
      <c r="AA43" s="872"/>
      <c r="AB43" s="872"/>
      <c r="AC43" s="872"/>
    </row>
    <row r="44" s="710" customFormat="1" ht="13.5" customHeight="1" spans="3:29">
      <c r="C44" s="838" t="s">
        <v>1093</v>
      </c>
      <c r="D44" s="842"/>
      <c r="E44" s="840" t="e">
        <f>IF(E37&lt;G37,G37/E37-1,E37/G37-1)</f>
        <v>#DIV/0!</v>
      </c>
      <c r="F44" s="841" t="e">
        <f>IF(OR(E44&gt;=0.3,E44&lt;=-0.3),"超过30%","")</f>
        <v>#DIV/0!</v>
      </c>
      <c r="G44" s="840" t="e">
        <f>IF(G37&lt;I37,I37/G37-1,G37/I37-1)</f>
        <v>#DIV/0!</v>
      </c>
      <c r="H44" s="841" t="e">
        <f>IF(OR(G44&gt;=0.3,G44&lt;=-0.3),"超过30%","")</f>
        <v>#DIV/0!</v>
      </c>
      <c r="I44" s="840" t="e">
        <f>IF(I37&lt;E37,E37/I37-1,I37/E37-1)</f>
        <v>#DIV/0!</v>
      </c>
      <c r="J44" s="841" t="e">
        <f>IF(OR(I44&gt;=0.3,I44&lt;=-0.3),"超过30%","")</f>
        <v>#DIV/0!</v>
      </c>
      <c r="K44" s="921"/>
      <c r="L44" s="922"/>
      <c r="P44" s="1552"/>
      <c r="Q44" s="1552"/>
      <c r="R44" s="1552"/>
      <c r="S44" s="1552"/>
      <c r="T44" s="1552"/>
      <c r="U44" s="1552"/>
      <c r="V44" s="1552"/>
      <c r="W44" s="1552"/>
      <c r="X44" s="1552"/>
      <c r="Y44" s="1552"/>
      <c r="Z44" s="1552"/>
      <c r="AA44" s="1552"/>
      <c r="AB44" s="1552"/>
      <c r="AC44" s="1552"/>
    </row>
    <row r="45" s="710" customFormat="1" spans="2:29">
      <c r="B45" s="843"/>
      <c r="C45" s="844"/>
      <c r="K45" s="921"/>
      <c r="L45" s="922"/>
      <c r="P45" s="1552"/>
      <c r="Q45" s="1552"/>
      <c r="R45" s="1552"/>
      <c r="S45" s="1552"/>
      <c r="T45" s="1552"/>
      <c r="U45" s="1552"/>
      <c r="V45" s="1552"/>
      <c r="W45" s="1552"/>
      <c r="X45" s="1552"/>
      <c r="Y45" s="1552"/>
      <c r="Z45" s="1552"/>
      <c r="AA45" s="1552"/>
      <c r="AB45" s="1552"/>
      <c r="AC45" s="1552"/>
    </row>
    <row r="46" spans="2:29">
      <c r="B46" s="843"/>
      <c r="C46" s="844"/>
      <c r="P46" s="872"/>
      <c r="Q46" s="872"/>
      <c r="R46" s="872"/>
      <c r="S46" s="872"/>
      <c r="T46" s="872"/>
      <c r="U46" s="872"/>
      <c r="V46" s="872"/>
      <c r="W46" s="872"/>
      <c r="X46" s="872"/>
      <c r="Y46" s="872"/>
      <c r="Z46" s="872"/>
      <c r="AA46" s="872"/>
      <c r="AB46" s="872"/>
      <c r="AC46" s="872"/>
    </row>
    <row r="47" ht="21" spans="1:29">
      <c r="A47" s="1547" t="s">
        <v>1094</v>
      </c>
      <c r="B47" s="867"/>
      <c r="C47" s="927"/>
      <c r="D47" s="927"/>
      <c r="E47" s="927"/>
      <c r="F47" s="1548"/>
      <c r="G47" s="1548"/>
      <c r="H47" s="927"/>
      <c r="I47" s="927"/>
      <c r="J47" s="927"/>
      <c r="K47" s="928"/>
      <c r="L47" s="1489"/>
      <c r="M47" s="873"/>
      <c r="N47" s="873"/>
      <c r="O47" s="873"/>
      <c r="P47" s="873"/>
      <c r="Q47" s="1553"/>
      <c r="R47" s="872"/>
      <c r="S47" s="872"/>
      <c r="T47" s="872"/>
      <c r="U47" s="872"/>
      <c r="V47" s="872"/>
      <c r="W47" s="872"/>
      <c r="X47" s="872"/>
      <c r="Y47" s="872"/>
      <c r="Z47" s="872"/>
      <c r="AA47" s="872"/>
      <c r="AB47" s="872"/>
      <c r="AC47" s="872"/>
    </row>
    <row r="48" s="712" customFormat="1" ht="15" spans="1:16">
      <c r="A48" s="1474" t="s">
        <v>1043</v>
      </c>
      <c r="B48" s="1475"/>
      <c r="C48" s="1476" t="str">
        <f>YEAR(C7)&amp;"-"&amp;MONTH(C7)</f>
        <v>2022-1</v>
      </c>
      <c r="D48" s="1477">
        <f>EDATE(C48,-1)</f>
        <v>44531</v>
      </c>
      <c r="E48" s="1477">
        <f t="shared" ref="E48:O48" si="16">EDATE(D48,-1)</f>
        <v>44501</v>
      </c>
      <c r="F48" s="1477">
        <f t="shared" si="16"/>
        <v>44470</v>
      </c>
      <c r="G48" s="1477">
        <f t="shared" si="16"/>
        <v>44440</v>
      </c>
      <c r="H48" s="1477">
        <f t="shared" si="16"/>
        <v>44409</v>
      </c>
      <c r="I48" s="1477">
        <f t="shared" si="16"/>
        <v>44378</v>
      </c>
      <c r="J48" s="1477">
        <f t="shared" si="16"/>
        <v>44348</v>
      </c>
      <c r="K48" s="1477">
        <f t="shared" si="16"/>
        <v>44317</v>
      </c>
      <c r="L48" s="1477">
        <f t="shared" si="16"/>
        <v>44287</v>
      </c>
      <c r="M48" s="1477">
        <f t="shared" si="16"/>
        <v>44256</v>
      </c>
      <c r="N48" s="1477">
        <f t="shared" si="16"/>
        <v>44228</v>
      </c>
      <c r="O48" s="1477">
        <f t="shared" si="16"/>
        <v>44197</v>
      </c>
      <c r="P48" s="1021"/>
    </row>
    <row r="49" s="707" customFormat="1" ht="15" spans="1:16">
      <c r="A49" s="1478"/>
      <c r="B49" s="977"/>
      <c r="C49" s="1479">
        <v>100</v>
      </c>
      <c r="D49" s="981"/>
      <c r="E49" s="981"/>
      <c r="F49" s="981"/>
      <c r="G49" s="981"/>
      <c r="H49" s="981"/>
      <c r="I49" s="981"/>
      <c r="J49" s="981"/>
      <c r="K49" s="981"/>
      <c r="L49" s="981"/>
      <c r="M49" s="1491"/>
      <c r="N49" s="981"/>
      <c r="O49" s="1030"/>
      <c r="P49" s="955"/>
    </row>
    <row r="50" s="707" customFormat="1" ht="15.75" spans="1:17">
      <c r="A50" s="972" t="s">
        <v>1095</v>
      </c>
      <c r="B50" s="973"/>
      <c r="C50" s="974"/>
      <c r="D50" s="975"/>
      <c r="E50" s="975"/>
      <c r="F50" s="975"/>
      <c r="G50" s="975"/>
      <c r="H50" s="975"/>
      <c r="I50" s="975"/>
      <c r="J50" s="975"/>
      <c r="K50" s="975"/>
      <c r="L50" s="975"/>
      <c r="M50" s="1024"/>
      <c r="N50" s="975"/>
      <c r="O50" s="1492"/>
      <c r="P50" s="955"/>
      <c r="Q50" s="955"/>
    </row>
    <row r="51" s="707" customFormat="1" ht="15" spans="1:17">
      <c r="A51" s="976" t="s">
        <v>1046</v>
      </c>
      <c r="B51" s="977"/>
      <c r="C51" s="978" t="s">
        <v>1047</v>
      </c>
      <c r="D51" s="979"/>
      <c r="E51" s="979"/>
      <c r="F51" s="979"/>
      <c r="G51" s="979"/>
      <c r="H51" s="979"/>
      <c r="I51" s="979"/>
      <c r="J51" s="979"/>
      <c r="K51" s="979"/>
      <c r="L51" s="1026"/>
      <c r="M51" s="1027"/>
      <c r="N51" s="1028"/>
      <c r="O51" s="1028"/>
      <c r="P51" s="1029"/>
      <c r="Q51" s="955"/>
    </row>
    <row r="52" s="707" customFormat="1" ht="15.75" spans="1:17">
      <c r="A52" s="976"/>
      <c r="B52" s="977"/>
      <c r="C52" s="980">
        <v>100</v>
      </c>
      <c r="D52" s="981"/>
      <c r="E52" s="981"/>
      <c r="F52" s="981"/>
      <c r="G52" s="981"/>
      <c r="H52" s="981"/>
      <c r="I52" s="981"/>
      <c r="J52" s="981"/>
      <c r="K52" s="981"/>
      <c r="L52" s="981"/>
      <c r="M52" s="1030"/>
      <c r="N52" s="1028"/>
      <c r="O52" s="1028"/>
      <c r="P52" s="955"/>
      <c r="Q52" s="955"/>
    </row>
    <row r="53" spans="1:17">
      <c r="A53" s="982" t="s">
        <v>1096</v>
      </c>
      <c r="B53" s="983" t="s">
        <v>1051</v>
      </c>
      <c r="C53" s="1005">
        <f>C9</f>
        <v>0</v>
      </c>
      <c r="D53" s="914"/>
      <c r="E53" s="914"/>
      <c r="F53" s="914"/>
      <c r="G53" s="914"/>
      <c r="H53" s="914"/>
      <c r="I53" s="914"/>
      <c r="J53" s="914"/>
      <c r="K53" s="1031"/>
      <c r="L53" s="1032"/>
      <c r="M53" s="1033"/>
      <c r="N53" s="1034"/>
      <c r="O53" s="1034"/>
      <c r="P53" s="1035"/>
      <c r="Q53" s="955"/>
    </row>
    <row r="54" ht="15.75" spans="1:17">
      <c r="A54" s="984"/>
      <c r="B54" s="985"/>
      <c r="C54" s="986">
        <v>100</v>
      </c>
      <c r="D54" s="986"/>
      <c r="E54" s="986"/>
      <c r="F54" s="986"/>
      <c r="G54" s="986"/>
      <c r="H54" s="986"/>
      <c r="I54" s="986"/>
      <c r="J54" s="986"/>
      <c r="K54" s="986"/>
      <c r="L54" s="986"/>
      <c r="M54" s="1036"/>
      <c r="N54" s="1037"/>
      <c r="O54" s="1037"/>
      <c r="P54" s="1035"/>
      <c r="Q54" s="955"/>
    </row>
    <row r="55" ht="27.75" spans="1:17">
      <c r="A55" s="984"/>
      <c r="B55" s="987" t="s">
        <v>1054</v>
      </c>
      <c r="C55" s="988" t="s">
        <v>1097</v>
      </c>
      <c r="D55" s="988" t="s">
        <v>1098</v>
      </c>
      <c r="E55" s="988" t="s">
        <v>1099</v>
      </c>
      <c r="F55" s="988" t="s">
        <v>1100</v>
      </c>
      <c r="G55" s="988" t="s">
        <v>1101</v>
      </c>
      <c r="H55" s="988" t="s">
        <v>1102</v>
      </c>
      <c r="I55" s="988" t="s">
        <v>1103</v>
      </c>
      <c r="J55" s="988"/>
      <c r="K55" s="1038"/>
      <c r="L55" s="1039"/>
      <c r="M55" s="1040"/>
      <c r="N55" s="1034"/>
      <c r="O55" s="1034"/>
      <c r="P55" s="1035"/>
      <c r="Q55" s="955"/>
    </row>
    <row r="56" ht="15.75" spans="1:17">
      <c r="A56" s="984"/>
      <c r="B56" s="989"/>
      <c r="C56" s="990" t="s">
        <v>1482</v>
      </c>
      <c r="D56" s="990" t="s">
        <v>1482</v>
      </c>
      <c r="E56" s="990">
        <v>100</v>
      </c>
      <c r="F56" s="990">
        <f>E56-$K10</f>
        <v>100</v>
      </c>
      <c r="G56" s="990">
        <f>F56-$K10</f>
        <v>100</v>
      </c>
      <c r="H56" s="990">
        <f>G56-$K10</f>
        <v>100</v>
      </c>
      <c r="I56" s="990">
        <f>H56-$K10</f>
        <v>100</v>
      </c>
      <c r="J56" s="990"/>
      <c r="K56" s="990"/>
      <c r="L56" s="990"/>
      <c r="M56" s="1041"/>
      <c r="N56" s="1037"/>
      <c r="O56" s="1037"/>
      <c r="P56" s="1035"/>
      <c r="Q56" s="955"/>
    </row>
    <row r="57" ht="15.75" spans="1:17">
      <c r="A57" s="984"/>
      <c r="B57" s="1480">
        <f>B11</f>
        <v>111</v>
      </c>
      <c r="C57" s="768"/>
      <c r="D57" s="768"/>
      <c r="E57" s="768"/>
      <c r="F57" s="768"/>
      <c r="G57" s="768"/>
      <c r="H57" s="768"/>
      <c r="I57" s="768"/>
      <c r="J57" s="768"/>
      <c r="K57" s="1042"/>
      <c r="L57" s="1043"/>
      <c r="M57" s="1044"/>
      <c r="N57" s="1034"/>
      <c r="O57" s="1034"/>
      <c r="P57" s="1035"/>
      <c r="Q57" s="955"/>
    </row>
    <row r="58" ht="15.75" spans="1:17">
      <c r="A58" s="984"/>
      <c r="B58" s="985"/>
      <c r="C58" s="997"/>
      <c r="D58" s="986"/>
      <c r="E58" s="986"/>
      <c r="F58" s="986"/>
      <c r="G58" s="986"/>
      <c r="H58" s="986"/>
      <c r="I58" s="986"/>
      <c r="J58" s="986"/>
      <c r="K58" s="986"/>
      <c r="L58" s="986"/>
      <c r="M58" s="1036"/>
      <c r="N58" s="1037"/>
      <c r="O58" s="1037"/>
      <c r="P58" s="1035"/>
      <c r="Q58" s="955"/>
    </row>
    <row r="59" s="709" customFormat="1" ht="15.75" spans="1:17">
      <c r="A59" s="994"/>
      <c r="B59" s="987">
        <f>B12</f>
        <v>111</v>
      </c>
      <c r="C59" s="768"/>
      <c r="D59" s="768"/>
      <c r="E59" s="768"/>
      <c r="F59" s="768"/>
      <c r="G59" s="995"/>
      <c r="H59" s="996"/>
      <c r="I59" s="996"/>
      <c r="J59" s="996"/>
      <c r="K59" s="996"/>
      <c r="L59" s="1045"/>
      <c r="M59" s="1046"/>
      <c r="N59" s="1047"/>
      <c r="O59" s="1047"/>
      <c r="P59" s="1048"/>
      <c r="Q59" s="1077"/>
    </row>
    <row r="60" s="709" customFormat="1" ht="15.75" spans="1:17">
      <c r="A60" s="994"/>
      <c r="B60" s="989"/>
      <c r="C60" s="997"/>
      <c r="D60" s="986"/>
      <c r="E60" s="986"/>
      <c r="F60" s="986"/>
      <c r="G60" s="986"/>
      <c r="H60" s="986"/>
      <c r="I60" s="986"/>
      <c r="J60" s="986"/>
      <c r="K60" s="986"/>
      <c r="L60" s="986"/>
      <c r="M60" s="1036"/>
      <c r="N60" s="1037"/>
      <c r="O60" s="1037"/>
      <c r="P60" s="1048"/>
      <c r="Q60" s="1077"/>
    </row>
    <row r="61" s="709" customFormat="1" ht="15.75" spans="1:17">
      <c r="A61" s="994"/>
      <c r="B61" s="987">
        <f>B13</f>
        <v>111</v>
      </c>
      <c r="C61" s="995"/>
      <c r="D61" s="995"/>
      <c r="E61" s="995"/>
      <c r="F61" s="995"/>
      <c r="G61" s="995"/>
      <c r="H61" s="996"/>
      <c r="I61" s="996"/>
      <c r="J61" s="996"/>
      <c r="K61" s="996"/>
      <c r="L61" s="1045"/>
      <c r="M61" s="1046"/>
      <c r="N61" s="1047"/>
      <c r="O61" s="1047"/>
      <c r="P61" s="911"/>
      <c r="Q61" s="1078"/>
    </row>
    <row r="62" s="709" customFormat="1" ht="15.75" spans="1:17">
      <c r="A62" s="994"/>
      <c r="B62" s="989"/>
      <c r="C62" s="997"/>
      <c r="D62" s="997"/>
      <c r="E62" s="997"/>
      <c r="F62" s="997"/>
      <c r="G62" s="997"/>
      <c r="H62" s="998"/>
      <c r="I62" s="998"/>
      <c r="J62" s="998"/>
      <c r="K62" s="998"/>
      <c r="L62" s="998"/>
      <c r="M62" s="1049"/>
      <c r="N62" s="1047"/>
      <c r="O62" s="1047"/>
      <c r="P62" s="1048"/>
      <c r="Q62" s="1077"/>
    </row>
    <row r="63" ht="15" spans="1:17">
      <c r="A63" s="982" t="s">
        <v>1057</v>
      </c>
      <c r="B63" s="983" t="s">
        <v>209</v>
      </c>
      <c r="C63" s="1004" t="s">
        <v>226</v>
      </c>
      <c r="D63" s="1004" t="s">
        <v>238</v>
      </c>
      <c r="E63" s="1004" t="s">
        <v>249</v>
      </c>
      <c r="F63" s="1004" t="s">
        <v>259</v>
      </c>
      <c r="G63" s="1004" t="s">
        <v>266</v>
      </c>
      <c r="H63" s="1005"/>
      <c r="I63" s="1005"/>
      <c r="J63" s="1005"/>
      <c r="K63" s="1054"/>
      <c r="L63" s="1055"/>
      <c r="M63" s="1056"/>
      <c r="N63" s="1034"/>
      <c r="O63" s="1034"/>
      <c r="P63" s="1057"/>
      <c r="Q63" s="955"/>
    </row>
    <row r="64" ht="15.75" spans="1:17">
      <c r="A64" s="984"/>
      <c r="B64" s="989"/>
      <c r="C64" s="990">
        <v>100</v>
      </c>
      <c r="D64" s="990">
        <f>C64-$K14</f>
        <v>100</v>
      </c>
      <c r="E64" s="990">
        <f>D64-$K14</f>
        <v>100</v>
      </c>
      <c r="F64" s="990">
        <f>E64-$K14</f>
        <v>100</v>
      </c>
      <c r="G64" s="990">
        <f>F64-$K14</f>
        <v>100</v>
      </c>
      <c r="H64" s="990"/>
      <c r="I64" s="990"/>
      <c r="J64" s="990"/>
      <c r="K64" s="990"/>
      <c r="L64" s="990"/>
      <c r="M64" s="1041"/>
      <c r="N64" s="1037"/>
      <c r="O64" s="1037"/>
      <c r="P64" s="1035"/>
      <c r="Q64" s="955"/>
    </row>
    <row r="65" ht="15.75" spans="1:17">
      <c r="A65" s="984"/>
      <c r="B65" s="987" t="s">
        <v>211</v>
      </c>
      <c r="C65" s="1006" t="s">
        <v>226</v>
      </c>
      <c r="D65" s="1006" t="s">
        <v>238</v>
      </c>
      <c r="E65" s="1006" t="s">
        <v>249</v>
      </c>
      <c r="F65" s="1006" t="s">
        <v>259</v>
      </c>
      <c r="G65" s="1006" t="s">
        <v>266</v>
      </c>
      <c r="H65" s="988"/>
      <c r="I65" s="988"/>
      <c r="J65" s="988"/>
      <c r="K65" s="1038"/>
      <c r="L65" s="1039"/>
      <c r="M65" s="1040"/>
      <c r="N65" s="1034"/>
      <c r="O65" s="1034"/>
      <c r="P65" s="1035"/>
      <c r="Q65" s="955"/>
    </row>
    <row r="66" ht="15.75" spans="1:17">
      <c r="A66" s="984"/>
      <c r="B66" s="989"/>
      <c r="C66" s="990">
        <v>100</v>
      </c>
      <c r="D66" s="990">
        <f>C66-$K16</f>
        <v>100</v>
      </c>
      <c r="E66" s="990">
        <f>D66-$K16</f>
        <v>100</v>
      </c>
      <c r="F66" s="990">
        <f>E66-$K16</f>
        <v>100</v>
      </c>
      <c r="G66" s="990">
        <f>F66-$K16</f>
        <v>100</v>
      </c>
      <c r="H66" s="990"/>
      <c r="I66" s="990"/>
      <c r="J66" s="990"/>
      <c r="K66" s="990"/>
      <c r="L66" s="990"/>
      <c r="M66" s="1041"/>
      <c r="N66" s="1037"/>
      <c r="O66" s="1037"/>
      <c r="P66" s="1035"/>
      <c r="Q66" s="955"/>
    </row>
    <row r="67" ht="15.75" spans="1:17">
      <c r="A67" s="984"/>
      <c r="B67" s="991" t="s">
        <v>212</v>
      </c>
      <c r="C67" s="988" t="s">
        <v>1104</v>
      </c>
      <c r="D67" s="988" t="s">
        <v>1105</v>
      </c>
      <c r="E67" s="988" t="s">
        <v>1106</v>
      </c>
      <c r="F67" s="988" t="s">
        <v>1107</v>
      </c>
      <c r="G67" s="988" t="s">
        <v>1108</v>
      </c>
      <c r="H67" s="988"/>
      <c r="I67" s="988"/>
      <c r="J67" s="988"/>
      <c r="K67" s="988"/>
      <c r="L67" s="988"/>
      <c r="M67" s="1497"/>
      <c r="N67" s="1037"/>
      <c r="O67" s="1037"/>
      <c r="P67" s="1035"/>
      <c r="Q67" s="955"/>
    </row>
    <row r="68" ht="15.75" spans="1:17">
      <c r="A68" s="984"/>
      <c r="B68" s="991"/>
      <c r="C68" s="990">
        <v>100</v>
      </c>
      <c r="D68" s="990">
        <f>C68-$K18</f>
        <v>100</v>
      </c>
      <c r="E68" s="990">
        <f>D68-$K18</f>
        <v>100</v>
      </c>
      <c r="F68" s="990">
        <f>E68-$K18</f>
        <v>100</v>
      </c>
      <c r="G68" s="990">
        <f>F68-$K18</f>
        <v>100</v>
      </c>
      <c r="H68" s="1480"/>
      <c r="I68" s="1480"/>
      <c r="J68" s="1480"/>
      <c r="K68" s="1480"/>
      <c r="L68" s="1480"/>
      <c r="M68" s="785"/>
      <c r="N68" s="1037"/>
      <c r="O68" s="1037"/>
      <c r="P68" s="1035"/>
      <c r="Q68" s="955"/>
    </row>
    <row r="69" ht="15.75" spans="1:17">
      <c r="A69" s="984"/>
      <c r="B69" s="987" t="s">
        <v>1062</v>
      </c>
      <c r="C69" s="1006" t="s">
        <v>226</v>
      </c>
      <c r="D69" s="1006" t="s">
        <v>238</v>
      </c>
      <c r="E69" s="1006" t="s">
        <v>249</v>
      </c>
      <c r="F69" s="1006" t="s">
        <v>259</v>
      </c>
      <c r="G69" s="1006" t="s">
        <v>266</v>
      </c>
      <c r="H69" s="988"/>
      <c r="I69" s="988"/>
      <c r="J69" s="988"/>
      <c r="K69" s="1038"/>
      <c r="L69" s="1039"/>
      <c r="M69" s="1040"/>
      <c r="N69" s="1034"/>
      <c r="O69" s="1034"/>
      <c r="P69" s="1035"/>
      <c r="Q69" s="955"/>
    </row>
    <row r="70" ht="15.75" spans="1:17">
      <c r="A70" s="984"/>
      <c r="B70" s="989"/>
      <c r="C70" s="990">
        <v>100</v>
      </c>
      <c r="D70" s="990">
        <f>C70-$K20</f>
        <v>100</v>
      </c>
      <c r="E70" s="990">
        <f>D70-$K20</f>
        <v>100</v>
      </c>
      <c r="F70" s="990">
        <f>E70-$K20</f>
        <v>100</v>
      </c>
      <c r="G70" s="990">
        <f>F70-$K20</f>
        <v>100</v>
      </c>
      <c r="H70" s="990"/>
      <c r="I70" s="990"/>
      <c r="J70" s="990"/>
      <c r="K70" s="990"/>
      <c r="L70" s="990"/>
      <c r="M70" s="1041"/>
      <c r="N70" s="1037"/>
      <c r="O70" s="1037"/>
      <c r="P70" s="1035"/>
      <c r="Q70" s="955"/>
    </row>
    <row r="71" ht="15.75" spans="1:17">
      <c r="A71" s="984"/>
      <c r="B71" s="987" t="s">
        <v>1475</v>
      </c>
      <c r="C71" s="995"/>
      <c r="D71" s="995"/>
      <c r="E71" s="995"/>
      <c r="F71" s="995"/>
      <c r="G71" s="995"/>
      <c r="H71" s="1011"/>
      <c r="I71" s="1011"/>
      <c r="J71" s="1011"/>
      <c r="K71" s="1064"/>
      <c r="L71" s="1065"/>
      <c r="M71" s="1066"/>
      <c r="N71" s="1034"/>
      <c r="O71" s="1034"/>
      <c r="P71" s="1035"/>
      <c r="Q71" s="955"/>
    </row>
    <row r="72" ht="15.75" spans="1:17">
      <c r="A72" s="984"/>
      <c r="B72" s="989"/>
      <c r="C72" s="990">
        <v>100</v>
      </c>
      <c r="D72" s="990">
        <f>C72-$K22</f>
        <v>100</v>
      </c>
      <c r="E72" s="990">
        <f>D72-$K22</f>
        <v>100</v>
      </c>
      <c r="F72" s="990">
        <f>E72-$K22</f>
        <v>100</v>
      </c>
      <c r="G72" s="990">
        <f>F72-$K22</f>
        <v>100</v>
      </c>
      <c r="H72" s="990"/>
      <c r="I72" s="990"/>
      <c r="J72" s="990"/>
      <c r="K72" s="990"/>
      <c r="L72" s="990"/>
      <c r="M72" s="1041"/>
      <c r="N72" s="1037"/>
      <c r="O72" s="1037"/>
      <c r="P72" s="1035"/>
      <c r="Q72" s="955"/>
    </row>
    <row r="73" s="707" customFormat="1" ht="15.75" spans="1:17">
      <c r="A73" s="1007"/>
      <c r="B73" s="987">
        <f>B23</f>
        <v>111</v>
      </c>
      <c r="C73" s="768"/>
      <c r="D73" s="768"/>
      <c r="E73" s="768"/>
      <c r="F73" s="768"/>
      <c r="G73" s="995"/>
      <c r="H73" s="995"/>
      <c r="I73" s="995"/>
      <c r="J73" s="995"/>
      <c r="K73" s="995"/>
      <c r="L73" s="1353"/>
      <c r="M73" s="1498"/>
      <c r="N73" s="1028"/>
      <c r="O73" s="1028"/>
      <c r="P73" s="1035"/>
      <c r="Q73" s="955"/>
    </row>
    <row r="74" s="707" customFormat="1" ht="15.75" spans="1:17">
      <c r="A74" s="1007"/>
      <c r="B74" s="989"/>
      <c r="C74" s="997"/>
      <c r="D74" s="986"/>
      <c r="E74" s="986"/>
      <c r="F74" s="986"/>
      <c r="G74" s="986"/>
      <c r="H74" s="986"/>
      <c r="I74" s="986"/>
      <c r="J74" s="986"/>
      <c r="K74" s="986"/>
      <c r="L74" s="986"/>
      <c r="M74" s="1036"/>
      <c r="N74" s="1037"/>
      <c r="O74" s="1037"/>
      <c r="P74" s="1035"/>
      <c r="Q74" s="955"/>
    </row>
    <row r="75" s="707" customFormat="1" ht="15.75" spans="1:17">
      <c r="A75" s="1007"/>
      <c r="B75" s="987">
        <f>B24</f>
        <v>111</v>
      </c>
      <c r="C75" s="768"/>
      <c r="D75" s="768"/>
      <c r="E75" s="768"/>
      <c r="F75" s="768"/>
      <c r="G75" s="995"/>
      <c r="H75" s="995"/>
      <c r="I75" s="995"/>
      <c r="J75" s="995"/>
      <c r="K75" s="995"/>
      <c r="L75" s="995"/>
      <c r="M75" s="1498"/>
      <c r="N75" s="1028"/>
      <c r="O75" s="1028"/>
      <c r="P75" s="1035"/>
      <c r="Q75" s="955"/>
    </row>
    <row r="76" s="707" customFormat="1" ht="15.75" spans="1:17">
      <c r="A76" s="1007"/>
      <c r="B76" s="989"/>
      <c r="C76" s="997"/>
      <c r="D76" s="986"/>
      <c r="E76" s="986"/>
      <c r="F76" s="986"/>
      <c r="G76" s="986"/>
      <c r="H76" s="986"/>
      <c r="I76" s="986"/>
      <c r="J76" s="986"/>
      <c r="K76" s="986"/>
      <c r="L76" s="986"/>
      <c r="M76" s="1036"/>
      <c r="N76" s="1037"/>
      <c r="O76" s="1037"/>
      <c r="P76" s="1035"/>
      <c r="Q76" s="955"/>
    </row>
    <row r="77" s="709" customFormat="1" ht="15.75" spans="1:17">
      <c r="A77" s="994"/>
      <c r="B77" s="987">
        <f>B25</f>
        <v>111</v>
      </c>
      <c r="C77" s="995"/>
      <c r="D77" s="995"/>
      <c r="E77" s="995"/>
      <c r="F77" s="995"/>
      <c r="G77" s="995"/>
      <c r="H77" s="996"/>
      <c r="I77" s="996"/>
      <c r="J77" s="996"/>
      <c r="K77" s="996"/>
      <c r="L77" s="1045"/>
      <c r="M77" s="1046"/>
      <c r="N77" s="1047"/>
      <c r="O77" s="1047"/>
      <c r="P77" s="1048"/>
      <c r="Q77" s="1077"/>
    </row>
    <row r="78" s="709" customFormat="1" ht="15.75" spans="1:17">
      <c r="A78" s="994"/>
      <c r="B78" s="989"/>
      <c r="C78" s="997"/>
      <c r="D78" s="997"/>
      <c r="E78" s="997"/>
      <c r="F78" s="997"/>
      <c r="G78" s="986"/>
      <c r="H78" s="986"/>
      <c r="I78" s="986"/>
      <c r="J78" s="986"/>
      <c r="K78" s="986"/>
      <c r="L78" s="986"/>
      <c r="M78" s="1036"/>
      <c r="N78" s="1047"/>
      <c r="O78" s="1047"/>
      <c r="P78" s="1048"/>
      <c r="Q78" s="1077"/>
    </row>
    <row r="79" ht="27.75" spans="1:17">
      <c r="A79" s="982" t="s">
        <v>1070</v>
      </c>
      <c r="B79" s="983" t="s">
        <v>1504</v>
      </c>
      <c r="C79" s="1005">
        <f>C26</f>
        <v>0</v>
      </c>
      <c r="D79" s="914"/>
      <c r="E79" s="914"/>
      <c r="F79" s="914"/>
      <c r="G79" s="914"/>
      <c r="H79" s="914"/>
      <c r="I79" s="914"/>
      <c r="J79" s="914"/>
      <c r="K79" s="1031"/>
      <c r="L79" s="1032"/>
      <c r="M79" s="1033"/>
      <c r="N79" s="1034"/>
      <c r="O79" s="1034"/>
      <c r="P79" s="1035"/>
      <c r="Q79" s="955"/>
    </row>
    <row r="80" ht="15.75" spans="1:17">
      <c r="A80" s="984"/>
      <c r="B80" s="989"/>
      <c r="C80" s="990">
        <v>100</v>
      </c>
      <c r="D80" s="990">
        <f t="shared" ref="D80:M80" si="17">C80-$K26</f>
        <v>100</v>
      </c>
      <c r="E80" s="990">
        <f t="shared" si="17"/>
        <v>100</v>
      </c>
      <c r="F80" s="990">
        <f t="shared" si="17"/>
        <v>100</v>
      </c>
      <c r="G80" s="990">
        <f t="shared" si="17"/>
        <v>100</v>
      </c>
      <c r="H80" s="990">
        <f t="shared" si="17"/>
        <v>100</v>
      </c>
      <c r="I80" s="990">
        <f t="shared" si="17"/>
        <v>100</v>
      </c>
      <c r="J80" s="990">
        <f t="shared" si="17"/>
        <v>100</v>
      </c>
      <c r="K80" s="990">
        <f t="shared" si="17"/>
        <v>100</v>
      </c>
      <c r="L80" s="990">
        <f t="shared" si="17"/>
        <v>100</v>
      </c>
      <c r="M80" s="1041">
        <f t="shared" si="17"/>
        <v>100</v>
      </c>
      <c r="N80" s="1037"/>
      <c r="O80" s="1037"/>
      <c r="P80" s="1035"/>
      <c r="Q80" s="955"/>
    </row>
    <row r="81" ht="15.75" spans="1:17">
      <c r="A81" s="984"/>
      <c r="B81" s="987" t="s">
        <v>1495</v>
      </c>
      <c r="C81" s="1554"/>
      <c r="D81" s="1554"/>
      <c r="E81" s="1554"/>
      <c r="F81" s="1554"/>
      <c r="G81" s="1554"/>
      <c r="H81" s="1554"/>
      <c r="I81" s="1554"/>
      <c r="J81" s="1554"/>
      <c r="K81" s="1555"/>
      <c r="L81" s="1556"/>
      <c r="M81" s="1557"/>
      <c r="N81" s="1028"/>
      <c r="O81" s="1028"/>
      <c r="P81" s="1035"/>
      <c r="Q81" s="955"/>
    </row>
    <row r="82" s="709" customFormat="1" ht="15.75" spans="1:17">
      <c r="A82" s="994"/>
      <c r="B82" s="989"/>
      <c r="C82" s="997"/>
      <c r="D82" s="986"/>
      <c r="E82" s="986"/>
      <c r="F82" s="986"/>
      <c r="G82" s="986"/>
      <c r="H82" s="986"/>
      <c r="I82" s="986"/>
      <c r="J82" s="986"/>
      <c r="K82" s="986"/>
      <c r="L82" s="986"/>
      <c r="M82" s="1036"/>
      <c r="N82" s="1037"/>
      <c r="O82" s="1037"/>
      <c r="P82" s="1048"/>
      <c r="Q82" s="1077"/>
    </row>
    <row r="83" ht="15.75" spans="1:17">
      <c r="A83" s="1018"/>
      <c r="B83" s="987" t="s">
        <v>1077</v>
      </c>
      <c r="C83" s="995"/>
      <c r="D83" s="995"/>
      <c r="E83" s="1011"/>
      <c r="F83" s="1011"/>
      <c r="G83" s="1011"/>
      <c r="H83" s="1011"/>
      <c r="I83" s="1011"/>
      <c r="J83" s="1011"/>
      <c r="K83" s="1064"/>
      <c r="L83" s="1065"/>
      <c r="M83" s="1066"/>
      <c r="N83" s="1034"/>
      <c r="O83" s="1034"/>
      <c r="P83" s="1035"/>
      <c r="Q83" s="955"/>
    </row>
    <row r="84" ht="15.75" spans="1:17">
      <c r="A84" s="984"/>
      <c r="B84" s="989"/>
      <c r="C84" s="990">
        <v>100</v>
      </c>
      <c r="D84" s="990">
        <f t="shared" ref="D84:M84" si="18">C84-$K28</f>
        <v>100</v>
      </c>
      <c r="E84" s="990">
        <f t="shared" si="18"/>
        <v>100</v>
      </c>
      <c r="F84" s="990">
        <f t="shared" si="18"/>
        <v>100</v>
      </c>
      <c r="G84" s="990">
        <f t="shared" si="18"/>
        <v>100</v>
      </c>
      <c r="H84" s="990">
        <f t="shared" si="18"/>
        <v>100</v>
      </c>
      <c r="I84" s="990">
        <f t="shared" si="18"/>
        <v>100</v>
      </c>
      <c r="J84" s="990">
        <f t="shared" si="18"/>
        <v>100</v>
      </c>
      <c r="K84" s="990">
        <f t="shared" si="18"/>
        <v>100</v>
      </c>
      <c r="L84" s="990">
        <f t="shared" si="18"/>
        <v>100</v>
      </c>
      <c r="M84" s="1041">
        <f t="shared" si="18"/>
        <v>100</v>
      </c>
      <c r="N84" s="1037"/>
      <c r="O84" s="1037"/>
      <c r="P84" s="1035"/>
      <c r="Q84" s="955"/>
    </row>
    <row r="85" ht="15.75" spans="1:17">
      <c r="A85" s="1018"/>
      <c r="B85" s="987" t="s">
        <v>1496</v>
      </c>
      <c r="C85" s="1006" t="str">
        <f>C86&amp;"(含)"&amp;"-"&amp;D86</f>
        <v>0.5(含)-0.6</v>
      </c>
      <c r="D85" s="1006" t="str">
        <f>D86&amp;"(含)"&amp;"-"&amp;E86</f>
        <v>0.6(含)-0.7</v>
      </c>
      <c r="E85" s="1006" t="str">
        <f>E86&amp;"(含)"&amp;"-"&amp;F86</f>
        <v>0.7(含)-0.8</v>
      </c>
      <c r="F85" s="1006" t="str">
        <f>F86&amp;"(含)"&amp;"-"&amp;G86</f>
        <v>0.8(含)-0.9</v>
      </c>
      <c r="G85" s="1006" t="str">
        <f>G86&amp;"(含)"&amp;"-"&amp;H86</f>
        <v>0.9(含)-1</v>
      </c>
      <c r="H85" s="1006"/>
      <c r="I85" s="1011"/>
      <c r="J85" s="1011"/>
      <c r="K85" s="1064"/>
      <c r="L85" s="1065"/>
      <c r="M85" s="1066"/>
      <c r="N85" s="1034"/>
      <c r="O85" s="1034"/>
      <c r="P85" s="1035"/>
      <c r="Q85" s="955"/>
    </row>
    <row r="86" ht="15" spans="1:17">
      <c r="A86" s="1018"/>
      <c r="B86" s="991"/>
      <c r="C86" s="369">
        <v>0.5</v>
      </c>
      <c r="D86" s="369">
        <v>0.6</v>
      </c>
      <c r="E86" s="369">
        <v>0.7</v>
      </c>
      <c r="F86" s="369">
        <v>0.8</v>
      </c>
      <c r="G86" s="369">
        <v>0.9</v>
      </c>
      <c r="H86" s="369">
        <v>1</v>
      </c>
      <c r="I86" s="1558"/>
      <c r="J86" s="1558"/>
      <c r="K86" s="1559"/>
      <c r="L86" s="1560"/>
      <c r="M86" s="1561"/>
      <c r="N86" s="1034"/>
      <c r="O86" s="1034"/>
      <c r="P86" s="1035"/>
      <c r="Q86" s="955"/>
    </row>
    <row r="87" ht="15.75" spans="1:17">
      <c r="A87" s="984"/>
      <c r="B87" s="989"/>
      <c r="C87" s="1008">
        <v>100</v>
      </c>
      <c r="D87" s="990">
        <f>C87+$K$29</f>
        <v>100</v>
      </c>
      <c r="E87" s="990">
        <f t="shared" ref="E87:M87" si="19">D87+$K$29</f>
        <v>100</v>
      </c>
      <c r="F87" s="990">
        <f t="shared" si="19"/>
        <v>100</v>
      </c>
      <c r="G87" s="990">
        <f t="shared" si="19"/>
        <v>100</v>
      </c>
      <c r="H87" s="990">
        <f t="shared" si="19"/>
        <v>100</v>
      </c>
      <c r="I87" s="990">
        <f t="shared" si="19"/>
        <v>100</v>
      </c>
      <c r="J87" s="990">
        <f t="shared" si="19"/>
        <v>100</v>
      </c>
      <c r="K87" s="990">
        <f t="shared" si="19"/>
        <v>100</v>
      </c>
      <c r="L87" s="990">
        <f t="shared" si="19"/>
        <v>100</v>
      </c>
      <c r="M87" s="990">
        <f t="shared" si="19"/>
        <v>100</v>
      </c>
      <c r="N87" s="1037"/>
      <c r="O87" s="1037"/>
      <c r="P87" s="1035"/>
      <c r="Q87" s="955"/>
    </row>
    <row r="88" ht="15.75" spans="1:17">
      <c r="A88" s="1018"/>
      <c r="B88" s="991" t="s">
        <v>1497</v>
      </c>
      <c r="C88" s="914"/>
      <c r="D88" s="914"/>
      <c r="E88" s="914"/>
      <c r="F88" s="914"/>
      <c r="G88" s="914"/>
      <c r="H88" s="914"/>
      <c r="I88" s="914"/>
      <c r="J88" s="914"/>
      <c r="K88" s="1031"/>
      <c r="L88" s="1032"/>
      <c r="M88" s="1033"/>
      <c r="N88" s="1034"/>
      <c r="O88" s="1034"/>
      <c r="P88" s="1035"/>
      <c r="Q88" s="955"/>
    </row>
    <row r="89" ht="15.75" spans="1:17">
      <c r="A89" s="984"/>
      <c r="B89" s="989"/>
      <c r="C89" s="1008">
        <v>100</v>
      </c>
      <c r="D89" s="990">
        <f t="shared" ref="D89:M89" si="20">C89+$K30</f>
        <v>100</v>
      </c>
      <c r="E89" s="990">
        <f t="shared" si="20"/>
        <v>100</v>
      </c>
      <c r="F89" s="990">
        <f t="shared" si="20"/>
        <v>100</v>
      </c>
      <c r="G89" s="990">
        <f t="shared" si="20"/>
        <v>100</v>
      </c>
      <c r="H89" s="990">
        <f t="shared" si="20"/>
        <v>100</v>
      </c>
      <c r="I89" s="990">
        <f t="shared" si="20"/>
        <v>100</v>
      </c>
      <c r="J89" s="990">
        <f t="shared" si="20"/>
        <v>100</v>
      </c>
      <c r="K89" s="990">
        <f t="shared" si="20"/>
        <v>100</v>
      </c>
      <c r="L89" s="990">
        <f t="shared" si="20"/>
        <v>100</v>
      </c>
      <c r="M89" s="990">
        <f t="shared" si="20"/>
        <v>100</v>
      </c>
      <c r="N89" s="1037"/>
      <c r="O89" s="1037"/>
      <c r="P89" s="1035"/>
      <c r="Q89" s="955"/>
    </row>
    <row r="90" s="709" customFormat="1" ht="15.75" spans="1:17">
      <c r="A90" s="1014"/>
      <c r="B90" s="987" t="s">
        <v>1498</v>
      </c>
      <c r="C90" s="1006" t="str">
        <f>C91&amp;"(含)"&amp;"-"&amp;D91</f>
        <v>(含)-</v>
      </c>
      <c r="D90" s="1006" t="str">
        <f t="shared" ref="D90:L90" si="21">D91&amp;"(含)"&amp;"-"&amp;E91</f>
        <v>(含)-</v>
      </c>
      <c r="E90" s="1006" t="str">
        <f t="shared" si="21"/>
        <v>(含)-</v>
      </c>
      <c r="F90" s="1006" t="str">
        <f t="shared" si="21"/>
        <v>(含)-</v>
      </c>
      <c r="G90" s="1006" t="str">
        <f t="shared" si="21"/>
        <v>(含)-</v>
      </c>
      <c r="H90" s="1006" t="str">
        <f t="shared" si="21"/>
        <v>(含)-</v>
      </c>
      <c r="I90" s="1006" t="str">
        <f t="shared" si="21"/>
        <v>(含)-</v>
      </c>
      <c r="J90" s="1006" t="str">
        <f t="shared" si="21"/>
        <v>(含)-</v>
      </c>
      <c r="K90" s="1006" t="str">
        <f t="shared" si="21"/>
        <v>(含)-</v>
      </c>
      <c r="L90" s="1006" t="str">
        <f t="shared" si="21"/>
        <v>(含)-</v>
      </c>
      <c r="M90" s="1059" t="str">
        <f>M91&amp;"(含)"&amp;"-"&amp;P91</f>
        <v>(含)-</v>
      </c>
      <c r="N90" s="1047"/>
      <c r="O90" s="1047"/>
      <c r="P90" s="1048"/>
      <c r="Q90" s="1077"/>
    </row>
    <row r="91" s="709" customFormat="1" ht="15" spans="1:17">
      <c r="A91" s="1014"/>
      <c r="B91" s="991"/>
      <c r="C91" s="971"/>
      <c r="D91" s="971"/>
      <c r="E91" s="971"/>
      <c r="F91" s="971"/>
      <c r="G91" s="971"/>
      <c r="H91" s="971"/>
      <c r="I91" s="971"/>
      <c r="J91" s="1071"/>
      <c r="K91" s="1071"/>
      <c r="L91" s="1072"/>
      <c r="M91" s="1073"/>
      <c r="N91" s="1047"/>
      <c r="O91" s="1047"/>
      <c r="P91" s="1048"/>
      <c r="Q91" s="1077"/>
    </row>
    <row r="92" s="709" customFormat="1" ht="15.75" spans="1:17">
      <c r="A92" s="994"/>
      <c r="B92" s="989"/>
      <c r="C92" s="997"/>
      <c r="D92" s="986"/>
      <c r="E92" s="986"/>
      <c r="F92" s="986"/>
      <c r="G92" s="986"/>
      <c r="H92" s="986"/>
      <c r="I92" s="986"/>
      <c r="J92" s="986"/>
      <c r="K92" s="986"/>
      <c r="L92" s="986"/>
      <c r="M92" s="1036"/>
      <c r="N92" s="1047"/>
      <c r="O92" s="1047"/>
      <c r="P92" s="1048"/>
      <c r="Q92" s="1077"/>
    </row>
    <row r="93" ht="15.75" spans="1:17">
      <c r="A93" s="1018"/>
      <c r="B93" s="987" t="s">
        <v>1499</v>
      </c>
      <c r="C93" s="995"/>
      <c r="D93" s="995"/>
      <c r="E93" s="1011"/>
      <c r="F93" s="1011"/>
      <c r="G93" s="1011"/>
      <c r="H93" s="1011"/>
      <c r="I93" s="1011"/>
      <c r="J93" s="1011"/>
      <c r="K93" s="1064"/>
      <c r="L93" s="1065"/>
      <c r="M93" s="1066"/>
      <c r="N93" s="1034"/>
      <c r="O93" s="1034"/>
      <c r="P93" s="1035"/>
      <c r="Q93" s="955"/>
    </row>
    <row r="94" ht="15.75" spans="1:17">
      <c r="A94" s="984"/>
      <c r="B94" s="989"/>
      <c r="C94" s="990">
        <v>100</v>
      </c>
      <c r="D94" s="990">
        <f t="shared" ref="D94:M94" si="22">C94-$K32</f>
        <v>100</v>
      </c>
      <c r="E94" s="990">
        <f t="shared" si="22"/>
        <v>100</v>
      </c>
      <c r="F94" s="990">
        <f t="shared" si="22"/>
        <v>100</v>
      </c>
      <c r="G94" s="990">
        <f t="shared" si="22"/>
        <v>100</v>
      </c>
      <c r="H94" s="990">
        <f t="shared" si="22"/>
        <v>100</v>
      </c>
      <c r="I94" s="990">
        <f t="shared" si="22"/>
        <v>100</v>
      </c>
      <c r="J94" s="990">
        <f t="shared" si="22"/>
        <v>100</v>
      </c>
      <c r="K94" s="990">
        <f t="shared" si="22"/>
        <v>100</v>
      </c>
      <c r="L94" s="990">
        <f t="shared" si="22"/>
        <v>100</v>
      </c>
      <c r="M94" s="1041">
        <f t="shared" si="22"/>
        <v>100</v>
      </c>
      <c r="N94" s="1037"/>
      <c r="O94" s="1037"/>
      <c r="P94" s="1035"/>
      <c r="Q94" s="955"/>
    </row>
    <row r="95" ht="15.75" spans="1:17">
      <c r="A95" s="1018"/>
      <c r="B95" s="987" t="s">
        <v>1500</v>
      </c>
      <c r="C95" s="914"/>
      <c r="D95" s="914"/>
      <c r="E95" s="914"/>
      <c r="F95" s="914"/>
      <c r="G95" s="914"/>
      <c r="H95" s="914"/>
      <c r="I95" s="914"/>
      <c r="J95" s="914"/>
      <c r="K95" s="1031"/>
      <c r="L95" s="1032"/>
      <c r="M95" s="1033"/>
      <c r="N95" s="1034"/>
      <c r="O95" s="1034"/>
      <c r="P95" s="1035"/>
      <c r="Q95" s="955"/>
    </row>
    <row r="96" ht="15.75" spans="1:17">
      <c r="A96" s="984"/>
      <c r="B96" s="989"/>
      <c r="C96" s="990">
        <v>100</v>
      </c>
      <c r="D96" s="990">
        <f>C96-$K33</f>
        <v>100</v>
      </c>
      <c r="E96" s="990">
        <f>D96-$K33</f>
        <v>100</v>
      </c>
      <c r="F96" s="990">
        <f>E96-$K33</f>
        <v>100</v>
      </c>
      <c r="G96" s="990">
        <f>F96-$K33</f>
        <v>100</v>
      </c>
      <c r="H96" s="990"/>
      <c r="I96" s="990"/>
      <c r="J96" s="990"/>
      <c r="K96" s="990"/>
      <c r="L96" s="990"/>
      <c r="M96" s="1041"/>
      <c r="N96" s="1037"/>
      <c r="O96" s="1037"/>
      <c r="P96" s="1035"/>
      <c r="Q96" s="955"/>
    </row>
    <row r="97" ht="15.75" spans="1:17">
      <c r="A97" s="1018"/>
      <c r="B97" s="1496">
        <f>B34</f>
        <v>111</v>
      </c>
      <c r="C97" s="768"/>
      <c r="D97" s="768"/>
      <c r="E97" s="768"/>
      <c r="F97" s="768"/>
      <c r="G97" s="995"/>
      <c r="H97" s="996"/>
      <c r="I97" s="996"/>
      <c r="J97" s="996"/>
      <c r="K97" s="996"/>
      <c r="L97" s="1045"/>
      <c r="M97" s="1046"/>
      <c r="N97" s="1037"/>
      <c r="O97" s="1037"/>
      <c r="P97" s="1502"/>
      <c r="Q97" s="1503"/>
    </row>
    <row r="98" ht="15.75" spans="1:17">
      <c r="A98" s="984"/>
      <c r="B98" s="989"/>
      <c r="C98" s="997"/>
      <c r="D98" s="986"/>
      <c r="E98" s="986"/>
      <c r="F98" s="986"/>
      <c r="G98" s="997"/>
      <c r="H98" s="998"/>
      <c r="I98" s="998"/>
      <c r="J98" s="998"/>
      <c r="K98" s="998"/>
      <c r="L98" s="998"/>
      <c r="M98" s="1049"/>
      <c r="N98" s="1037"/>
      <c r="O98" s="1037"/>
      <c r="P98" s="1035"/>
      <c r="Q98" s="955"/>
    </row>
    <row r="99" s="709" customFormat="1" ht="15.75" spans="1:17">
      <c r="A99" s="1014"/>
      <c r="B99" s="987">
        <f>B35</f>
        <v>111</v>
      </c>
      <c r="C99" s="768"/>
      <c r="D99" s="768"/>
      <c r="E99" s="768"/>
      <c r="F99" s="768"/>
      <c r="G99" s="995"/>
      <c r="H99" s="996"/>
      <c r="I99" s="996"/>
      <c r="J99" s="996"/>
      <c r="K99" s="996"/>
      <c r="L99" s="1045"/>
      <c r="M99" s="1046"/>
      <c r="N99" s="1047"/>
      <c r="O99" s="1047"/>
      <c r="P99" s="1048"/>
      <c r="Q99" s="1077"/>
    </row>
    <row r="100" s="709" customFormat="1" ht="15.75" spans="1:17">
      <c r="A100" s="994"/>
      <c r="B100" s="985"/>
      <c r="C100" s="997"/>
      <c r="D100" s="986"/>
      <c r="E100" s="986"/>
      <c r="F100" s="986"/>
      <c r="G100" s="997"/>
      <c r="H100" s="998"/>
      <c r="I100" s="998"/>
      <c r="J100" s="998"/>
      <c r="K100" s="998"/>
      <c r="L100" s="998"/>
      <c r="M100" s="1049"/>
      <c r="N100" s="1047"/>
      <c r="O100" s="1047"/>
      <c r="P100" s="1048"/>
      <c r="Q100" s="1077"/>
    </row>
    <row r="101" ht="15.75" spans="1:17">
      <c r="A101" s="1018"/>
      <c r="B101" s="987">
        <f>B36</f>
        <v>111</v>
      </c>
      <c r="C101" s="995"/>
      <c r="D101" s="995"/>
      <c r="E101" s="995"/>
      <c r="F101" s="995"/>
      <c r="G101" s="995"/>
      <c r="H101" s="996"/>
      <c r="I101" s="996"/>
      <c r="J101" s="996"/>
      <c r="K101" s="996"/>
      <c r="L101" s="1045"/>
      <c r="M101" s="1046"/>
      <c r="N101" s="1034"/>
      <c r="O101" s="1034"/>
      <c r="P101" s="1035"/>
      <c r="Q101" s="955"/>
    </row>
    <row r="102" ht="15.75" spans="1:17">
      <c r="A102" s="984"/>
      <c r="B102" s="989"/>
      <c r="C102" s="997"/>
      <c r="D102" s="997"/>
      <c r="E102" s="997"/>
      <c r="F102" s="997"/>
      <c r="G102" s="997"/>
      <c r="H102" s="998"/>
      <c r="I102" s="998"/>
      <c r="J102" s="998"/>
      <c r="K102" s="998"/>
      <c r="L102" s="998"/>
      <c r="M102" s="1049"/>
      <c r="N102" s="1037"/>
      <c r="O102" s="1037"/>
      <c r="P102" s="1035"/>
      <c r="Q102" s="955"/>
    </row>
  </sheetData>
  <sheetProtection password="CEE9" sheet="1" formatCells="0" formatColumns="0" formatRows="0" objects="1" scenarios="1"/>
  <mergeCells count="40">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37:Q37"/>
    <mergeCell ref="R37:S37"/>
    <mergeCell ref="T37:U37"/>
    <mergeCell ref="V37:W37"/>
    <mergeCell ref="P38:Q38"/>
    <mergeCell ref="R38:S38"/>
    <mergeCell ref="T38:U38"/>
    <mergeCell ref="V38:W38"/>
    <mergeCell ref="P39:Q39"/>
    <mergeCell ref="R39:W39"/>
    <mergeCell ref="P9:P13"/>
    <mergeCell ref="P14:P25"/>
    <mergeCell ref="P26:P36"/>
    <mergeCell ref="Y9:Y13"/>
    <mergeCell ref="Y14:Y25"/>
    <mergeCell ref="Y26:Y36"/>
    <mergeCell ref="AA4:AA6"/>
    <mergeCell ref="AB4:AB6"/>
    <mergeCell ref="AC4:AC6"/>
    <mergeCell ref="Y4:Z6"/>
    <mergeCell ref="P4:Q6"/>
    <mergeCell ref="R4:S6"/>
    <mergeCell ref="T4:U6"/>
    <mergeCell ref="V4:W6"/>
  </mergeCells>
  <conditionalFormatting sqref="F38">
    <cfRule type="expression" dxfId="5" priority="4">
      <formula>$D$38="简单平均"</formula>
    </cfRule>
  </conditionalFormatting>
  <conditionalFormatting sqref="H38">
    <cfRule type="expression" dxfId="5" priority="3">
      <formula>$D$38="简单平均"</formula>
    </cfRule>
  </conditionalFormatting>
  <conditionalFormatting sqref="J38">
    <cfRule type="expression" dxfId="5" priority="2">
      <formula>$D$38="简单平均"</formula>
    </cfRule>
  </conditionalFormatting>
  <conditionalFormatting sqref="E42">
    <cfRule type="expression" dxfId="8" priority="13" stopIfTrue="1">
      <formula>$F$42="超过30%"</formula>
    </cfRule>
  </conditionalFormatting>
  <conditionalFormatting sqref="G42">
    <cfRule type="expression" dxfId="8" priority="9" stopIfTrue="1">
      <formula>$H$52+$H$42="超过30%"</formula>
    </cfRule>
  </conditionalFormatting>
  <conditionalFormatting sqref="I42">
    <cfRule type="expression" dxfId="8" priority="7" stopIfTrue="1">
      <formula>$J$52+$J$42="超过30%"</formula>
    </cfRule>
  </conditionalFormatting>
  <conditionalFormatting sqref="E43">
    <cfRule type="expression" dxfId="8" priority="11" stopIfTrue="1">
      <formula>$F$43="超过20%"</formula>
    </cfRule>
  </conditionalFormatting>
  <conditionalFormatting sqref="G43">
    <cfRule type="expression" dxfId="8" priority="8" stopIfTrue="1">
      <formula>$H$43="超过20%"</formula>
    </cfRule>
  </conditionalFormatting>
  <conditionalFormatting sqref="I43">
    <cfRule type="expression" dxfId="8" priority="6" stopIfTrue="1">
      <formula>$J$53+$J$43="超过20%"</formula>
    </cfRule>
  </conditionalFormatting>
  <conditionalFormatting sqref="E44">
    <cfRule type="expression" dxfId="8" priority="10" stopIfTrue="1">
      <formula>$F$44="超过30%"</formula>
    </cfRule>
  </conditionalFormatting>
  <conditionalFormatting sqref="F44">
    <cfRule type="containsText" dxfId="9" priority="15" stopIfTrue="1" operator="between" text="超过">
      <formula>NOT(ISERROR(SEARCH("超过",F44)))</formula>
    </cfRule>
  </conditionalFormatting>
  <conditionalFormatting sqref="G44">
    <cfRule type="expression" dxfId="8" priority="12" stopIfTrue="1">
      <formula>$H$54+$H$44="超过30%"</formula>
    </cfRule>
  </conditionalFormatting>
  <conditionalFormatting sqref="H44">
    <cfRule type="containsText" dxfId="9" priority="16" stopIfTrue="1" operator="between" text="超过">
      <formula>NOT(ISERROR(SEARCH("超过",H44)))</formula>
    </cfRule>
  </conditionalFormatting>
  <conditionalFormatting sqref="I44">
    <cfRule type="expression" dxfId="8" priority="5" stopIfTrue="1">
      <formula>$J$44="超过30%"</formula>
    </cfRule>
  </conditionalFormatting>
  <conditionalFormatting sqref="J44">
    <cfRule type="containsText" dxfId="9" priority="17" stopIfTrue="1" operator="between" text="超过">
      <formula>NOT(ISERROR(SEARCH("超过",J44)))</formula>
    </cfRule>
  </conditionalFormatting>
  <conditionalFormatting sqref="F7:F36 H7:H36 J7:J36">
    <cfRule type="cellIs" dxfId="10" priority="1" operator="notEqual">
      <formula>100</formula>
    </cfRule>
  </conditionalFormatting>
  <conditionalFormatting sqref="F42 H42 J42">
    <cfRule type="containsText" dxfId="9" priority="18" stopIfTrue="1" operator="between" text="超过">
      <formula>NOT(ISERROR(SEARCH("超过",F42)))</formula>
    </cfRule>
  </conditionalFormatting>
  <conditionalFormatting sqref="F43 H43 J43">
    <cfRule type="containsText" dxfId="9" priority="14" stopIfTrue="1" operator="between" text="超过">
      <formula>NOT(ISERROR(SEARCH("超过",F43)))</formula>
    </cfRule>
  </conditionalFormatting>
  <dataValidations count="20">
    <dataValidation type="list" allowBlank="1" showInputMessage="1" showErrorMessage="1" sqref="B1">
      <formula1>地类判定</formula1>
    </dataValidation>
    <dataValidation type="list" allowBlank="1" showInputMessage="1" showErrorMessage="1" sqref="C1">
      <formula1>"估价对象,仅计算典型户型"</formula1>
    </dataValidation>
    <dataValidation type="list" allowBlank="1" showInputMessage="1" showErrorMessage="1" sqref="E1">
      <formula1>"售价,租金"</formula1>
    </dataValidation>
    <dataValidation type="list" allowBlank="1" showInputMessage="1" showErrorMessage="1" sqref="D2">
      <formula1>"需扣减承租人权益,——"</formula1>
    </dataValidation>
    <dataValidation type="list" allowBlank="1" showInputMessage="1" showErrorMessage="1" sqref="G2">
      <formula1>估价方法</formula1>
    </dataValidation>
    <dataValidation type="list" allowBlank="1" showInputMessage="1" showErrorMessage="1" sqref="B37">
      <formula1>"元/平方米,元/车位"</formula1>
    </dataValidation>
    <dataValidation type="list" allowBlank="1" showInputMessage="1" showErrorMessage="1" sqref="C8 E8 G8 I8">
      <formula1>车位交易情况</formula1>
    </dataValidation>
    <dataValidation type="list" allowBlank="1" showInputMessage="1" showErrorMessage="1" sqref="E9 G9 I9">
      <formula1>车位用途</formula1>
    </dataValidation>
    <dataValidation type="list" allowBlank="1" showInputMessage="1" showErrorMessage="1" sqref="C10 E10 G10 I10">
      <formula1>土地年限区间</formula1>
    </dataValidation>
    <dataValidation type="list" allowBlank="1" showInputMessage="1" showErrorMessage="1" sqref="C15 E15 G15 I15">
      <formula1>交通便捷度</formula1>
    </dataValidation>
    <dataValidation type="list" allowBlank="1" showInputMessage="1" showErrorMessage="1" sqref="C17 E17 G17 I17">
      <formula1>公共配套设施</formula1>
    </dataValidation>
    <dataValidation type="list" allowBlank="1" showInputMessage="1" showErrorMessage="1" sqref="C19 E19 G19 I19">
      <formula1>基础设施水平</formula1>
    </dataValidation>
    <dataValidation type="list" allowBlank="1" showInputMessage="1" showErrorMessage="1" sqref="C21 E21 G21 I21">
      <formula1>环境</formula1>
    </dataValidation>
    <dataValidation type="list" allowBlank="1" showInputMessage="1" showErrorMessage="1" sqref="C22 E22 G22 I22">
      <formula1>车位楼层</formula1>
    </dataValidation>
    <dataValidation type="list" allowBlank="1" showInputMessage="1" showErrorMessage="1" sqref="E26 G26 I26">
      <formula1>车位配套类型</formula1>
    </dataValidation>
    <dataValidation type="list" allowBlank="1" showInputMessage="1" showErrorMessage="1" sqref="C28 E28 G28 I28">
      <formula1>车位公共部分装修</formula1>
    </dataValidation>
    <dataValidation type="list" allowBlank="1" showInputMessage="1" showErrorMessage="1" sqref="C30 E30 G30 I30">
      <formula1>车位物业等级</formula1>
    </dataValidation>
    <dataValidation type="list" allowBlank="1" showInputMessage="1" showErrorMessage="1" sqref="C32 E32 G32 I32">
      <formula1>车位类型</formula1>
    </dataValidation>
    <dataValidation type="list" allowBlank="1" showInputMessage="1" showErrorMessage="1" sqref="C33 E33 G33 I33">
      <formula1>是否直接入户</formula1>
    </dataValidation>
    <dataValidation type="list" allowBlank="1" showInputMessage="1" showErrorMessage="1" sqref="D38">
      <formula1>"简单平均,加权平均"</formula1>
    </dataValidation>
  </dataValidations>
  <pageMargins left="0.708661417322835" right="0.708661417322835" top="1.06299212598425" bottom="0.94488188976378" header="0.31496062992126" footer="0.31496062992126"/>
  <pageSetup paperSize="9" scale="52" fitToHeight="0" orientation="portrait"/>
  <headerFooter/>
  <legacyDrawing r:id="rId2"/>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6">
    <tabColor rgb="FF92D050"/>
    <pageSetUpPr fitToPage="1"/>
  </sheetPr>
  <dimension ref="A1:AC96"/>
  <sheetViews>
    <sheetView view="pageBreakPreview" zoomScale="70" zoomScaleNormal="60" workbookViewId="0">
      <selection activeCell="C13" sqref="C13:H13"/>
    </sheetView>
  </sheetViews>
  <sheetFormatPr defaultColWidth="9" defaultRowHeight="14.25"/>
  <cols>
    <col min="1" max="1" width="10.5" style="713" customWidth="1"/>
    <col min="2" max="2" width="15.75" style="713" customWidth="1"/>
    <col min="3" max="3" width="14.375" style="713" customWidth="1"/>
    <col min="4" max="4" width="12.25" style="713" customWidth="1"/>
    <col min="5" max="5" width="14.375" style="713" customWidth="1"/>
    <col min="6" max="6" width="12.25" style="713" customWidth="1"/>
    <col min="7" max="7" width="14.5" style="713" customWidth="1"/>
    <col min="8" max="8" width="12.25" style="713" customWidth="1"/>
    <col min="9" max="9" width="14.5" style="713" customWidth="1"/>
    <col min="10" max="10" width="12.25" style="713" customWidth="1"/>
    <col min="11" max="11" width="12.25" style="714" customWidth="1"/>
    <col min="12" max="12" width="12.25" style="715" customWidth="1"/>
    <col min="13" max="15" width="12.25" style="713" customWidth="1"/>
    <col min="16" max="16" width="4.75" style="713" customWidth="1"/>
    <col min="17" max="17" width="19.5" style="713" customWidth="1"/>
    <col min="18" max="22" width="6.125" style="713" customWidth="1"/>
    <col min="23" max="23" width="5.75" style="713" customWidth="1"/>
    <col min="24" max="24" width="4.25" style="713" customWidth="1"/>
    <col min="25" max="25" width="3.5" style="713" customWidth="1"/>
    <col min="26" max="26" width="19.75" style="713" customWidth="1"/>
    <col min="27" max="28" width="9.375" style="713" customWidth="1"/>
    <col min="29" max="16384" width="9" style="713"/>
  </cols>
  <sheetData>
    <row r="1" s="1417" customFormat="1" ht="28.5" customHeight="1" spans="1:29">
      <c r="A1" s="1418" t="s">
        <v>1492</v>
      </c>
      <c r="B1" s="1419"/>
      <c r="C1" s="1420"/>
      <c r="D1" s="1421"/>
      <c r="E1" s="1422" t="s">
        <v>1029</v>
      </c>
      <c r="F1" s="1423" t="s">
        <v>1030</v>
      </c>
      <c r="G1" s="1421"/>
      <c r="H1" s="1421"/>
      <c r="I1" s="1421"/>
      <c r="J1" s="1421"/>
      <c r="K1" s="1481"/>
      <c r="L1" s="1482"/>
      <c r="M1" s="1483"/>
      <c r="N1" s="1483"/>
      <c r="O1" s="1483"/>
      <c r="P1" s="1484"/>
      <c r="Q1" s="1484"/>
      <c r="R1" s="1484"/>
      <c r="S1" s="1484"/>
      <c r="T1" s="1484"/>
      <c r="U1" s="1484"/>
      <c r="V1" s="1484"/>
      <c r="W1" s="1484"/>
      <c r="X1" s="1484"/>
      <c r="Y1" s="1484"/>
      <c r="Z1" s="1484"/>
      <c r="AA1" s="1484"/>
      <c r="AB1" s="1484"/>
      <c r="AC1" s="1495"/>
    </row>
    <row r="2" s="706" customFormat="1" ht="28.5" customHeight="1" spans="1:29">
      <c r="A2" s="1424" t="s">
        <v>868</v>
      </c>
      <c r="B2" s="1425" t="e">
        <f ca="1">IF(D2="——",IF(C2="元",ROUND(C37*D3,0),ROUND(C37*D3/10000,0)),IF(C2="元",ROUND(C37*D3,0),ROUND(C37*D3/10000,0))-E2)</f>
        <v>#DIV/0!</v>
      </c>
      <c r="C2" s="1426" t="str">
        <f>'数据-取费表'!B3</f>
        <v>元</v>
      </c>
      <c r="D2" s="1427"/>
      <c r="E2" s="1428" t="e">
        <f ca="1">SUMIF(INDIRECT("'"&amp;G2&amp;"'"&amp;"!A:A"),"承租人权益价值",INDIRECT("'"&amp;G2&amp;"'"&amp;"!c:c"))</f>
        <v>#REF!</v>
      </c>
      <c r="F2" s="1429" t="str">
        <f>C2</f>
        <v>元</v>
      </c>
      <c r="G2" s="1430"/>
      <c r="H2" s="724"/>
      <c r="I2" s="724"/>
      <c r="J2" s="724"/>
      <c r="K2" s="879"/>
      <c r="L2" s="880"/>
      <c r="M2" s="881"/>
      <c r="N2" s="881"/>
      <c r="O2" s="881"/>
      <c r="P2" s="878"/>
      <c r="Q2" s="878"/>
      <c r="R2" s="878"/>
      <c r="S2" s="878"/>
      <c r="T2" s="878"/>
      <c r="U2" s="878"/>
      <c r="V2" s="878"/>
      <c r="W2" s="878"/>
      <c r="X2" s="878"/>
      <c r="Y2" s="878"/>
      <c r="Z2" s="878"/>
      <c r="AA2" s="878"/>
      <c r="AB2" s="878"/>
      <c r="AC2" s="956"/>
    </row>
    <row r="3" s="706" customFormat="1" ht="28.5" customHeight="1" spans="1:29">
      <c r="A3" s="726" t="s">
        <v>869</v>
      </c>
      <c r="B3" s="727" t="e">
        <f ca="1">ROUND(IF(D2="——",C37,IF(C2="万元",B2*10000/D3,B2/D3)),0)</f>
        <v>#DIV/0!</v>
      </c>
      <c r="C3" s="1431" t="s">
        <v>1031</v>
      </c>
      <c r="D3" s="1432">
        <f>IF(C1="仅计算典型户型",'数据-取费表'!E5,'数据-取费表'!B5)</f>
        <v>246.59</v>
      </c>
      <c r="E3" s="724"/>
      <c r="F3" s="725"/>
      <c r="G3" s="724"/>
      <c r="H3" s="724"/>
      <c r="I3" s="724"/>
      <c r="J3" s="724"/>
      <c r="K3" s="879"/>
      <c r="L3" s="880"/>
      <c r="M3" s="881"/>
      <c r="N3" s="881"/>
      <c r="O3" s="881"/>
      <c r="P3" s="878"/>
      <c r="Q3" s="878"/>
      <c r="R3" s="878"/>
      <c r="S3" s="878"/>
      <c r="T3" s="878"/>
      <c r="U3" s="878"/>
      <c r="V3" s="878"/>
      <c r="W3" s="878"/>
      <c r="X3" s="878"/>
      <c r="Y3" s="878"/>
      <c r="Z3" s="878"/>
      <c r="AA3" s="878"/>
      <c r="AB3" s="957"/>
      <c r="AC3" s="958"/>
    </row>
    <row r="4" ht="15" spans="1:29">
      <c r="A4" s="728" t="s">
        <v>1032</v>
      </c>
      <c r="B4" s="729"/>
      <c r="C4" s="730" t="s">
        <v>1033</v>
      </c>
      <c r="D4" s="731"/>
      <c r="E4" s="732" t="s">
        <v>1034</v>
      </c>
      <c r="F4" s="733"/>
      <c r="G4" s="730" t="s">
        <v>1035</v>
      </c>
      <c r="H4" s="731"/>
      <c r="I4" s="730" t="s">
        <v>1036</v>
      </c>
      <c r="J4" s="731"/>
      <c r="K4" s="882" t="s">
        <v>1037</v>
      </c>
      <c r="L4" s="883"/>
      <c r="M4" s="884"/>
      <c r="N4" s="884"/>
      <c r="O4" s="884"/>
      <c r="P4" s="885" t="s">
        <v>1038</v>
      </c>
      <c r="Q4" s="931"/>
      <c r="R4" s="932" t="s">
        <v>1034</v>
      </c>
      <c r="S4" s="933"/>
      <c r="T4" s="932" t="s">
        <v>1035</v>
      </c>
      <c r="U4" s="933"/>
      <c r="V4" s="851" t="s">
        <v>1036</v>
      </c>
      <c r="W4" s="851"/>
      <c r="X4" s="934"/>
      <c r="Y4" s="932" t="s">
        <v>1038</v>
      </c>
      <c r="Z4" s="933"/>
      <c r="AA4" s="959" t="s">
        <v>1034</v>
      </c>
      <c r="AB4" s="934" t="s">
        <v>1035</v>
      </c>
      <c r="AC4" s="959" t="s">
        <v>1036</v>
      </c>
    </row>
    <row r="5" ht="15" spans="1:29">
      <c r="A5" s="734"/>
      <c r="B5" s="735"/>
      <c r="C5" s="736" t="s">
        <v>1039</v>
      </c>
      <c r="D5" s="737"/>
      <c r="E5" s="738" t="s">
        <v>1470</v>
      </c>
      <c r="F5" s="739"/>
      <c r="G5" s="736" t="s">
        <v>1471</v>
      </c>
      <c r="H5" s="737"/>
      <c r="I5" s="736" t="s">
        <v>1472</v>
      </c>
      <c r="J5" s="737"/>
      <c r="K5" s="882"/>
      <c r="L5" s="883"/>
      <c r="M5" s="884"/>
      <c r="N5" s="884"/>
      <c r="O5" s="884"/>
      <c r="P5" s="886"/>
      <c r="Q5" s="935"/>
      <c r="R5" s="936"/>
      <c r="S5" s="937"/>
      <c r="T5" s="936"/>
      <c r="U5" s="937"/>
      <c r="V5" s="851"/>
      <c r="W5" s="851"/>
      <c r="X5" s="934"/>
      <c r="Y5" s="936"/>
      <c r="Z5" s="937"/>
      <c r="AA5" s="934"/>
      <c r="AB5" s="934"/>
      <c r="AC5" s="934"/>
    </row>
    <row r="6" ht="15.75" spans="1:29">
      <c r="A6" s="740"/>
      <c r="B6" s="741"/>
      <c r="C6" s="742" t="s">
        <v>1041</v>
      </c>
      <c r="D6" s="743"/>
      <c r="E6" s="744" t="s">
        <v>1041</v>
      </c>
      <c r="F6" s="745"/>
      <c r="G6" s="742" t="s">
        <v>1041</v>
      </c>
      <c r="H6" s="743"/>
      <c r="I6" s="742" t="s">
        <v>1041</v>
      </c>
      <c r="J6" s="743"/>
      <c r="K6" s="882" t="s">
        <v>1042</v>
      </c>
      <c r="L6" s="883"/>
      <c r="M6" s="884"/>
      <c r="N6" s="884"/>
      <c r="O6" s="884"/>
      <c r="P6" s="887"/>
      <c r="Q6" s="938"/>
      <c r="R6" s="936"/>
      <c r="S6" s="937"/>
      <c r="T6" s="939"/>
      <c r="U6" s="940"/>
      <c r="V6" s="851"/>
      <c r="W6" s="851"/>
      <c r="X6" s="934"/>
      <c r="Y6" s="939"/>
      <c r="Z6" s="940"/>
      <c r="AA6" s="960"/>
      <c r="AB6" s="960"/>
      <c r="AC6" s="960"/>
    </row>
    <row r="7" s="707" customFormat="1" ht="15.75" spans="1:29">
      <c r="A7" s="746" t="s">
        <v>1043</v>
      </c>
      <c r="B7" s="747"/>
      <c r="C7" s="748">
        <f>'数据-取费表'!B2</f>
        <v>44567</v>
      </c>
      <c r="D7" s="749">
        <v>100</v>
      </c>
      <c r="E7" s="752"/>
      <c r="F7" s="749">
        <f>SUMIF(46:46,YEAR(E7)&amp;"-"&amp;MONTH(E7),47:47)</f>
        <v>0</v>
      </c>
      <c r="G7" s="750"/>
      <c r="H7" s="749">
        <f>SUMIF(46:46,YEAR(G7)&amp;"-"&amp;MONTH(G7),47:47)</f>
        <v>0</v>
      </c>
      <c r="I7" s="750"/>
      <c r="J7" s="749">
        <f>SUMIF(46:46,YEAR(I7)&amp;"-"&amp;MONTH(I7),47:47)</f>
        <v>0</v>
      </c>
      <c r="K7" s="888"/>
      <c r="L7" s="889"/>
      <c r="M7" s="890"/>
      <c r="N7" s="890"/>
      <c r="O7" s="890"/>
      <c r="P7" s="891" t="s">
        <v>1044</v>
      </c>
      <c r="Q7" s="941"/>
      <c r="R7" s="942" t="s">
        <v>1045</v>
      </c>
      <c r="S7" s="943">
        <f t="shared" ref="S7:S14" si="0">F7</f>
        <v>0</v>
      </c>
      <c r="T7" s="942" t="s">
        <v>1045</v>
      </c>
      <c r="U7" s="943">
        <f t="shared" ref="U7:U14" si="1">H7</f>
        <v>0</v>
      </c>
      <c r="V7" s="942" t="s">
        <v>1045</v>
      </c>
      <c r="W7" s="943">
        <f t="shared" ref="W7:W14" si="2">J7</f>
        <v>0</v>
      </c>
      <c r="X7" s="944"/>
      <c r="Y7" s="891" t="s">
        <v>1044</v>
      </c>
      <c r="Z7" s="945"/>
      <c r="AA7" s="961" t="e">
        <f>D7/F7</f>
        <v>#DIV/0!</v>
      </c>
      <c r="AB7" s="961" t="e">
        <f>D7/H7</f>
        <v>#DIV/0!</v>
      </c>
      <c r="AC7" s="961" t="e">
        <f>D7/J7</f>
        <v>#DIV/0!</v>
      </c>
    </row>
    <row r="8" s="707" customFormat="1" ht="15.75" spans="1:29">
      <c r="A8" s="746" t="s">
        <v>1046</v>
      </c>
      <c r="B8" s="747"/>
      <c r="C8" s="753" t="s">
        <v>1047</v>
      </c>
      <c r="D8" s="749">
        <v>100</v>
      </c>
      <c r="E8" s="753"/>
      <c r="F8" s="751">
        <f>SUMIF(49:49,E8,50:50)-SUMIF(49:49,C8,50:50)+100</f>
        <v>0</v>
      </c>
      <c r="G8" s="753"/>
      <c r="H8" s="749">
        <f>SUMIF(49:49,G8,50:50)-SUMIF(49:49,C8,50:50)+100</f>
        <v>0</v>
      </c>
      <c r="I8" s="753"/>
      <c r="J8" s="749">
        <f>SUMIF(49:49,I8,50:50)-SUMIF(49:49,C8,50:50)+100</f>
        <v>0</v>
      </c>
      <c r="K8" s="888"/>
      <c r="L8" s="889"/>
      <c r="M8" s="890"/>
      <c r="N8" s="890"/>
      <c r="O8" s="890"/>
      <c r="P8" s="891" t="s">
        <v>1049</v>
      </c>
      <c r="Q8" s="945"/>
      <c r="R8" s="942" t="s">
        <v>1045</v>
      </c>
      <c r="S8" s="943">
        <f t="shared" si="0"/>
        <v>0</v>
      </c>
      <c r="T8" s="942" t="s">
        <v>1045</v>
      </c>
      <c r="U8" s="943">
        <f t="shared" si="1"/>
        <v>0</v>
      </c>
      <c r="V8" s="942" t="s">
        <v>1045</v>
      </c>
      <c r="W8" s="943">
        <f t="shared" si="2"/>
        <v>0</v>
      </c>
      <c r="X8" s="944"/>
      <c r="Y8" s="891" t="s">
        <v>1049</v>
      </c>
      <c r="Z8" s="945"/>
      <c r="AA8" s="961" t="e">
        <f t="shared" ref="AA8:AA34" si="3">D8/F8</f>
        <v>#DIV/0!</v>
      </c>
      <c r="AB8" s="961" t="e">
        <f t="shared" ref="AB8:AB34" si="4">D8/H8</f>
        <v>#DIV/0!</v>
      </c>
      <c r="AC8" s="961" t="e">
        <f t="shared" ref="AC8:AC34" si="5">D8/J8</f>
        <v>#DIV/0!</v>
      </c>
    </row>
    <row r="9" s="707" customFormat="1" spans="1:29">
      <c r="A9" s="754" t="s">
        <v>1050</v>
      </c>
      <c r="B9" s="755" t="s">
        <v>1051</v>
      </c>
      <c r="C9" s="1433"/>
      <c r="D9" s="757">
        <v>100</v>
      </c>
      <c r="E9" s="1434"/>
      <c r="F9" s="757">
        <f>SUMIF(51:51,E9,52:52)-SUMIF(51:51,C9,52:52)+100</f>
        <v>100</v>
      </c>
      <c r="G9" s="1434"/>
      <c r="H9" s="757">
        <f>SUMIF(51:51,G9,52:52)-SUMIF(51:51,C9,52:52)+100</f>
        <v>100</v>
      </c>
      <c r="I9" s="1434"/>
      <c r="J9" s="757">
        <f>SUMIF(51:51,I9,52:52)-SUMIF(51:51,C9,52:52)+100</f>
        <v>100</v>
      </c>
      <c r="K9" s="888"/>
      <c r="L9" s="889"/>
      <c r="M9" s="890"/>
      <c r="N9" s="890"/>
      <c r="O9" s="892"/>
      <c r="P9" s="893" t="s">
        <v>1052</v>
      </c>
      <c r="Q9" s="946" t="str">
        <f t="shared" ref="Q9:Q14" si="6">B9</f>
        <v>用途</v>
      </c>
      <c r="R9" s="942" t="s">
        <v>1045</v>
      </c>
      <c r="S9" s="943">
        <f t="shared" si="0"/>
        <v>100</v>
      </c>
      <c r="T9" s="942" t="s">
        <v>1045</v>
      </c>
      <c r="U9" s="943">
        <f t="shared" si="1"/>
        <v>100</v>
      </c>
      <c r="V9" s="942" t="s">
        <v>1045</v>
      </c>
      <c r="W9" s="943">
        <f t="shared" si="2"/>
        <v>100</v>
      </c>
      <c r="X9" s="944"/>
      <c r="Y9" s="946" t="s">
        <v>1053</v>
      </c>
      <c r="Z9" s="962" t="str">
        <f t="shared" ref="Z9:Z14" si="7">Q9</f>
        <v>用途</v>
      </c>
      <c r="AA9" s="961">
        <f t="shared" si="3"/>
        <v>1</v>
      </c>
      <c r="AB9" s="961">
        <f t="shared" si="4"/>
        <v>1</v>
      </c>
      <c r="AC9" s="961">
        <f t="shared" si="5"/>
        <v>1</v>
      </c>
    </row>
    <row r="10" s="708" customFormat="1" ht="27" spans="1:29">
      <c r="A10" s="758"/>
      <c r="B10" s="759" t="s">
        <v>1054</v>
      </c>
      <c r="C10" s="1435"/>
      <c r="D10" s="761">
        <v>100</v>
      </c>
      <c r="E10" s="1435"/>
      <c r="F10" s="761">
        <f>SUMIF(53:53,E10,54:54)-SUMIF(53:53,C10,54:54)+100</f>
        <v>100</v>
      </c>
      <c r="G10" s="1436"/>
      <c r="H10" s="761">
        <f>SUMIF(53:53,G10,54:54)-SUMIF(53:53,C10,54:54)+100</f>
        <v>100</v>
      </c>
      <c r="I10" s="1435"/>
      <c r="J10" s="761">
        <f>SUMIF(53:53,I10,54:54)-SUMIF(53:53,C10,54:54)+100</f>
        <v>100</v>
      </c>
      <c r="K10" s="909"/>
      <c r="L10" s="895"/>
      <c r="M10" s="896"/>
      <c r="N10" s="896"/>
      <c r="O10" s="897"/>
      <c r="P10" s="893"/>
      <c r="Q10" s="946" t="str">
        <f t="shared" si="6"/>
        <v>土地使用年限（年）</v>
      </c>
      <c r="R10" s="942" t="s">
        <v>1045</v>
      </c>
      <c r="S10" s="943">
        <f t="shared" si="0"/>
        <v>100</v>
      </c>
      <c r="T10" s="942" t="s">
        <v>1045</v>
      </c>
      <c r="U10" s="943">
        <f t="shared" si="1"/>
        <v>100</v>
      </c>
      <c r="V10" s="942" t="s">
        <v>1045</v>
      </c>
      <c r="W10" s="943">
        <f t="shared" si="2"/>
        <v>100</v>
      </c>
      <c r="X10" s="944"/>
      <c r="Y10" s="946"/>
      <c r="Z10" s="962" t="str">
        <f t="shared" si="7"/>
        <v>土地使用年限（年）</v>
      </c>
      <c r="AA10" s="961">
        <f t="shared" si="3"/>
        <v>1</v>
      </c>
      <c r="AB10" s="961">
        <f t="shared" si="4"/>
        <v>1</v>
      </c>
      <c r="AC10" s="961">
        <f t="shared" si="5"/>
        <v>1</v>
      </c>
    </row>
    <row r="11" ht="15" spans="1:29">
      <c r="A11" s="762"/>
      <c r="B11" s="766">
        <v>111</v>
      </c>
      <c r="C11" s="760"/>
      <c r="D11" s="761">
        <v>100</v>
      </c>
      <c r="E11" s="1437"/>
      <c r="F11" s="761">
        <f>SUMIF(55:55,E11,56:56)-SUMIF(55:55,C11,56:56)+100</f>
        <v>100</v>
      </c>
      <c r="G11" s="1437"/>
      <c r="H11" s="761">
        <f>SUMIF(55:55,G11,56:56)-SUMIF(55:55,C11,56:56)+100</f>
        <v>100</v>
      </c>
      <c r="I11" s="1437"/>
      <c r="J11" s="761">
        <f>SUMIF(55:55,I11,56:56)-SUMIF(55:55,C11,56:56)+100</f>
        <v>100</v>
      </c>
      <c r="K11" s="908"/>
      <c r="L11" s="899"/>
      <c r="M11" s="884"/>
      <c r="N11" s="884"/>
      <c r="O11" s="900"/>
      <c r="P11" s="893"/>
      <c r="Q11" s="946">
        <f t="shared" si="6"/>
        <v>111</v>
      </c>
      <c r="R11" s="942" t="s">
        <v>1045</v>
      </c>
      <c r="S11" s="943">
        <f t="shared" si="0"/>
        <v>100</v>
      </c>
      <c r="T11" s="942" t="s">
        <v>1045</v>
      </c>
      <c r="U11" s="943">
        <f t="shared" si="1"/>
        <v>100</v>
      </c>
      <c r="V11" s="942" t="s">
        <v>1045</v>
      </c>
      <c r="W11" s="943">
        <f t="shared" si="2"/>
        <v>100</v>
      </c>
      <c r="X11" s="944"/>
      <c r="Y11" s="946"/>
      <c r="Z11" s="962">
        <f t="shared" si="7"/>
        <v>111</v>
      </c>
      <c r="AA11" s="961">
        <f t="shared" si="3"/>
        <v>1</v>
      </c>
      <c r="AB11" s="961">
        <f t="shared" si="4"/>
        <v>1</v>
      </c>
      <c r="AC11" s="961">
        <f t="shared" si="5"/>
        <v>1</v>
      </c>
    </row>
    <row r="12" s="707" customFormat="1" ht="15" spans="1:29">
      <c r="A12" s="765"/>
      <c r="B12" s="766">
        <v>111</v>
      </c>
      <c r="C12" s="760"/>
      <c r="D12" s="767">
        <v>100</v>
      </c>
      <c r="E12" s="1437"/>
      <c r="F12" s="761">
        <f>SUMIF(57:57,E12,58:58)-SUMIF(57:57,C12,58:58)+100</f>
        <v>100</v>
      </c>
      <c r="G12" s="1437"/>
      <c r="H12" s="761">
        <f>SUMIF(57:57,G12,58:58)-SUMIF(57:57,C12,58:58)+100</f>
        <v>100</v>
      </c>
      <c r="I12" s="1437"/>
      <c r="J12" s="761">
        <f>SUMIF(57:57,I12,58:58)-SUMIF(57:57,C12,58:58)+100</f>
        <v>100</v>
      </c>
      <c r="K12" s="908"/>
      <c r="L12" s="889"/>
      <c r="M12" s="890"/>
      <c r="N12" s="890"/>
      <c r="O12" s="892"/>
      <c r="P12" s="893"/>
      <c r="Q12" s="946">
        <f t="shared" si="6"/>
        <v>111</v>
      </c>
      <c r="R12" s="942" t="s">
        <v>1045</v>
      </c>
      <c r="S12" s="943">
        <f t="shared" si="0"/>
        <v>100</v>
      </c>
      <c r="T12" s="942" t="s">
        <v>1045</v>
      </c>
      <c r="U12" s="943">
        <f t="shared" si="1"/>
        <v>100</v>
      </c>
      <c r="V12" s="942" t="s">
        <v>1045</v>
      </c>
      <c r="W12" s="943">
        <f t="shared" si="2"/>
        <v>100</v>
      </c>
      <c r="X12" s="944"/>
      <c r="Y12" s="946"/>
      <c r="Z12" s="962">
        <f t="shared" si="7"/>
        <v>111</v>
      </c>
      <c r="AA12" s="961">
        <f t="shared" si="3"/>
        <v>1</v>
      </c>
      <c r="AB12" s="961">
        <f t="shared" si="4"/>
        <v>1</v>
      </c>
      <c r="AC12" s="961">
        <f t="shared" si="5"/>
        <v>1</v>
      </c>
    </row>
    <row r="13" ht="15.75" spans="1:29">
      <c r="A13" s="762"/>
      <c r="B13" s="766">
        <v>111</v>
      </c>
      <c r="C13" s="770"/>
      <c r="D13" s="771">
        <v>100</v>
      </c>
      <c r="E13" s="1437"/>
      <c r="F13" s="761">
        <f>SUMIF(59:59,E13,60:60)-SUMIF(59:59,C13,60:60)+100</f>
        <v>100</v>
      </c>
      <c r="G13" s="1437"/>
      <c r="H13" s="771">
        <f>SUMIF(59:59,G13,60:60)-SUMIF(59:59,C13,60:60)+100</f>
        <v>100</v>
      </c>
      <c r="I13" s="1437"/>
      <c r="J13" s="771">
        <f>SUMIF(59:59,I13,60:60)-SUMIF(59:59,C13,60:60)+100</f>
        <v>100</v>
      </c>
      <c r="K13" s="908"/>
      <c r="L13" s="901"/>
      <c r="M13" s="884"/>
      <c r="N13" s="884"/>
      <c r="O13" s="900"/>
      <c r="P13" s="893"/>
      <c r="Q13" s="946">
        <f t="shared" si="6"/>
        <v>111</v>
      </c>
      <c r="R13" s="942" t="s">
        <v>1045</v>
      </c>
      <c r="S13" s="943">
        <f t="shared" si="0"/>
        <v>100</v>
      </c>
      <c r="T13" s="942" t="s">
        <v>1045</v>
      </c>
      <c r="U13" s="943">
        <f t="shared" si="1"/>
        <v>100</v>
      </c>
      <c r="V13" s="942" t="s">
        <v>1045</v>
      </c>
      <c r="W13" s="943">
        <f t="shared" si="2"/>
        <v>100</v>
      </c>
      <c r="X13" s="944"/>
      <c r="Y13" s="946"/>
      <c r="Z13" s="962">
        <f t="shared" si="7"/>
        <v>111</v>
      </c>
      <c r="AA13" s="961">
        <f t="shared" si="3"/>
        <v>1</v>
      </c>
      <c r="AB13" s="961">
        <f t="shared" si="4"/>
        <v>1</v>
      </c>
      <c r="AC13" s="961">
        <f t="shared" si="5"/>
        <v>1</v>
      </c>
    </row>
    <row r="14" ht="81" spans="1:29">
      <c r="A14" s="776" t="s">
        <v>1057</v>
      </c>
      <c r="B14" s="1438" t="s">
        <v>209</v>
      </c>
      <c r="C14" s="778" t="str">
        <f>IF(B1="工业",估价对象房地状况!G4,估价对象房地状况!C6)</f>
        <v>估价对象周边道路状况、公共交通通达情况、停车便捷程度，综合评价交通便捷度较好</v>
      </c>
      <c r="D14" s="779">
        <v>100</v>
      </c>
      <c r="E14" s="780"/>
      <c r="F14" s="1439">
        <f>SUMIF(61:61,E15,62:62)-SUMIF(61:61,C15,62:62)+100</f>
        <v>100</v>
      </c>
      <c r="G14" s="902"/>
      <c r="H14" s="779">
        <f>SUMIF(61:61,G15,62:62)-SUMIF(61:61,C15,62:62)+100</f>
        <v>100</v>
      </c>
      <c r="I14" s="780"/>
      <c r="J14" s="779">
        <f>SUMIF(61:61,I15,62:62)-SUMIF(61:61,C15,62:62)+100</f>
        <v>100</v>
      </c>
      <c r="K14" s="1485"/>
      <c r="L14" s="901"/>
      <c r="M14" s="884"/>
      <c r="N14" s="884"/>
      <c r="O14" s="900"/>
      <c r="P14" s="903" t="s">
        <v>1058</v>
      </c>
      <c r="Q14" s="893" t="str">
        <f t="shared" si="6"/>
        <v>交通便捷度</v>
      </c>
      <c r="R14" s="947" t="s">
        <v>1045</v>
      </c>
      <c r="S14" s="948">
        <f t="shared" si="0"/>
        <v>100</v>
      </c>
      <c r="T14" s="947" t="s">
        <v>1045</v>
      </c>
      <c r="U14" s="948">
        <f t="shared" si="1"/>
        <v>100</v>
      </c>
      <c r="V14" s="947" t="s">
        <v>1045</v>
      </c>
      <c r="W14" s="948">
        <f t="shared" si="2"/>
        <v>100</v>
      </c>
      <c r="X14" s="934"/>
      <c r="Y14" s="903" t="s">
        <v>1058</v>
      </c>
      <c r="Z14" s="851" t="str">
        <f t="shared" si="7"/>
        <v>交通便捷度</v>
      </c>
      <c r="AA14" s="963">
        <f t="shared" si="3"/>
        <v>1</v>
      </c>
      <c r="AB14" s="963">
        <f t="shared" si="4"/>
        <v>1</v>
      </c>
      <c r="AC14" s="963">
        <f t="shared" si="5"/>
        <v>1</v>
      </c>
    </row>
    <row r="15" ht="15" spans="1:29">
      <c r="A15" s="762"/>
      <c r="B15" s="1440"/>
      <c r="C15" s="782"/>
      <c r="D15" s="783"/>
      <c r="E15" s="782"/>
      <c r="F15" s="1441"/>
      <c r="G15" s="782"/>
      <c r="H15" s="785"/>
      <c r="I15" s="782"/>
      <c r="J15" s="783"/>
      <c r="K15" s="1486"/>
      <c r="L15" s="901"/>
      <c r="M15" s="884"/>
      <c r="N15" s="884"/>
      <c r="O15" s="900"/>
      <c r="P15" s="904"/>
      <c r="Q15" s="893"/>
      <c r="R15" s="947"/>
      <c r="S15" s="948"/>
      <c r="T15" s="947"/>
      <c r="U15" s="948"/>
      <c r="V15" s="947"/>
      <c r="W15" s="948"/>
      <c r="X15" s="934"/>
      <c r="Y15" s="904"/>
      <c r="Z15" s="851"/>
      <c r="AA15" s="963">
        <v>1</v>
      </c>
      <c r="AB15" s="963">
        <v>1</v>
      </c>
      <c r="AC15" s="963">
        <v>1</v>
      </c>
    </row>
    <row r="16" ht="40.5" spans="1:29">
      <c r="A16" s="762"/>
      <c r="B16" s="786" t="s">
        <v>211</v>
      </c>
      <c r="C16" s="787" t="str">
        <f>IF(B1="工业",估价对象房地状况!G5,估价对象房地状况!C7)</f>
        <v>估价对象所在区域公共配套设施齐备情况</v>
      </c>
      <c r="D16" s="785">
        <v>100</v>
      </c>
      <c r="E16" s="788"/>
      <c r="F16" s="1442">
        <f>SUMIF(63:63,E17,64:64)-SUMIF(63:63,C17,64:64)+100</f>
        <v>100</v>
      </c>
      <c r="G16" s="905"/>
      <c r="H16" s="789">
        <f>SUMIF(63:63,G17,64:64)-SUMIF(63:63,C17,64:64)+100</f>
        <v>100</v>
      </c>
      <c r="I16" s="788"/>
      <c r="J16" s="789">
        <f>SUMIF(63:63,I17,64:64)-SUMIF(63:63,C17,64:64)+100</f>
        <v>100</v>
      </c>
      <c r="K16" s="1485"/>
      <c r="L16" s="901"/>
      <c r="M16" s="884"/>
      <c r="N16" s="884"/>
      <c r="O16" s="900"/>
      <c r="P16" s="904"/>
      <c r="Q16" s="893" t="str">
        <f>B16</f>
        <v>公共配套设施</v>
      </c>
      <c r="R16" s="947" t="s">
        <v>1045</v>
      </c>
      <c r="S16" s="948">
        <f>F16</f>
        <v>100</v>
      </c>
      <c r="T16" s="947" t="s">
        <v>1045</v>
      </c>
      <c r="U16" s="948">
        <f>H16</f>
        <v>100</v>
      </c>
      <c r="V16" s="947" t="s">
        <v>1045</v>
      </c>
      <c r="W16" s="948">
        <f>J16</f>
        <v>100</v>
      </c>
      <c r="X16" s="934"/>
      <c r="Y16" s="904"/>
      <c r="Z16" s="851" t="str">
        <f>Q16</f>
        <v>公共配套设施</v>
      </c>
      <c r="AA16" s="963">
        <f t="shared" si="3"/>
        <v>1</v>
      </c>
      <c r="AB16" s="963">
        <f t="shared" si="4"/>
        <v>1</v>
      </c>
      <c r="AC16" s="963">
        <f t="shared" si="5"/>
        <v>1</v>
      </c>
    </row>
    <row r="17" ht="15" spans="1:29">
      <c r="A17" s="762"/>
      <c r="B17" s="790"/>
      <c r="C17" s="1443"/>
      <c r="D17" s="783"/>
      <c r="E17" s="782"/>
      <c r="F17" s="1441"/>
      <c r="G17" s="782"/>
      <c r="H17" s="783"/>
      <c r="I17" s="782"/>
      <c r="J17" s="783"/>
      <c r="K17" s="1486"/>
      <c r="L17" s="901"/>
      <c r="M17" s="884"/>
      <c r="N17" s="884"/>
      <c r="O17" s="900"/>
      <c r="P17" s="904"/>
      <c r="Q17" s="893"/>
      <c r="R17" s="947"/>
      <c r="S17" s="948"/>
      <c r="T17" s="947"/>
      <c r="U17" s="948"/>
      <c r="V17" s="947"/>
      <c r="W17" s="948"/>
      <c r="X17" s="934"/>
      <c r="Y17" s="904"/>
      <c r="Z17" s="851"/>
      <c r="AA17" s="963">
        <v>1</v>
      </c>
      <c r="AB17" s="963">
        <v>1</v>
      </c>
      <c r="AC17" s="963">
        <v>1</v>
      </c>
    </row>
    <row r="18" ht="27" spans="1:29">
      <c r="A18" s="762"/>
      <c r="B18" s="794" t="s">
        <v>212</v>
      </c>
      <c r="C18" s="787" t="str">
        <f>IF(B1="工业",估价对象房地状况!G6,估价对象房地状况!C8)</f>
        <v>估价对象所在区域基础设施水平</v>
      </c>
      <c r="D18" s="785">
        <v>100</v>
      </c>
      <c r="E18" s="788"/>
      <c r="F18" s="1442">
        <f>SUMIF(65:65,E19,66:66)-SUMIF(65:65,C19,66:66)+100</f>
        <v>100</v>
      </c>
      <c r="G18" s="905"/>
      <c r="H18" s="785">
        <f>SUMIF(65:65,G19,66:66)-SUMIF(65:65,C19,66:66)+100</f>
        <v>100</v>
      </c>
      <c r="I18" s="788"/>
      <c r="J18" s="785">
        <f>SUMIF(65:65,I19,66:66)-SUMIF(65:65,C19,66:66)+100</f>
        <v>100</v>
      </c>
      <c r="K18" s="1485"/>
      <c r="L18" s="901"/>
      <c r="M18" s="884"/>
      <c r="N18" s="884"/>
      <c r="O18" s="900"/>
      <c r="P18" s="904"/>
      <c r="Q18" s="893" t="str">
        <f>B18</f>
        <v>基础设施水平</v>
      </c>
      <c r="R18" s="947" t="s">
        <v>1045</v>
      </c>
      <c r="S18" s="948">
        <f>F18</f>
        <v>100</v>
      </c>
      <c r="T18" s="947" t="s">
        <v>1045</v>
      </c>
      <c r="U18" s="948">
        <f>H18</f>
        <v>100</v>
      </c>
      <c r="V18" s="947" t="s">
        <v>1045</v>
      </c>
      <c r="W18" s="948">
        <f>J18</f>
        <v>100</v>
      </c>
      <c r="X18" s="934"/>
      <c r="Y18" s="904"/>
      <c r="Z18" s="851" t="str">
        <f>Q18</f>
        <v>基础设施水平</v>
      </c>
      <c r="AA18" s="963">
        <f t="shared" ref="AA18" si="8">D18/F18</f>
        <v>1</v>
      </c>
      <c r="AB18" s="963">
        <f t="shared" ref="AB18" si="9">D18/H18</f>
        <v>1</v>
      </c>
      <c r="AC18" s="963">
        <f t="shared" ref="AC18" si="10">D18/J18</f>
        <v>1</v>
      </c>
    </row>
    <row r="19" ht="15" spans="1:29">
      <c r="A19" s="762"/>
      <c r="B19" s="794"/>
      <c r="C19" s="1443"/>
      <c r="D19" s="783"/>
      <c r="E19" s="1443"/>
      <c r="F19" s="1442"/>
      <c r="G19" s="1443"/>
      <c r="H19" s="783"/>
      <c r="I19" s="782"/>
      <c r="J19" s="783"/>
      <c r="K19" s="1487"/>
      <c r="L19" s="901"/>
      <c r="M19" s="884"/>
      <c r="N19" s="884"/>
      <c r="O19" s="900"/>
      <c r="P19" s="904"/>
      <c r="Q19" s="893"/>
      <c r="R19" s="947"/>
      <c r="S19" s="948"/>
      <c r="T19" s="947"/>
      <c r="U19" s="948"/>
      <c r="V19" s="947"/>
      <c r="W19" s="948"/>
      <c r="X19" s="934"/>
      <c r="Y19" s="904"/>
      <c r="Z19" s="851"/>
      <c r="AA19" s="963">
        <v>1</v>
      </c>
      <c r="AB19" s="963">
        <v>1</v>
      </c>
      <c r="AC19" s="963">
        <v>1</v>
      </c>
    </row>
    <row r="20" ht="54" spans="1:29">
      <c r="A20" s="762"/>
      <c r="B20" s="1444" t="s">
        <v>1062</v>
      </c>
      <c r="C20" s="787" t="str">
        <f>IF(B1="工业",估价对象房地状况!G7,估价对象房地状况!C9)</f>
        <v>区域自然环境：；人文环境；综合评价环境状况一般</v>
      </c>
      <c r="D20" s="789">
        <v>100</v>
      </c>
      <c r="E20" s="1445"/>
      <c r="F20" s="1446">
        <f>SUMIF(67:67,E21,68:68)-SUMIF(67:67,C21,68:68)+100</f>
        <v>100</v>
      </c>
      <c r="G20" s="1447"/>
      <c r="H20" s="785">
        <f>SUMIF(67:67,G21,68:68)-SUMIF(67:67,C21,68:68)+100</f>
        <v>100</v>
      </c>
      <c r="I20" s="788"/>
      <c r="J20" s="785">
        <f>SUMIF(67:67,I21,68:68)-SUMIF(67:67,C21,68:68)+100</f>
        <v>100</v>
      </c>
      <c r="K20" s="1485"/>
      <c r="L20" s="901"/>
      <c r="M20" s="884"/>
      <c r="N20" s="884"/>
      <c r="O20" s="900"/>
      <c r="P20" s="904"/>
      <c r="Q20" s="893" t="str">
        <f>B20</f>
        <v>自然及人文环境</v>
      </c>
      <c r="R20" s="947" t="s">
        <v>1045</v>
      </c>
      <c r="S20" s="948">
        <f>F20</f>
        <v>100</v>
      </c>
      <c r="T20" s="947" t="s">
        <v>1045</v>
      </c>
      <c r="U20" s="948">
        <f>H20</f>
        <v>100</v>
      </c>
      <c r="V20" s="947" t="s">
        <v>1045</v>
      </c>
      <c r="W20" s="948">
        <f>J20</f>
        <v>100</v>
      </c>
      <c r="X20" s="934"/>
      <c r="Y20" s="904"/>
      <c r="Z20" s="851" t="str">
        <f>Q20</f>
        <v>自然及人文环境</v>
      </c>
      <c r="AA20" s="963">
        <f t="shared" si="3"/>
        <v>1</v>
      </c>
      <c r="AB20" s="963">
        <f t="shared" si="4"/>
        <v>1</v>
      </c>
      <c r="AC20" s="963">
        <f t="shared" si="5"/>
        <v>1</v>
      </c>
    </row>
    <row r="21" ht="15" spans="1:29">
      <c r="A21" s="762"/>
      <c r="B21" s="811"/>
      <c r="C21" s="782"/>
      <c r="D21" s="783"/>
      <c r="E21" s="782"/>
      <c r="F21" s="1441"/>
      <c r="G21" s="782"/>
      <c r="H21" s="783"/>
      <c r="I21" s="782"/>
      <c r="J21" s="783"/>
      <c r="K21" s="1486"/>
      <c r="L21" s="901"/>
      <c r="M21" s="884"/>
      <c r="N21" s="884"/>
      <c r="O21" s="900"/>
      <c r="P21" s="904"/>
      <c r="Q21" s="893"/>
      <c r="R21" s="947"/>
      <c r="S21" s="948"/>
      <c r="T21" s="947"/>
      <c r="U21" s="948"/>
      <c r="V21" s="947"/>
      <c r="W21" s="948"/>
      <c r="X21" s="934"/>
      <c r="Y21" s="904"/>
      <c r="Z21" s="851"/>
      <c r="AA21" s="963">
        <v>1</v>
      </c>
      <c r="AB21" s="963">
        <v>1</v>
      </c>
      <c r="AC21" s="963">
        <v>1</v>
      </c>
    </row>
    <row r="22" ht="15" spans="1:29">
      <c r="A22" s="762"/>
      <c r="B22" s="1444" t="s">
        <v>1475</v>
      </c>
      <c r="C22" s="796"/>
      <c r="D22" s="785">
        <v>100</v>
      </c>
      <c r="E22" s="796"/>
      <c r="F22" s="1448">
        <f>SUMIF(69:69,E22,70:70)-SUMIF(69:69,C22,70:70)+100</f>
        <v>100</v>
      </c>
      <c r="G22" s="796"/>
      <c r="H22" s="771">
        <f>SUMIF(69:69,G22,70:70)-SUMIF(69:69,C22,70:70)+100</f>
        <v>100</v>
      </c>
      <c r="I22" s="796"/>
      <c r="J22" s="771">
        <f>SUMIF(69:69,I22,70:70)-SUMIF(69:69,C22,70:70)+100</f>
        <v>100</v>
      </c>
      <c r="K22" s="909"/>
      <c r="L22" s="901"/>
      <c r="M22" s="884"/>
      <c r="N22" s="884"/>
      <c r="O22" s="900"/>
      <c r="P22" s="904"/>
      <c r="Q22" s="893" t="str">
        <f>B22</f>
        <v>楼层</v>
      </c>
      <c r="R22" s="947" t="s">
        <v>1045</v>
      </c>
      <c r="S22" s="948">
        <f>F22</f>
        <v>100</v>
      </c>
      <c r="T22" s="947" t="s">
        <v>1045</v>
      </c>
      <c r="U22" s="948">
        <f>H22</f>
        <v>100</v>
      </c>
      <c r="V22" s="947" t="s">
        <v>1045</v>
      </c>
      <c r="W22" s="948">
        <f>J22</f>
        <v>100</v>
      </c>
      <c r="X22" s="934"/>
      <c r="Y22" s="904"/>
      <c r="Z22" s="851" t="str">
        <f>Q22</f>
        <v>楼层</v>
      </c>
      <c r="AA22" s="963">
        <f t="shared" si="3"/>
        <v>1</v>
      </c>
      <c r="AB22" s="963">
        <f t="shared" si="4"/>
        <v>1</v>
      </c>
      <c r="AC22" s="963">
        <f t="shared" si="5"/>
        <v>1</v>
      </c>
    </row>
    <row r="23" ht="15" spans="1:29">
      <c r="A23" s="734"/>
      <c r="B23" s="766">
        <v>111</v>
      </c>
      <c r="C23" s="760"/>
      <c r="D23" s="771">
        <v>100</v>
      </c>
      <c r="E23" s="770"/>
      <c r="F23" s="1448">
        <f>SUMIF(71:71,E23,72:72)-SUMIF(71:71,C23,72:72)+100</f>
        <v>100</v>
      </c>
      <c r="G23" s="770"/>
      <c r="H23" s="771">
        <f>SUMIF(71:71,G23,72:72)-SUMIF(71:71,C23,72:72)+100</f>
        <v>100</v>
      </c>
      <c r="I23" s="770"/>
      <c r="J23" s="771">
        <f>SUMIF(71:71,I23,72:72)-SUMIF(71:71,C23,72:72)+100</f>
        <v>100</v>
      </c>
      <c r="K23" s="908"/>
      <c r="L23" s="901"/>
      <c r="M23" s="884"/>
      <c r="N23" s="884"/>
      <c r="O23" s="900"/>
      <c r="P23" s="904"/>
      <c r="Q23" s="893">
        <f>B23</f>
        <v>111</v>
      </c>
      <c r="R23" s="947" t="s">
        <v>1045</v>
      </c>
      <c r="S23" s="948">
        <f>F23</f>
        <v>100</v>
      </c>
      <c r="T23" s="947" t="s">
        <v>1045</v>
      </c>
      <c r="U23" s="948">
        <f>H23</f>
        <v>100</v>
      </c>
      <c r="V23" s="947" t="s">
        <v>1045</v>
      </c>
      <c r="W23" s="948">
        <f>J23</f>
        <v>100</v>
      </c>
      <c r="X23" s="934"/>
      <c r="Y23" s="904"/>
      <c r="Z23" s="851">
        <f>Q23</f>
        <v>111</v>
      </c>
      <c r="AA23" s="963">
        <f t="shared" si="3"/>
        <v>1</v>
      </c>
      <c r="AB23" s="963">
        <f t="shared" si="4"/>
        <v>1</v>
      </c>
      <c r="AC23" s="963">
        <f t="shared" si="5"/>
        <v>1</v>
      </c>
    </row>
    <row r="24" ht="15" spans="1:29">
      <c r="A24" s="762"/>
      <c r="B24" s="766">
        <v>111</v>
      </c>
      <c r="C24" s="760"/>
      <c r="D24" s="771">
        <v>100</v>
      </c>
      <c r="E24" s="770"/>
      <c r="F24" s="1448">
        <f>SUMIF(73:73,E24,74:74)-SUMIF(73:73,C24,74:74)+100</f>
        <v>100</v>
      </c>
      <c r="G24" s="770"/>
      <c r="H24" s="771">
        <f>SUMIF(73:73,G24,74:74)-SUMIF(73:73,C24,74:74)+100</f>
        <v>100</v>
      </c>
      <c r="I24" s="770"/>
      <c r="J24" s="771">
        <f>SUMIF(73:73,I24,74:74)-SUMIF(73:73,C24,74:74)+100</f>
        <v>100</v>
      </c>
      <c r="K24" s="908"/>
      <c r="L24" s="901"/>
      <c r="M24" s="884"/>
      <c r="N24" s="884"/>
      <c r="O24" s="900"/>
      <c r="P24" s="904"/>
      <c r="Q24" s="893">
        <f t="shared" ref="Q24:Q34" si="11">B24</f>
        <v>111</v>
      </c>
      <c r="R24" s="947" t="s">
        <v>1045</v>
      </c>
      <c r="S24" s="948">
        <f>F24</f>
        <v>100</v>
      </c>
      <c r="T24" s="947" t="s">
        <v>1045</v>
      </c>
      <c r="U24" s="948">
        <f>H24</f>
        <v>100</v>
      </c>
      <c r="V24" s="947" t="s">
        <v>1045</v>
      </c>
      <c r="W24" s="948">
        <f>J24</f>
        <v>100</v>
      </c>
      <c r="X24" s="934"/>
      <c r="Y24" s="904"/>
      <c r="Z24" s="851">
        <f>Q24</f>
        <v>111</v>
      </c>
      <c r="AA24" s="963">
        <f t="shared" si="3"/>
        <v>1</v>
      </c>
      <c r="AB24" s="963">
        <f t="shared" si="4"/>
        <v>1</v>
      </c>
      <c r="AC24" s="963">
        <f t="shared" si="5"/>
        <v>1</v>
      </c>
    </row>
    <row r="25" s="707" customFormat="1" ht="15.75" spans="1:29">
      <c r="A25" s="765"/>
      <c r="B25" s="766">
        <v>111</v>
      </c>
      <c r="C25" s="1449"/>
      <c r="D25" s="1450">
        <v>100</v>
      </c>
      <c r="E25" s="1449"/>
      <c r="F25" s="1451">
        <f>SUMIF(75:75,E25,76:76)-SUMIF(75:75,C25,76:76)+100</f>
        <v>100</v>
      </c>
      <c r="G25" s="1449"/>
      <c r="H25" s="1450">
        <f>SUMIF(75:75,G25,76:76)-SUMIF(75:75,C25,76:76)+100</f>
        <v>100</v>
      </c>
      <c r="I25" s="1449"/>
      <c r="J25" s="1450">
        <f>SUMIF(75:75,I25,76:76)-SUMIF(75:75,C25,76:76)+100</f>
        <v>100</v>
      </c>
      <c r="K25" s="908"/>
      <c r="L25" s="889"/>
      <c r="M25" s="890"/>
      <c r="N25" s="890"/>
      <c r="O25" s="892"/>
      <c r="P25" s="904"/>
      <c r="Q25" s="946">
        <f t="shared" si="11"/>
        <v>111</v>
      </c>
      <c r="R25" s="942" t="s">
        <v>1045</v>
      </c>
      <c r="S25" s="943">
        <f>F25</f>
        <v>100</v>
      </c>
      <c r="T25" s="942" t="s">
        <v>1045</v>
      </c>
      <c r="U25" s="943">
        <f>H25</f>
        <v>100</v>
      </c>
      <c r="V25" s="942" t="s">
        <v>1045</v>
      </c>
      <c r="W25" s="943">
        <f>J25</f>
        <v>100</v>
      </c>
      <c r="X25" s="944"/>
      <c r="Y25" s="904"/>
      <c r="Z25" s="962">
        <f>Q25</f>
        <v>111</v>
      </c>
      <c r="AA25" s="963">
        <f t="shared" si="3"/>
        <v>1</v>
      </c>
      <c r="AB25" s="963">
        <f t="shared" si="4"/>
        <v>1</v>
      </c>
      <c r="AC25" s="963">
        <f t="shared" si="5"/>
        <v>1</v>
      </c>
    </row>
    <row r="26" ht="28.5" spans="1:29">
      <c r="A26" s="1452" t="s">
        <v>1070</v>
      </c>
      <c r="B26" s="755" t="s">
        <v>1077</v>
      </c>
      <c r="C26" s="1453"/>
      <c r="D26" s="813">
        <v>100</v>
      </c>
      <c r="E26" s="1453"/>
      <c r="F26" s="1454">
        <f>SUMIF(77:77,E26,78:78)-SUMIF(77:77,C26,78:78)+100</f>
        <v>100</v>
      </c>
      <c r="G26" s="1453"/>
      <c r="H26" s="813">
        <f>SUMIF(77:77,G26,78:78)-SUMIF(77:77,C26,78:78)+100</f>
        <v>100</v>
      </c>
      <c r="I26" s="1453"/>
      <c r="J26" s="813">
        <f>SUMIF(77:77,I26,78:78)-SUMIF(77:77,C26,78:78)+100</f>
        <v>100</v>
      </c>
      <c r="K26" s="909"/>
      <c r="L26" s="901"/>
      <c r="M26" s="884"/>
      <c r="N26" s="884"/>
      <c r="O26" s="900"/>
      <c r="P26" s="910" t="s">
        <v>1073</v>
      </c>
      <c r="Q26" s="893" t="str">
        <f t="shared" si="11"/>
        <v>公共部分装修</v>
      </c>
      <c r="R26" s="947" t="s">
        <v>1045</v>
      </c>
      <c r="S26" s="948">
        <f t="shared" ref="S26:S34" si="12">F26</f>
        <v>100</v>
      </c>
      <c r="T26" s="947" t="s">
        <v>1045</v>
      </c>
      <c r="U26" s="948">
        <f t="shared" ref="U26:U34" si="13">H26</f>
        <v>100</v>
      </c>
      <c r="V26" s="947" t="s">
        <v>1045</v>
      </c>
      <c r="W26" s="948">
        <f t="shared" ref="W26:W34" si="14">J26</f>
        <v>100</v>
      </c>
      <c r="X26" s="934"/>
      <c r="Y26" s="913" t="s">
        <v>1073</v>
      </c>
      <c r="Z26" s="851" t="str">
        <f t="shared" ref="Z26:Z34" si="15">Q26</f>
        <v>公共部分装修</v>
      </c>
      <c r="AA26" s="963">
        <f t="shared" si="3"/>
        <v>1</v>
      </c>
      <c r="AB26" s="963">
        <f t="shared" si="4"/>
        <v>1</v>
      </c>
      <c r="AC26" s="963">
        <f t="shared" si="5"/>
        <v>1</v>
      </c>
    </row>
    <row r="27" s="709" customFormat="1" ht="15" spans="1:29">
      <c r="A27" s="818"/>
      <c r="B27" s="759" t="s">
        <v>1496</v>
      </c>
      <c r="C27" s="1455"/>
      <c r="D27" s="761">
        <v>100</v>
      </c>
      <c r="E27" s="1456"/>
      <c r="F27" s="1448" t="e">
        <f>LOOKUP(E27,80:80,81:81)-LOOKUP(C27,80:80,81:81)+100</f>
        <v>#N/A</v>
      </c>
      <c r="G27" s="1457"/>
      <c r="H27" s="771" t="e">
        <f>LOOKUP(G27,80:80,81:81)-LOOKUP(C27,80:80,81:81)+100</f>
        <v>#N/A</v>
      </c>
      <c r="I27" s="1457"/>
      <c r="J27" s="771" t="e">
        <f>LOOKUP(I27,80:80,81:81)-LOOKUP(C27,80:80,81:81)+100</f>
        <v>#N/A</v>
      </c>
      <c r="K27" s="909"/>
      <c r="L27" s="899"/>
      <c r="M27" s="911"/>
      <c r="N27" s="911"/>
      <c r="O27" s="912"/>
      <c r="P27" s="913"/>
      <c r="Q27" s="1493" t="str">
        <f t="shared" si="11"/>
        <v>成新率</v>
      </c>
      <c r="R27" s="949" t="s">
        <v>1045</v>
      </c>
      <c r="S27" s="950" t="e">
        <f t="shared" si="12"/>
        <v>#N/A</v>
      </c>
      <c r="T27" s="949" t="s">
        <v>1045</v>
      </c>
      <c r="U27" s="950" t="e">
        <f t="shared" si="13"/>
        <v>#N/A</v>
      </c>
      <c r="V27" s="949" t="s">
        <v>1045</v>
      </c>
      <c r="W27" s="950" t="e">
        <f t="shared" si="14"/>
        <v>#N/A</v>
      </c>
      <c r="X27" s="951"/>
      <c r="Y27" s="913"/>
      <c r="Z27" s="964" t="str">
        <f t="shared" si="15"/>
        <v>成新率</v>
      </c>
      <c r="AA27" s="963" t="e">
        <f t="shared" si="3"/>
        <v>#N/A</v>
      </c>
      <c r="AB27" s="963" t="e">
        <f t="shared" si="4"/>
        <v>#N/A</v>
      </c>
      <c r="AC27" s="963" t="e">
        <f t="shared" si="5"/>
        <v>#N/A</v>
      </c>
    </row>
    <row r="28" ht="15" spans="1:29">
      <c r="A28" s="810"/>
      <c r="B28" s="759" t="s">
        <v>1497</v>
      </c>
      <c r="C28" s="1458"/>
      <c r="D28" s="771">
        <v>100</v>
      </c>
      <c r="E28" s="1458"/>
      <c r="F28" s="1448">
        <f>SUMIF(82:82,E28,83:83)-SUMIF(82:82,C28,83:83)+100</f>
        <v>100</v>
      </c>
      <c r="G28" s="1458"/>
      <c r="H28" s="771">
        <f>SUMIF(82:82,G28,83:83)-SUMIF(82:82,C28,83:83)+100</f>
        <v>100</v>
      </c>
      <c r="I28" s="1458"/>
      <c r="J28" s="771">
        <f>SUMIF(82:82,I28,83:83)-SUMIF(82:82,C28,83:83)+100</f>
        <v>100</v>
      </c>
      <c r="K28" s="909"/>
      <c r="L28" s="901"/>
      <c r="M28" s="884"/>
      <c r="N28" s="884"/>
      <c r="O28" s="900"/>
      <c r="P28" s="913"/>
      <c r="Q28" s="893" t="str">
        <f t="shared" si="11"/>
        <v>物业等级</v>
      </c>
      <c r="R28" s="947" t="s">
        <v>1045</v>
      </c>
      <c r="S28" s="948">
        <f t="shared" si="12"/>
        <v>100</v>
      </c>
      <c r="T28" s="947" t="s">
        <v>1045</v>
      </c>
      <c r="U28" s="948">
        <f t="shared" si="13"/>
        <v>100</v>
      </c>
      <c r="V28" s="947" t="s">
        <v>1045</v>
      </c>
      <c r="W28" s="948">
        <f t="shared" si="14"/>
        <v>100</v>
      </c>
      <c r="X28" s="934"/>
      <c r="Y28" s="913"/>
      <c r="Z28" s="851" t="str">
        <f t="shared" si="15"/>
        <v>物业等级</v>
      </c>
      <c r="AA28" s="963">
        <f t="shared" si="3"/>
        <v>1</v>
      </c>
      <c r="AB28" s="963">
        <f t="shared" si="4"/>
        <v>1</v>
      </c>
      <c r="AC28" s="963">
        <f t="shared" si="5"/>
        <v>1</v>
      </c>
    </row>
    <row r="29" ht="15" spans="1:29">
      <c r="A29" s="810"/>
      <c r="B29" s="759" t="s">
        <v>1505</v>
      </c>
      <c r="C29" s="1459"/>
      <c r="D29" s="771">
        <v>100</v>
      </c>
      <c r="E29" s="1459"/>
      <c r="F29" s="1448">
        <f>SUMIF(84:84,E29,85:85)-SUMIF(84:84,C29,85:85)+100</f>
        <v>100</v>
      </c>
      <c r="G29" s="1459"/>
      <c r="H29" s="771">
        <f>SUMIF(84:84,G29,85:85)-SUMIF(84:84,C29,85:85)+100</f>
        <v>100</v>
      </c>
      <c r="I29" s="1459"/>
      <c r="J29" s="771">
        <f>SUMIF(84:84,I29,85:85)-SUMIF(84:84,C29,85:85)+100</f>
        <v>100</v>
      </c>
      <c r="K29" s="909"/>
      <c r="L29" s="901"/>
      <c r="M29" s="884"/>
      <c r="N29" s="884"/>
      <c r="O29" s="900"/>
      <c r="P29" s="913"/>
      <c r="Q29" s="893" t="str">
        <f t="shared" si="11"/>
        <v>有无电梯</v>
      </c>
      <c r="R29" s="947" t="s">
        <v>1045</v>
      </c>
      <c r="S29" s="948">
        <f t="shared" si="12"/>
        <v>100</v>
      </c>
      <c r="T29" s="947" t="s">
        <v>1045</v>
      </c>
      <c r="U29" s="948">
        <f t="shared" si="13"/>
        <v>100</v>
      </c>
      <c r="V29" s="947" t="s">
        <v>1045</v>
      </c>
      <c r="W29" s="948">
        <f t="shared" si="14"/>
        <v>100</v>
      </c>
      <c r="X29" s="934"/>
      <c r="Y29" s="913"/>
      <c r="Z29" s="851" t="str">
        <f t="shared" si="15"/>
        <v>有无电梯</v>
      </c>
      <c r="AA29" s="963">
        <f t="shared" si="3"/>
        <v>1</v>
      </c>
      <c r="AB29" s="963">
        <f t="shared" si="4"/>
        <v>1</v>
      </c>
      <c r="AC29" s="963">
        <f t="shared" si="5"/>
        <v>1</v>
      </c>
    </row>
    <row r="30" ht="15" spans="1:29">
      <c r="A30" s="810"/>
      <c r="B30" s="759" t="s">
        <v>1506</v>
      </c>
      <c r="C30" s="1437"/>
      <c r="D30" s="771">
        <v>100</v>
      </c>
      <c r="E30" s="1437"/>
      <c r="F30" s="1448" t="e">
        <f>LOOKUP(E30,87:87,88:88)-LOOKUP(C30,87:87,88:88)+100</f>
        <v>#N/A</v>
      </c>
      <c r="G30" s="1437"/>
      <c r="H30" s="771" t="e">
        <f>LOOKUP(G30,87:87,88:88)-LOOKUP(C30,87:87,88:88)+100</f>
        <v>#N/A</v>
      </c>
      <c r="I30" s="1437"/>
      <c r="J30" s="771" t="e">
        <f>LOOKUP(I30,87:87,88:88)-LOOKUP(C30,87:87,88:88)+100</f>
        <v>#N/A</v>
      </c>
      <c r="K30" s="908"/>
      <c r="L30" s="901"/>
      <c r="M30" s="884"/>
      <c r="N30" s="884"/>
      <c r="O30" s="900"/>
      <c r="P30" s="913"/>
      <c r="Q30" s="893" t="str">
        <f t="shared" si="11"/>
        <v>建筑面积</v>
      </c>
      <c r="R30" s="947" t="s">
        <v>1045</v>
      </c>
      <c r="S30" s="948" t="e">
        <f t="shared" si="12"/>
        <v>#N/A</v>
      </c>
      <c r="T30" s="947" t="s">
        <v>1045</v>
      </c>
      <c r="U30" s="948" t="e">
        <f t="shared" si="13"/>
        <v>#N/A</v>
      </c>
      <c r="V30" s="947" t="s">
        <v>1045</v>
      </c>
      <c r="W30" s="948" t="e">
        <f t="shared" si="14"/>
        <v>#N/A</v>
      </c>
      <c r="X30" s="934"/>
      <c r="Y30" s="913"/>
      <c r="Z30" s="851" t="str">
        <f t="shared" si="15"/>
        <v>建筑面积</v>
      </c>
      <c r="AA30" s="963" t="e">
        <f t="shared" si="3"/>
        <v>#N/A</v>
      </c>
      <c r="AB30" s="963" t="e">
        <f t="shared" si="4"/>
        <v>#N/A</v>
      </c>
      <c r="AC30" s="963" t="e">
        <f t="shared" si="5"/>
        <v>#N/A</v>
      </c>
    </row>
    <row r="31" s="707" customFormat="1" ht="15" spans="1:29">
      <c r="A31" s="815"/>
      <c r="B31" s="759" t="s">
        <v>1507</v>
      </c>
      <c r="C31" s="1459"/>
      <c r="D31" s="761">
        <v>100</v>
      </c>
      <c r="E31" s="1459"/>
      <c r="F31" s="1448">
        <f>SUMIF(89:89,E31,90:90)-SUMIF(89:89,C31,90:90)+100</f>
        <v>100</v>
      </c>
      <c r="G31" s="1459"/>
      <c r="H31" s="771">
        <f>SUMIF(89:89,G31,90:90)-SUMIF(89:89,C31,90:90)+100</f>
        <v>100</v>
      </c>
      <c r="I31" s="1459"/>
      <c r="J31" s="771">
        <f>SUMIF(89:89,I31,90:90)-SUMIF(89:89,C31,90:90)+100</f>
        <v>100</v>
      </c>
      <c r="K31" s="909"/>
      <c r="L31" s="889"/>
      <c r="M31" s="890"/>
      <c r="N31" s="890"/>
      <c r="O31" s="892"/>
      <c r="P31" s="913"/>
      <c r="Q31" s="946" t="str">
        <f t="shared" si="11"/>
        <v>是否封闭</v>
      </c>
      <c r="R31" s="942" t="s">
        <v>1045</v>
      </c>
      <c r="S31" s="943">
        <f t="shared" si="12"/>
        <v>100</v>
      </c>
      <c r="T31" s="942" t="s">
        <v>1045</v>
      </c>
      <c r="U31" s="943">
        <f t="shared" si="13"/>
        <v>100</v>
      </c>
      <c r="V31" s="942" t="s">
        <v>1045</v>
      </c>
      <c r="W31" s="943">
        <f t="shared" si="14"/>
        <v>100</v>
      </c>
      <c r="X31" s="944"/>
      <c r="Y31" s="913"/>
      <c r="Z31" s="962" t="str">
        <f t="shared" si="15"/>
        <v>是否封闭</v>
      </c>
      <c r="AA31" s="961">
        <f t="shared" si="3"/>
        <v>1</v>
      </c>
      <c r="AB31" s="961">
        <f t="shared" si="4"/>
        <v>1</v>
      </c>
      <c r="AC31" s="961">
        <f t="shared" si="5"/>
        <v>1</v>
      </c>
    </row>
    <row r="32" ht="15" spans="1:29">
      <c r="A32" s="810"/>
      <c r="B32" s="766">
        <v>111</v>
      </c>
      <c r="C32" s="760"/>
      <c r="D32" s="771">
        <v>100</v>
      </c>
      <c r="E32" s="1437"/>
      <c r="F32" s="1448">
        <f>SUMIF(91:91,E32,92:92)-SUMIF(91:91,C32,92:92)+100</f>
        <v>100</v>
      </c>
      <c r="G32" s="1437"/>
      <c r="H32" s="771">
        <f>SUMIF(91:91,G32,92:92)-SUMIF(91:91,C32,92:92)+100</f>
        <v>100</v>
      </c>
      <c r="I32" s="1437"/>
      <c r="J32" s="771">
        <f>SUMIF(91:91,I32,92:92)-SUMIF(91:91,C32,92:92)+100</f>
        <v>100</v>
      </c>
      <c r="K32" s="908"/>
      <c r="L32" s="901"/>
      <c r="M32" s="884"/>
      <c r="N32" s="884"/>
      <c r="O32" s="900"/>
      <c r="P32" s="913" t="s">
        <v>1073</v>
      </c>
      <c r="Q32" s="893">
        <f t="shared" si="11"/>
        <v>111</v>
      </c>
      <c r="R32" s="947" t="s">
        <v>1045</v>
      </c>
      <c r="S32" s="948">
        <f t="shared" si="12"/>
        <v>100</v>
      </c>
      <c r="T32" s="947" t="s">
        <v>1045</v>
      </c>
      <c r="U32" s="948">
        <f t="shared" si="13"/>
        <v>100</v>
      </c>
      <c r="V32" s="947" t="s">
        <v>1045</v>
      </c>
      <c r="W32" s="948">
        <f t="shared" si="14"/>
        <v>100</v>
      </c>
      <c r="X32" s="934"/>
      <c r="Y32" s="913" t="s">
        <v>1073</v>
      </c>
      <c r="Z32" s="851">
        <f t="shared" si="15"/>
        <v>111</v>
      </c>
      <c r="AA32" s="963">
        <f t="shared" si="3"/>
        <v>1</v>
      </c>
      <c r="AB32" s="963">
        <f t="shared" si="4"/>
        <v>1</v>
      </c>
      <c r="AC32" s="963">
        <f t="shared" si="5"/>
        <v>1</v>
      </c>
    </row>
    <row r="33" ht="15" spans="1:29">
      <c r="A33" s="810"/>
      <c r="B33" s="766">
        <v>111</v>
      </c>
      <c r="C33" s="760"/>
      <c r="D33" s="771">
        <v>100</v>
      </c>
      <c r="E33" s="1437"/>
      <c r="F33" s="1448">
        <f>SUMIF(93:93,E33,94:94)-SUMIF(93:93,C33,94:94)+100</f>
        <v>100</v>
      </c>
      <c r="G33" s="1437"/>
      <c r="H33" s="771">
        <f>SUMIF(93:93,G33,94:94)-SUMIF(93:93,C33,94:94)+100</f>
        <v>100</v>
      </c>
      <c r="I33" s="1437"/>
      <c r="J33" s="771">
        <f>SUMIF(93:93,I33,94:94)-SUMIF(93:93,C33,94:94)+100</f>
        <v>100</v>
      </c>
      <c r="K33" s="908"/>
      <c r="L33" s="901"/>
      <c r="M33" s="884"/>
      <c r="N33" s="884"/>
      <c r="O33" s="900"/>
      <c r="P33" s="913"/>
      <c r="Q33" s="893">
        <f t="shared" si="11"/>
        <v>111</v>
      </c>
      <c r="R33" s="947" t="s">
        <v>1045</v>
      </c>
      <c r="S33" s="948">
        <f t="shared" si="12"/>
        <v>100</v>
      </c>
      <c r="T33" s="947" t="s">
        <v>1045</v>
      </c>
      <c r="U33" s="948">
        <f t="shared" si="13"/>
        <v>100</v>
      </c>
      <c r="V33" s="947" t="s">
        <v>1045</v>
      </c>
      <c r="W33" s="948">
        <f t="shared" si="14"/>
        <v>100</v>
      </c>
      <c r="X33" s="934"/>
      <c r="Y33" s="913"/>
      <c r="Z33" s="851">
        <f t="shared" si="15"/>
        <v>111</v>
      </c>
      <c r="AA33" s="963">
        <f t="shared" si="3"/>
        <v>1</v>
      </c>
      <c r="AB33" s="963">
        <f t="shared" si="4"/>
        <v>1</v>
      </c>
      <c r="AC33" s="963">
        <f t="shared" si="5"/>
        <v>1</v>
      </c>
    </row>
    <row r="34" ht="15.75" spans="1:29">
      <c r="A34" s="1460"/>
      <c r="B34" s="773">
        <v>111</v>
      </c>
      <c r="C34" s="774"/>
      <c r="D34" s="775">
        <v>100</v>
      </c>
      <c r="E34" s="1461"/>
      <c r="F34" s="1462">
        <f>SUMIF(95:95,E34,96:96)-SUMIF(95:95,C34,96:96)+100</f>
        <v>100</v>
      </c>
      <c r="G34" s="1461"/>
      <c r="H34" s="775">
        <f>SUMIF(95:95,G34,96:96)-SUMIF(95:95,C34,96:96)+100</f>
        <v>100</v>
      </c>
      <c r="I34" s="1461"/>
      <c r="J34" s="775">
        <f>SUMIF(95:95,I34,96:96)-SUMIF(95:95,C34,96:96)+100</f>
        <v>100</v>
      </c>
      <c r="K34" s="908"/>
      <c r="L34" s="901"/>
      <c r="M34" s="884"/>
      <c r="N34" s="884"/>
      <c r="O34" s="900"/>
      <c r="P34" s="913"/>
      <c r="Q34" s="893">
        <f t="shared" si="11"/>
        <v>111</v>
      </c>
      <c r="R34" s="947" t="s">
        <v>1045</v>
      </c>
      <c r="S34" s="948">
        <f t="shared" si="12"/>
        <v>100</v>
      </c>
      <c r="T34" s="947" t="s">
        <v>1045</v>
      </c>
      <c r="U34" s="948">
        <f t="shared" si="13"/>
        <v>100</v>
      </c>
      <c r="V34" s="947" t="s">
        <v>1045</v>
      </c>
      <c r="W34" s="948">
        <f t="shared" si="14"/>
        <v>100</v>
      </c>
      <c r="X34" s="934"/>
      <c r="Y34" s="913"/>
      <c r="Z34" s="851">
        <f t="shared" si="15"/>
        <v>111</v>
      </c>
      <c r="AA34" s="963">
        <f t="shared" si="3"/>
        <v>1</v>
      </c>
      <c r="AB34" s="963">
        <f t="shared" si="4"/>
        <v>1</v>
      </c>
      <c r="AC34" s="963">
        <f t="shared" si="5"/>
        <v>1</v>
      </c>
    </row>
    <row r="35" ht="15" spans="1:29">
      <c r="A35" s="820" t="s">
        <v>1087</v>
      </c>
      <c r="B35" s="1463"/>
      <c r="C35" s="1464" t="s">
        <v>121</v>
      </c>
      <c r="D35" s="1465"/>
      <c r="E35" s="1466"/>
      <c r="F35" s="1467"/>
      <c r="G35" s="1468"/>
      <c r="H35" s="1469"/>
      <c r="I35" s="1466"/>
      <c r="J35" s="1469"/>
      <c r="K35" s="916"/>
      <c r="L35" s="917"/>
      <c r="N35" s="884"/>
      <c r="P35" s="893" t="str">
        <f>A35</f>
        <v>成交单价（元/平方米）</v>
      </c>
      <c r="Q35" s="893"/>
      <c r="R35" s="963">
        <f>E35</f>
        <v>0</v>
      </c>
      <c r="S35" s="963"/>
      <c r="T35" s="963">
        <f>G35</f>
        <v>0</v>
      </c>
      <c r="U35" s="963"/>
      <c r="V35" s="963">
        <f>I35</f>
        <v>0</v>
      </c>
      <c r="W35" s="963"/>
      <c r="X35" s="872"/>
      <c r="Y35" s="965"/>
      <c r="Z35" s="872"/>
      <c r="AA35" s="872"/>
      <c r="AB35" s="872"/>
      <c r="AC35" s="872"/>
    </row>
    <row r="36" ht="15.75" spans="1:29">
      <c r="A36" s="828" t="s">
        <v>1088</v>
      </c>
      <c r="B36" s="1470"/>
      <c r="C36" s="1471" t="e">
        <f>R37</f>
        <v>#DIV/0!</v>
      </c>
      <c r="D36" s="831" t="s">
        <v>1089</v>
      </c>
      <c r="E36" s="1472" t="e">
        <f>R36</f>
        <v>#DIV/0!</v>
      </c>
      <c r="F36" s="832"/>
      <c r="G36" s="1471" t="e">
        <f>T36</f>
        <v>#DIV/0!</v>
      </c>
      <c r="H36" s="832"/>
      <c r="I36" s="1472" t="e">
        <f>V36</f>
        <v>#DIV/0!</v>
      </c>
      <c r="J36" s="832"/>
      <c r="K36" s="918">
        <f>F36+H36+J36</f>
        <v>0</v>
      </c>
      <c r="L36" s="917"/>
      <c r="N36" s="884"/>
      <c r="P36" s="893" t="str">
        <f>A36</f>
        <v>比较价值（元/平方米）</v>
      </c>
      <c r="Q36" s="893"/>
      <c r="R36" s="963" t="e">
        <f>IF(E1="售价",ROUND(PRODUCT(R35,AA7:AA34),0),ROUND(PRODUCT(R35,AA7:AA34),1))</f>
        <v>#DIV/0!</v>
      </c>
      <c r="S36" s="963"/>
      <c r="T36" s="963" t="e">
        <f>IF(E1="售价",ROUND(PRODUCT(T35,AB7:AB34),0),ROUND(PRODUCT(T35,AB7:AB34),1))</f>
        <v>#DIV/0!</v>
      </c>
      <c r="U36" s="963"/>
      <c r="V36" s="963" t="e">
        <f>IF(E1="售价",ROUND(PRODUCT(V35,AC7:AC34),0),ROUND(PRODUCT(V35,AC7:AC34),1))</f>
        <v>#DIV/0!</v>
      </c>
      <c r="W36" s="963"/>
      <c r="X36" s="872"/>
      <c r="Y36" s="872"/>
      <c r="Z36" s="872"/>
      <c r="AA36" s="872"/>
      <c r="AB36" s="872"/>
      <c r="AC36" s="872"/>
    </row>
    <row r="37" ht="15.75" spans="1:29">
      <c r="A37" s="834" t="s">
        <v>1090</v>
      </c>
      <c r="B37" s="835"/>
      <c r="C37" s="1473" t="e">
        <f>R37</f>
        <v>#DIV/0!</v>
      </c>
      <c r="D37" s="1473"/>
      <c r="E37" s="1473"/>
      <c r="F37" s="1473"/>
      <c r="G37" s="1473"/>
      <c r="H37" s="1473"/>
      <c r="I37" s="1473"/>
      <c r="J37" s="1473"/>
      <c r="K37" s="919"/>
      <c r="L37" s="917"/>
      <c r="P37" s="920" t="str">
        <f>A37</f>
        <v>估价对象XX用房的比较价值（楼面单价，元/平方米）</v>
      </c>
      <c r="Q37" s="953"/>
      <c r="R37" s="1494" t="e">
        <f>IF(E1="售价",ROUND(IF(D36="简单平均",AVERAGE(R36:W36),R36*F36+T36*H36+V36*J36),0),ROUND(IF(D36="简单平均",AVERAGE(R36:V36),R36*F36+T36*H36+V36*J36),1))</f>
        <v>#DIV/0!</v>
      </c>
      <c r="S37" s="1494"/>
      <c r="T37" s="1494"/>
      <c r="U37" s="1494"/>
      <c r="V37" s="1494"/>
      <c r="W37" s="1494"/>
      <c r="X37" s="872"/>
      <c r="Y37" s="872"/>
      <c r="Z37" s="872"/>
      <c r="AA37" s="872"/>
      <c r="AB37" s="872"/>
      <c r="AC37" s="872"/>
    </row>
    <row r="38" spans="7:7">
      <c r="G38" s="837"/>
    </row>
    <row r="40" ht="13.5" customHeight="1" spans="3:10">
      <c r="C40" s="838" t="s">
        <v>1091</v>
      </c>
      <c r="D40" s="839"/>
      <c r="E40" s="840" t="e">
        <f>IF(E35&lt;E36,E36/E35-1,E35/E36-1)</f>
        <v>#DIV/0!</v>
      </c>
      <c r="F40" s="841" t="e">
        <f>IF(OR(E40&gt;=0.3,E40&lt;=-0.3),"超过30%","")</f>
        <v>#DIV/0!</v>
      </c>
      <c r="G40" s="840" t="e">
        <f>IF(G35&lt;G36,G36/G35-1,G35/G36-1)</f>
        <v>#DIV/0!</v>
      </c>
      <c r="H40" s="841" t="e">
        <f>IF(OR(G40&gt;=0.3,G40&lt;=-0.3),"超过30%","")</f>
        <v>#DIV/0!</v>
      </c>
      <c r="I40" s="840" t="e">
        <f>IF(I35&lt;I36,I36/I35-1,I35/I36-1)</f>
        <v>#DIV/0!</v>
      </c>
      <c r="J40" s="841" t="e">
        <f>IF(OR(I40&gt;=0.3,I40&lt;=-0.3),"超过30%","")</f>
        <v>#DIV/0!</v>
      </c>
    </row>
    <row r="41" ht="13.5" customHeight="1" spans="3:10">
      <c r="C41" s="838" t="s">
        <v>1092</v>
      </c>
      <c r="D41" s="842"/>
      <c r="E41" s="840" t="e">
        <f>IF(E36&lt;G36,G36/E36-1,E36/G36-1)</f>
        <v>#DIV/0!</v>
      </c>
      <c r="F41" s="841" t="e">
        <f>IF(OR(E41&gt;=0.2,E41&lt;=-0.2),"超过20%","")</f>
        <v>#DIV/0!</v>
      </c>
      <c r="G41" s="840" t="e">
        <f>IF(G36&lt;I36,I36/G36-1,G36/I36-1)</f>
        <v>#DIV/0!</v>
      </c>
      <c r="H41" s="841" t="e">
        <f>IF(OR(G41&gt;=0.2,G41&lt;=-0.2),"超过20%","")</f>
        <v>#DIV/0!</v>
      </c>
      <c r="I41" s="840" t="e">
        <f>IF(I36&lt;E36,E36/I36-1,I36/E36-1)</f>
        <v>#DIV/0!</v>
      </c>
      <c r="J41" s="841" t="e">
        <f>IF(OR(I41&gt;=0.2,I41&lt;=-0.2),"超过20%","")</f>
        <v>#DIV/0!</v>
      </c>
    </row>
    <row r="42" s="710" customFormat="1" ht="13.5" customHeight="1" spans="3:12">
      <c r="C42" s="838" t="s">
        <v>1093</v>
      </c>
      <c r="D42" s="842"/>
      <c r="E42" s="840" t="e">
        <f>IF(E35&lt;G35,G35/E35-1,E35/G35-1)</f>
        <v>#DIV/0!</v>
      </c>
      <c r="F42" s="841" t="e">
        <f>IF(OR(E42&gt;=0.3,E42&lt;=-0.3),"超过30%","")</f>
        <v>#DIV/0!</v>
      </c>
      <c r="G42" s="840" t="e">
        <f>IF(G35&lt;I35,I35/G35-1,G35/I35-1)</f>
        <v>#DIV/0!</v>
      </c>
      <c r="H42" s="841" t="e">
        <f>IF(OR(G42&gt;=0.3,G42&lt;=-0.3),"超过30%","")</f>
        <v>#DIV/0!</v>
      </c>
      <c r="I42" s="840" t="e">
        <f>IF(I35&lt;E35,E35/I35-1,I35/E35-1)</f>
        <v>#DIV/0!</v>
      </c>
      <c r="J42" s="841" t="e">
        <f>IF(OR(I42&gt;=0.3,I42&lt;=-0.3),"超过30%","")</f>
        <v>#DIV/0!</v>
      </c>
      <c r="K42" s="921"/>
      <c r="L42" s="922"/>
    </row>
    <row r="43" s="710" customFormat="1" spans="2:12">
      <c r="B43" s="843"/>
      <c r="C43" s="844"/>
      <c r="K43" s="921"/>
      <c r="L43" s="922"/>
    </row>
    <row r="44" spans="2:3">
      <c r="B44" s="843"/>
      <c r="C44" s="844"/>
    </row>
    <row r="45" ht="21" spans="1:17">
      <c r="A45" s="871" t="s">
        <v>1094</v>
      </c>
      <c r="B45" s="872"/>
      <c r="C45" s="873"/>
      <c r="D45" s="873"/>
      <c r="E45" s="873"/>
      <c r="F45" s="874"/>
      <c r="G45" s="874"/>
      <c r="H45" s="873"/>
      <c r="I45" s="873"/>
      <c r="J45" s="873"/>
      <c r="K45" s="1488"/>
      <c r="L45" s="1489"/>
      <c r="M45" s="873"/>
      <c r="N45" s="1490"/>
      <c r="O45" s="1490"/>
      <c r="P45" s="930"/>
      <c r="Q45" s="955"/>
    </row>
    <row r="46" s="712" customFormat="1" ht="15" spans="1:16">
      <c r="A46" s="1474" t="s">
        <v>1043</v>
      </c>
      <c r="B46" s="1475"/>
      <c r="C46" s="1476" t="str">
        <f>YEAR(C7)&amp;"-"&amp;MONTH(C7)</f>
        <v>2022-1</v>
      </c>
      <c r="D46" s="1477">
        <f>EDATE(C46,-1)</f>
        <v>44531</v>
      </c>
      <c r="E46" s="1477">
        <f t="shared" ref="E46:O46" si="16">EDATE(D46,-1)</f>
        <v>44501</v>
      </c>
      <c r="F46" s="1477">
        <f t="shared" si="16"/>
        <v>44470</v>
      </c>
      <c r="G46" s="1477">
        <f t="shared" si="16"/>
        <v>44440</v>
      </c>
      <c r="H46" s="1477">
        <f t="shared" si="16"/>
        <v>44409</v>
      </c>
      <c r="I46" s="1477">
        <f t="shared" si="16"/>
        <v>44378</v>
      </c>
      <c r="J46" s="1477">
        <f t="shared" si="16"/>
        <v>44348</v>
      </c>
      <c r="K46" s="1477">
        <f t="shared" si="16"/>
        <v>44317</v>
      </c>
      <c r="L46" s="1477">
        <f t="shared" si="16"/>
        <v>44287</v>
      </c>
      <c r="M46" s="1477">
        <f t="shared" si="16"/>
        <v>44256</v>
      </c>
      <c r="N46" s="1477">
        <f t="shared" si="16"/>
        <v>44228</v>
      </c>
      <c r="O46" s="1477">
        <f t="shared" si="16"/>
        <v>44197</v>
      </c>
      <c r="P46" s="1021"/>
    </row>
    <row r="47" s="707" customFormat="1" ht="15" spans="1:16">
      <c r="A47" s="1478"/>
      <c r="B47" s="977"/>
      <c r="C47" s="1479">
        <v>100</v>
      </c>
      <c r="D47" s="981"/>
      <c r="E47" s="981"/>
      <c r="F47" s="981"/>
      <c r="G47" s="981"/>
      <c r="H47" s="981"/>
      <c r="I47" s="981"/>
      <c r="J47" s="981"/>
      <c r="K47" s="981"/>
      <c r="L47" s="981"/>
      <c r="M47" s="1491"/>
      <c r="N47" s="981"/>
      <c r="O47" s="1030"/>
      <c r="P47" s="955"/>
    </row>
    <row r="48" s="707" customFormat="1" ht="15.75" spans="1:17">
      <c r="A48" s="972" t="s">
        <v>1095</v>
      </c>
      <c r="B48" s="973"/>
      <c r="C48" s="974"/>
      <c r="D48" s="975"/>
      <c r="E48" s="975"/>
      <c r="F48" s="975"/>
      <c r="G48" s="975"/>
      <c r="H48" s="975"/>
      <c r="I48" s="975"/>
      <c r="J48" s="975"/>
      <c r="K48" s="975"/>
      <c r="L48" s="975"/>
      <c r="M48" s="1024"/>
      <c r="N48" s="975"/>
      <c r="O48" s="1492"/>
      <c r="P48" s="955"/>
      <c r="Q48" s="955"/>
    </row>
    <row r="49" s="707" customFormat="1" ht="15" spans="1:17">
      <c r="A49" s="976" t="s">
        <v>1046</v>
      </c>
      <c r="B49" s="977"/>
      <c r="C49" s="978" t="s">
        <v>1047</v>
      </c>
      <c r="D49" s="979"/>
      <c r="E49" s="979"/>
      <c r="F49" s="979"/>
      <c r="G49" s="979"/>
      <c r="H49" s="979"/>
      <c r="I49" s="979"/>
      <c r="J49" s="979"/>
      <c r="K49" s="979"/>
      <c r="L49" s="1026"/>
      <c r="M49" s="1027"/>
      <c r="N49" s="1028"/>
      <c r="O49" s="1028"/>
      <c r="P49" s="1029"/>
      <c r="Q49" s="955"/>
    </row>
    <row r="50" s="707" customFormat="1" ht="15.75" spans="1:17">
      <c r="A50" s="976"/>
      <c r="B50" s="977"/>
      <c r="C50" s="980">
        <v>100</v>
      </c>
      <c r="D50" s="981"/>
      <c r="E50" s="981"/>
      <c r="F50" s="981"/>
      <c r="G50" s="981"/>
      <c r="H50" s="981"/>
      <c r="I50" s="981"/>
      <c r="J50" s="981"/>
      <c r="K50" s="981"/>
      <c r="L50" s="981"/>
      <c r="M50" s="1030"/>
      <c r="N50" s="1028"/>
      <c r="O50" s="1028"/>
      <c r="P50" s="955"/>
      <c r="Q50" s="955"/>
    </row>
    <row r="51" spans="1:17">
      <c r="A51" s="982" t="s">
        <v>1096</v>
      </c>
      <c r="B51" s="983" t="s">
        <v>1051</v>
      </c>
      <c r="C51" s="1005">
        <f>C9</f>
        <v>0</v>
      </c>
      <c r="D51" s="914"/>
      <c r="E51" s="914"/>
      <c r="F51" s="914"/>
      <c r="G51" s="914"/>
      <c r="H51" s="914"/>
      <c r="I51" s="914"/>
      <c r="J51" s="914"/>
      <c r="K51" s="1031"/>
      <c r="L51" s="1032"/>
      <c r="M51" s="1033"/>
      <c r="N51" s="1034"/>
      <c r="O51" s="1034"/>
      <c r="P51" s="1035"/>
      <c r="Q51" s="955"/>
    </row>
    <row r="52" ht="15.75" spans="1:17">
      <c r="A52" s="984"/>
      <c r="B52" s="985"/>
      <c r="C52" s="986">
        <v>100</v>
      </c>
      <c r="D52" s="986"/>
      <c r="E52" s="986"/>
      <c r="F52" s="986"/>
      <c r="G52" s="986"/>
      <c r="H52" s="986"/>
      <c r="I52" s="986"/>
      <c r="J52" s="986"/>
      <c r="K52" s="986"/>
      <c r="L52" s="986"/>
      <c r="M52" s="1036"/>
      <c r="N52" s="1037"/>
      <c r="O52" s="1037"/>
      <c r="P52" s="1035"/>
      <c r="Q52" s="955"/>
    </row>
    <row r="53" ht="27.75" spans="1:17">
      <c r="A53" s="984"/>
      <c r="B53" s="987" t="s">
        <v>1054</v>
      </c>
      <c r="C53" s="988" t="s">
        <v>1097</v>
      </c>
      <c r="D53" s="988" t="s">
        <v>1098</v>
      </c>
      <c r="E53" s="988" t="s">
        <v>1099</v>
      </c>
      <c r="F53" s="988" t="s">
        <v>1100</v>
      </c>
      <c r="G53" s="988" t="s">
        <v>1101</v>
      </c>
      <c r="H53" s="988" t="s">
        <v>1102</v>
      </c>
      <c r="I53" s="988" t="s">
        <v>1103</v>
      </c>
      <c r="J53" s="988"/>
      <c r="K53" s="1038"/>
      <c r="L53" s="1039"/>
      <c r="M53" s="1040"/>
      <c r="N53" s="1034"/>
      <c r="O53" s="1034"/>
      <c r="P53" s="1035"/>
      <c r="Q53" s="955"/>
    </row>
    <row r="54" ht="15.75" spans="1:17">
      <c r="A54" s="984"/>
      <c r="B54" s="989"/>
      <c r="C54" s="990" t="s">
        <v>1482</v>
      </c>
      <c r="D54" s="990" t="s">
        <v>1482</v>
      </c>
      <c r="E54" s="990">
        <v>100</v>
      </c>
      <c r="F54" s="990">
        <f>E54-$K10</f>
        <v>100</v>
      </c>
      <c r="G54" s="990">
        <f>F54-$K10</f>
        <v>100</v>
      </c>
      <c r="H54" s="990">
        <f>G54-$K10</f>
        <v>100</v>
      </c>
      <c r="I54" s="990">
        <f>H54-$K10</f>
        <v>100</v>
      </c>
      <c r="J54" s="990"/>
      <c r="K54" s="990"/>
      <c r="L54" s="990"/>
      <c r="M54" s="1041"/>
      <c r="N54" s="1037"/>
      <c r="O54" s="1037"/>
      <c r="P54" s="1035"/>
      <c r="Q54" s="955"/>
    </row>
    <row r="55" ht="15.75" spans="1:17">
      <c r="A55" s="984"/>
      <c r="B55" s="1480">
        <f>B11</f>
        <v>111</v>
      </c>
      <c r="C55" s="768"/>
      <c r="D55" s="768"/>
      <c r="E55" s="768"/>
      <c r="F55" s="768"/>
      <c r="G55" s="768"/>
      <c r="H55" s="768"/>
      <c r="I55" s="768"/>
      <c r="J55" s="768"/>
      <c r="K55" s="1042"/>
      <c r="L55" s="1043"/>
      <c r="M55" s="1044"/>
      <c r="N55" s="1034"/>
      <c r="O55" s="1034"/>
      <c r="P55" s="1035"/>
      <c r="Q55" s="955"/>
    </row>
    <row r="56" ht="15.75" spans="1:17">
      <c r="A56" s="984"/>
      <c r="B56" s="985"/>
      <c r="C56" s="997"/>
      <c r="D56" s="986"/>
      <c r="E56" s="986"/>
      <c r="F56" s="986"/>
      <c r="G56" s="986"/>
      <c r="H56" s="986"/>
      <c r="I56" s="986"/>
      <c r="J56" s="986"/>
      <c r="K56" s="986"/>
      <c r="L56" s="986"/>
      <c r="M56" s="1036"/>
      <c r="N56" s="1037"/>
      <c r="O56" s="1037"/>
      <c r="P56" s="1035"/>
      <c r="Q56" s="955"/>
    </row>
    <row r="57" s="709" customFormat="1" ht="15.75" spans="1:17">
      <c r="A57" s="994"/>
      <c r="B57" s="987">
        <f>B12</f>
        <v>111</v>
      </c>
      <c r="C57" s="768"/>
      <c r="D57" s="768"/>
      <c r="E57" s="768"/>
      <c r="F57" s="768"/>
      <c r="G57" s="995"/>
      <c r="H57" s="996"/>
      <c r="I57" s="996"/>
      <c r="J57" s="996"/>
      <c r="K57" s="996"/>
      <c r="L57" s="1045"/>
      <c r="M57" s="1046"/>
      <c r="N57" s="1047"/>
      <c r="O57" s="1047"/>
      <c r="P57" s="1048"/>
      <c r="Q57" s="1077"/>
    </row>
    <row r="58" s="709" customFormat="1" ht="15.75" spans="1:17">
      <c r="A58" s="994"/>
      <c r="B58" s="989"/>
      <c r="C58" s="997"/>
      <c r="D58" s="986"/>
      <c r="E58" s="986"/>
      <c r="F58" s="986"/>
      <c r="G58" s="986"/>
      <c r="H58" s="986"/>
      <c r="I58" s="986"/>
      <c r="J58" s="986"/>
      <c r="K58" s="986"/>
      <c r="L58" s="986"/>
      <c r="M58" s="1036"/>
      <c r="N58" s="1037"/>
      <c r="O58" s="1037"/>
      <c r="P58" s="1048"/>
      <c r="Q58" s="1077"/>
    </row>
    <row r="59" s="709" customFormat="1" ht="15.75" spans="1:17">
      <c r="A59" s="994"/>
      <c r="B59" s="987">
        <f>B13</f>
        <v>111</v>
      </c>
      <c r="C59" s="768"/>
      <c r="D59" s="768"/>
      <c r="E59" s="768"/>
      <c r="F59" s="768"/>
      <c r="G59" s="995"/>
      <c r="H59" s="996"/>
      <c r="I59" s="996"/>
      <c r="J59" s="996"/>
      <c r="K59" s="996"/>
      <c r="L59" s="1045"/>
      <c r="M59" s="1046"/>
      <c r="N59" s="1047"/>
      <c r="O59" s="1047"/>
      <c r="P59" s="911"/>
      <c r="Q59" s="1078"/>
    </row>
    <row r="60" s="709" customFormat="1" ht="15.75" spans="1:17">
      <c r="A60" s="994"/>
      <c r="B60" s="989"/>
      <c r="C60" s="997"/>
      <c r="D60" s="997"/>
      <c r="E60" s="997"/>
      <c r="F60" s="997"/>
      <c r="G60" s="997"/>
      <c r="H60" s="998"/>
      <c r="I60" s="998"/>
      <c r="J60" s="998"/>
      <c r="K60" s="998"/>
      <c r="L60" s="998"/>
      <c r="M60" s="1049"/>
      <c r="N60" s="1047"/>
      <c r="O60" s="1047"/>
      <c r="P60" s="1048"/>
      <c r="Q60" s="1077"/>
    </row>
    <row r="61" ht="15" spans="1:17">
      <c r="A61" s="982" t="s">
        <v>1057</v>
      </c>
      <c r="B61" s="983" t="s">
        <v>209</v>
      </c>
      <c r="C61" s="1004" t="s">
        <v>226</v>
      </c>
      <c r="D61" s="1004" t="s">
        <v>238</v>
      </c>
      <c r="E61" s="1004" t="s">
        <v>249</v>
      </c>
      <c r="F61" s="1004" t="s">
        <v>259</v>
      </c>
      <c r="G61" s="1004" t="s">
        <v>266</v>
      </c>
      <c r="H61" s="1005"/>
      <c r="I61" s="1005"/>
      <c r="J61" s="1005"/>
      <c r="K61" s="1054"/>
      <c r="L61" s="1055"/>
      <c r="M61" s="1056"/>
      <c r="N61" s="1034"/>
      <c r="O61" s="1034"/>
      <c r="P61" s="1057"/>
      <c r="Q61" s="955"/>
    </row>
    <row r="62" ht="15.75" spans="1:17">
      <c r="A62" s="984"/>
      <c r="B62" s="989"/>
      <c r="C62" s="990">
        <v>100</v>
      </c>
      <c r="D62" s="990">
        <f>C62-$K14</f>
        <v>100</v>
      </c>
      <c r="E62" s="990">
        <f>D62-$K14</f>
        <v>100</v>
      </c>
      <c r="F62" s="990">
        <f>E62-$K14</f>
        <v>100</v>
      </c>
      <c r="G62" s="990">
        <f>F62-$K14</f>
        <v>100</v>
      </c>
      <c r="H62" s="990"/>
      <c r="I62" s="990"/>
      <c r="J62" s="990"/>
      <c r="K62" s="990"/>
      <c r="L62" s="990"/>
      <c r="M62" s="1041"/>
      <c r="N62" s="1037"/>
      <c r="O62" s="1037"/>
      <c r="P62" s="1035"/>
      <c r="Q62" s="955"/>
    </row>
    <row r="63" ht="15.75" spans="1:17">
      <c r="A63" s="984"/>
      <c r="B63" s="987" t="s">
        <v>211</v>
      </c>
      <c r="C63" s="1006" t="s">
        <v>226</v>
      </c>
      <c r="D63" s="1006" t="s">
        <v>238</v>
      </c>
      <c r="E63" s="1006" t="s">
        <v>249</v>
      </c>
      <c r="F63" s="1006" t="s">
        <v>259</v>
      </c>
      <c r="G63" s="1006" t="s">
        <v>266</v>
      </c>
      <c r="H63" s="988"/>
      <c r="I63" s="988"/>
      <c r="J63" s="988"/>
      <c r="K63" s="1038"/>
      <c r="L63" s="1039"/>
      <c r="M63" s="1040"/>
      <c r="N63" s="1034"/>
      <c r="O63" s="1034"/>
      <c r="P63" s="1035"/>
      <c r="Q63" s="955"/>
    </row>
    <row r="64" ht="15.75" spans="1:17">
      <c r="A64" s="984"/>
      <c r="B64" s="989"/>
      <c r="C64" s="990">
        <v>100</v>
      </c>
      <c r="D64" s="990">
        <f>C64-$K16</f>
        <v>100</v>
      </c>
      <c r="E64" s="990">
        <f>D64-$K16</f>
        <v>100</v>
      </c>
      <c r="F64" s="990">
        <f>E64-$K16</f>
        <v>100</v>
      </c>
      <c r="G64" s="990">
        <f>F64-$K16</f>
        <v>100</v>
      </c>
      <c r="H64" s="990"/>
      <c r="I64" s="990"/>
      <c r="J64" s="990"/>
      <c r="K64" s="990"/>
      <c r="L64" s="990"/>
      <c r="M64" s="1041"/>
      <c r="N64" s="1037"/>
      <c r="O64" s="1037"/>
      <c r="P64" s="1035"/>
      <c r="Q64" s="955"/>
    </row>
    <row r="65" ht="15.75" spans="1:17">
      <c r="A65" s="984"/>
      <c r="B65" s="991" t="s">
        <v>212</v>
      </c>
      <c r="C65" s="988" t="s">
        <v>1104</v>
      </c>
      <c r="D65" s="988" t="s">
        <v>1105</v>
      </c>
      <c r="E65" s="988" t="s">
        <v>1106</v>
      </c>
      <c r="F65" s="988" t="s">
        <v>1107</v>
      </c>
      <c r="G65" s="988" t="s">
        <v>1108</v>
      </c>
      <c r="H65" s="988"/>
      <c r="I65" s="988"/>
      <c r="J65" s="988"/>
      <c r="K65" s="988"/>
      <c r="L65" s="988"/>
      <c r="M65" s="1497"/>
      <c r="N65" s="1037"/>
      <c r="O65" s="1037"/>
      <c r="P65" s="1035"/>
      <c r="Q65" s="955"/>
    </row>
    <row r="66" ht="15.75" spans="1:17">
      <c r="A66" s="984"/>
      <c r="B66" s="991"/>
      <c r="C66" s="990">
        <v>100</v>
      </c>
      <c r="D66" s="990">
        <f>C66-$K18</f>
        <v>100</v>
      </c>
      <c r="E66" s="990">
        <f>D66-$K18</f>
        <v>100</v>
      </c>
      <c r="F66" s="990">
        <f>E66-$K18</f>
        <v>100</v>
      </c>
      <c r="G66" s="990">
        <f>F66-$K18</f>
        <v>100</v>
      </c>
      <c r="H66" s="1480"/>
      <c r="I66" s="1480"/>
      <c r="J66" s="1480"/>
      <c r="K66" s="1480"/>
      <c r="L66" s="1480"/>
      <c r="M66" s="785"/>
      <c r="N66" s="1037"/>
      <c r="O66" s="1037"/>
      <c r="P66" s="1035"/>
      <c r="Q66" s="955"/>
    </row>
    <row r="67" ht="15.75" spans="1:17">
      <c r="A67" s="984"/>
      <c r="B67" s="987" t="s">
        <v>1062</v>
      </c>
      <c r="C67" s="1006" t="s">
        <v>226</v>
      </c>
      <c r="D67" s="1006" t="s">
        <v>238</v>
      </c>
      <c r="E67" s="1006" t="s">
        <v>249</v>
      </c>
      <c r="F67" s="1006" t="s">
        <v>259</v>
      </c>
      <c r="G67" s="1006" t="s">
        <v>266</v>
      </c>
      <c r="H67" s="988"/>
      <c r="I67" s="988"/>
      <c r="J67" s="988"/>
      <c r="K67" s="1038"/>
      <c r="L67" s="1039"/>
      <c r="M67" s="1040"/>
      <c r="N67" s="1034"/>
      <c r="O67" s="1034"/>
      <c r="P67" s="1035"/>
      <c r="Q67" s="955"/>
    </row>
    <row r="68" ht="15.75" spans="1:17">
      <c r="A68" s="984"/>
      <c r="B68" s="989"/>
      <c r="C68" s="990">
        <v>100</v>
      </c>
      <c r="D68" s="990">
        <f>C68-$K20</f>
        <v>100</v>
      </c>
      <c r="E68" s="990">
        <f>D68-$K20</f>
        <v>100</v>
      </c>
      <c r="F68" s="990">
        <f>E68-$K20</f>
        <v>100</v>
      </c>
      <c r="G68" s="990">
        <f>F68-$K20</f>
        <v>100</v>
      </c>
      <c r="H68" s="990"/>
      <c r="I68" s="990"/>
      <c r="J68" s="990"/>
      <c r="K68" s="990"/>
      <c r="L68" s="990"/>
      <c r="M68" s="1041"/>
      <c r="N68" s="1037"/>
      <c r="O68" s="1037"/>
      <c r="P68" s="1035"/>
      <c r="Q68" s="955"/>
    </row>
    <row r="69" ht="15.75" spans="1:17">
      <c r="A69" s="984"/>
      <c r="B69" s="987" t="s">
        <v>1475</v>
      </c>
      <c r="C69" s="995"/>
      <c r="D69" s="995"/>
      <c r="E69" s="995"/>
      <c r="F69" s="995"/>
      <c r="G69" s="995"/>
      <c r="H69" s="1011"/>
      <c r="I69" s="1011"/>
      <c r="J69" s="1011"/>
      <c r="K69" s="1064"/>
      <c r="L69" s="1065"/>
      <c r="M69" s="1066"/>
      <c r="N69" s="1034"/>
      <c r="O69" s="1034"/>
      <c r="P69" s="1035"/>
      <c r="Q69" s="955"/>
    </row>
    <row r="70" ht="15.75" spans="1:17">
      <c r="A70" s="984"/>
      <c r="B70" s="989"/>
      <c r="C70" s="990">
        <v>100</v>
      </c>
      <c r="D70" s="990">
        <f>C70-$K22</f>
        <v>100</v>
      </c>
      <c r="E70" s="990"/>
      <c r="F70" s="990"/>
      <c r="G70" s="990"/>
      <c r="H70" s="990"/>
      <c r="I70" s="990"/>
      <c r="J70" s="990"/>
      <c r="K70" s="990"/>
      <c r="L70" s="990"/>
      <c r="M70" s="1041"/>
      <c r="N70" s="1037"/>
      <c r="O70" s="1037"/>
      <c r="P70" s="1035"/>
      <c r="Q70" s="955"/>
    </row>
    <row r="71" s="707" customFormat="1" ht="15.75" spans="1:17">
      <c r="A71" s="1007"/>
      <c r="B71" s="987">
        <f>B23</f>
        <v>111</v>
      </c>
      <c r="C71" s="768"/>
      <c r="D71" s="768"/>
      <c r="E71" s="768"/>
      <c r="F71" s="768"/>
      <c r="G71" s="995"/>
      <c r="H71" s="995"/>
      <c r="I71" s="995"/>
      <c r="J71" s="995"/>
      <c r="K71" s="995"/>
      <c r="L71" s="1353"/>
      <c r="M71" s="1498"/>
      <c r="N71" s="1028"/>
      <c r="O71" s="1028"/>
      <c r="P71" s="1035"/>
      <c r="Q71" s="955"/>
    </row>
    <row r="72" s="707" customFormat="1" ht="15.75" spans="1:17">
      <c r="A72" s="1007"/>
      <c r="B72" s="989"/>
      <c r="C72" s="997"/>
      <c r="D72" s="986"/>
      <c r="E72" s="986"/>
      <c r="F72" s="986"/>
      <c r="G72" s="986"/>
      <c r="H72" s="986"/>
      <c r="I72" s="986"/>
      <c r="J72" s="986"/>
      <c r="K72" s="986"/>
      <c r="L72" s="986"/>
      <c r="M72" s="1036"/>
      <c r="N72" s="1037"/>
      <c r="O72" s="1037"/>
      <c r="P72" s="1035"/>
      <c r="Q72" s="955"/>
    </row>
    <row r="73" s="707" customFormat="1" ht="15.75" spans="1:17">
      <c r="A73" s="1007"/>
      <c r="B73" s="987">
        <f>B24</f>
        <v>111</v>
      </c>
      <c r="C73" s="768"/>
      <c r="D73" s="768"/>
      <c r="E73" s="768"/>
      <c r="F73" s="768"/>
      <c r="G73" s="995"/>
      <c r="H73" s="995"/>
      <c r="I73" s="995"/>
      <c r="J73" s="995"/>
      <c r="K73" s="995"/>
      <c r="L73" s="995"/>
      <c r="M73" s="1498"/>
      <c r="N73" s="1028"/>
      <c r="O73" s="1028"/>
      <c r="P73" s="1035"/>
      <c r="Q73" s="955"/>
    </row>
    <row r="74" s="707" customFormat="1" ht="15.75" spans="1:17">
      <c r="A74" s="1007"/>
      <c r="B74" s="989"/>
      <c r="C74" s="997"/>
      <c r="D74" s="986"/>
      <c r="E74" s="986"/>
      <c r="F74" s="986"/>
      <c r="G74" s="986"/>
      <c r="H74" s="986"/>
      <c r="I74" s="986"/>
      <c r="J74" s="986"/>
      <c r="K74" s="986"/>
      <c r="L74" s="986"/>
      <c r="M74" s="1036"/>
      <c r="N74" s="1037"/>
      <c r="O74" s="1037"/>
      <c r="P74" s="1035"/>
      <c r="Q74" s="955"/>
    </row>
    <row r="75" s="709" customFormat="1" ht="15.75" spans="1:17">
      <c r="A75" s="994"/>
      <c r="B75" s="987">
        <f>B25</f>
        <v>111</v>
      </c>
      <c r="C75" s="768"/>
      <c r="D75" s="768"/>
      <c r="E75" s="768"/>
      <c r="F75" s="768"/>
      <c r="G75" s="995"/>
      <c r="H75" s="996"/>
      <c r="I75" s="996"/>
      <c r="J75" s="996"/>
      <c r="K75" s="996"/>
      <c r="L75" s="1045"/>
      <c r="M75" s="1046"/>
      <c r="N75" s="1047"/>
      <c r="O75" s="1047"/>
      <c r="P75" s="1048"/>
      <c r="Q75" s="1077"/>
    </row>
    <row r="76" s="709" customFormat="1" ht="15.75" spans="1:17">
      <c r="A76" s="994"/>
      <c r="B76" s="989"/>
      <c r="C76" s="997"/>
      <c r="D76" s="997"/>
      <c r="E76" s="997"/>
      <c r="F76" s="997"/>
      <c r="G76" s="986"/>
      <c r="H76" s="986"/>
      <c r="I76" s="986"/>
      <c r="J76" s="986"/>
      <c r="K76" s="986"/>
      <c r="L76" s="986"/>
      <c r="M76" s="1036"/>
      <c r="N76" s="1047"/>
      <c r="O76" s="1047"/>
      <c r="P76" s="1048"/>
      <c r="Q76" s="1077"/>
    </row>
    <row r="77" ht="15" spans="1:17">
      <c r="A77" s="982" t="s">
        <v>1070</v>
      </c>
      <c r="B77" s="983" t="s">
        <v>1077</v>
      </c>
      <c r="C77" s="995"/>
      <c r="D77" s="995"/>
      <c r="E77" s="914"/>
      <c r="F77" s="914"/>
      <c r="G77" s="914"/>
      <c r="H77" s="914"/>
      <c r="I77" s="914"/>
      <c r="J77" s="914"/>
      <c r="K77" s="1031"/>
      <c r="L77" s="1032"/>
      <c r="M77" s="1033"/>
      <c r="N77" s="1034"/>
      <c r="O77" s="1034"/>
      <c r="P77" s="1035"/>
      <c r="Q77" s="955"/>
    </row>
    <row r="78" ht="15.75" spans="1:17">
      <c r="A78" s="984"/>
      <c r="B78" s="989"/>
      <c r="C78" s="990">
        <v>100</v>
      </c>
      <c r="D78" s="990">
        <f t="shared" ref="D78:M78" si="17">C78-$K26</f>
        <v>100</v>
      </c>
      <c r="E78" s="990">
        <f t="shared" si="17"/>
        <v>100</v>
      </c>
      <c r="F78" s="990">
        <f t="shared" si="17"/>
        <v>100</v>
      </c>
      <c r="G78" s="990">
        <f t="shared" si="17"/>
        <v>100</v>
      </c>
      <c r="H78" s="990">
        <f t="shared" si="17"/>
        <v>100</v>
      </c>
      <c r="I78" s="990">
        <f t="shared" si="17"/>
        <v>100</v>
      </c>
      <c r="J78" s="990">
        <f t="shared" si="17"/>
        <v>100</v>
      </c>
      <c r="K78" s="990">
        <f t="shared" si="17"/>
        <v>100</v>
      </c>
      <c r="L78" s="990">
        <f t="shared" si="17"/>
        <v>100</v>
      </c>
      <c r="M78" s="1041">
        <f t="shared" si="17"/>
        <v>100</v>
      </c>
      <c r="N78" s="1037"/>
      <c r="O78" s="1037"/>
      <c r="P78" s="1035"/>
      <c r="Q78" s="955"/>
    </row>
    <row r="79" ht="15.75" spans="1:17">
      <c r="A79" s="984"/>
      <c r="B79" s="987" t="s">
        <v>1496</v>
      </c>
      <c r="C79" s="1006" t="str">
        <f>C80&amp;"(含)"&amp;"-"&amp;D80</f>
        <v>0.5(含)-0.6</v>
      </c>
      <c r="D79" s="1006" t="str">
        <f>D80&amp;"(含)"&amp;"-"&amp;E80</f>
        <v>0.6(含)-0.7</v>
      </c>
      <c r="E79" s="1006" t="str">
        <f>E80&amp;"(含)"&amp;"-"&amp;F80</f>
        <v>0.7(含)-0.8</v>
      </c>
      <c r="F79" s="1006" t="str">
        <f>F80&amp;"(含)"&amp;"-"&amp;G80</f>
        <v>0.8(含)-0.9</v>
      </c>
      <c r="G79" s="1006" t="str">
        <f>G80&amp;"(含)"&amp;"-"&amp;H80</f>
        <v>0.9(含)-1</v>
      </c>
      <c r="H79" s="1006"/>
      <c r="I79" s="988"/>
      <c r="J79" s="988"/>
      <c r="K79" s="1038"/>
      <c r="L79" s="1039"/>
      <c r="M79" s="1040"/>
      <c r="N79" s="1028"/>
      <c r="O79" s="1028"/>
      <c r="P79" s="1035"/>
      <c r="Q79" s="955"/>
    </row>
    <row r="80" ht="15" spans="1:17">
      <c r="A80" s="984"/>
      <c r="B80" s="991"/>
      <c r="C80" s="369">
        <v>0.5</v>
      </c>
      <c r="D80" s="369">
        <v>0.6</v>
      </c>
      <c r="E80" s="369">
        <v>0.7</v>
      </c>
      <c r="F80" s="369">
        <v>0.8</v>
      </c>
      <c r="G80" s="369">
        <v>0.9</v>
      </c>
      <c r="H80" s="369">
        <v>1</v>
      </c>
      <c r="I80" s="1480"/>
      <c r="J80" s="1480"/>
      <c r="K80" s="1499"/>
      <c r="L80" s="1500"/>
      <c r="M80" s="1501"/>
      <c r="N80" s="1028"/>
      <c r="O80" s="1028"/>
      <c r="P80" s="1035"/>
      <c r="Q80" s="955"/>
    </row>
    <row r="81" s="709" customFormat="1" ht="15.75" spans="1:17">
      <c r="A81" s="994"/>
      <c r="B81" s="989"/>
      <c r="C81" s="1008">
        <v>100</v>
      </c>
      <c r="D81" s="990">
        <f t="shared" ref="D81:M81" si="18">C81+$K27</f>
        <v>100</v>
      </c>
      <c r="E81" s="990">
        <f t="shared" si="18"/>
        <v>100</v>
      </c>
      <c r="F81" s="990">
        <f t="shared" si="18"/>
        <v>100</v>
      </c>
      <c r="G81" s="990">
        <f t="shared" si="18"/>
        <v>100</v>
      </c>
      <c r="H81" s="990">
        <f t="shared" si="18"/>
        <v>100</v>
      </c>
      <c r="I81" s="990">
        <f t="shared" si="18"/>
        <v>100</v>
      </c>
      <c r="J81" s="990">
        <f t="shared" si="18"/>
        <v>100</v>
      </c>
      <c r="K81" s="990">
        <f t="shared" si="18"/>
        <v>100</v>
      </c>
      <c r="L81" s="990">
        <f t="shared" si="18"/>
        <v>100</v>
      </c>
      <c r="M81" s="990">
        <f t="shared" si="18"/>
        <v>100</v>
      </c>
      <c r="N81" s="1037"/>
      <c r="O81" s="1037"/>
      <c r="P81" s="1048"/>
      <c r="Q81" s="1077"/>
    </row>
    <row r="82" ht="15.75" spans="1:17">
      <c r="A82" s="1018"/>
      <c r="B82" s="991" t="s">
        <v>1497</v>
      </c>
      <c r="C82" s="995"/>
      <c r="D82" s="995"/>
      <c r="E82" s="1011"/>
      <c r="F82" s="1011"/>
      <c r="G82" s="1011"/>
      <c r="H82" s="1011"/>
      <c r="I82" s="1011"/>
      <c r="J82" s="1011"/>
      <c r="K82" s="1064"/>
      <c r="L82" s="1065"/>
      <c r="M82" s="1066"/>
      <c r="N82" s="1034"/>
      <c r="O82" s="1034"/>
      <c r="P82" s="1035"/>
      <c r="Q82" s="955"/>
    </row>
    <row r="83" ht="15.75" spans="1:17">
      <c r="A83" s="984"/>
      <c r="B83" s="989"/>
      <c r="C83" s="990">
        <v>100</v>
      </c>
      <c r="D83" s="990">
        <f t="shared" ref="D83:M83" si="19">C83-$K28</f>
        <v>100</v>
      </c>
      <c r="E83" s="990">
        <f t="shared" si="19"/>
        <v>100</v>
      </c>
      <c r="F83" s="990">
        <f t="shared" si="19"/>
        <v>100</v>
      </c>
      <c r="G83" s="990">
        <f t="shared" si="19"/>
        <v>100</v>
      </c>
      <c r="H83" s="990">
        <f t="shared" si="19"/>
        <v>100</v>
      </c>
      <c r="I83" s="990">
        <f t="shared" si="19"/>
        <v>100</v>
      </c>
      <c r="J83" s="990">
        <f t="shared" si="19"/>
        <v>100</v>
      </c>
      <c r="K83" s="990">
        <f t="shared" si="19"/>
        <v>100</v>
      </c>
      <c r="L83" s="990">
        <f t="shared" si="19"/>
        <v>100</v>
      </c>
      <c r="M83" s="1041">
        <f t="shared" si="19"/>
        <v>100</v>
      </c>
      <c r="N83" s="1037"/>
      <c r="O83" s="1037"/>
      <c r="P83" s="1035"/>
      <c r="Q83" s="955"/>
    </row>
    <row r="84" ht="15.75" spans="1:17">
      <c r="A84" s="1018"/>
      <c r="B84" s="987" t="s">
        <v>1505</v>
      </c>
      <c r="C84" s="995"/>
      <c r="D84" s="995"/>
      <c r="E84" s="995"/>
      <c r="F84" s="995"/>
      <c r="G84" s="995"/>
      <c r="H84" s="995"/>
      <c r="I84" s="1011"/>
      <c r="J84" s="1011"/>
      <c r="K84" s="1064"/>
      <c r="L84" s="1065"/>
      <c r="M84" s="1066"/>
      <c r="N84" s="1034"/>
      <c r="O84" s="1034"/>
      <c r="P84" s="1035"/>
      <c r="Q84" s="955"/>
    </row>
    <row r="85" ht="15.75" spans="1:17">
      <c r="A85" s="984"/>
      <c r="B85" s="989"/>
      <c r="C85" s="1008">
        <v>100</v>
      </c>
      <c r="D85" s="990">
        <f t="shared" ref="D85:M85" si="20">C85+$K29</f>
        <v>100</v>
      </c>
      <c r="E85" s="990">
        <f t="shared" si="20"/>
        <v>100</v>
      </c>
      <c r="F85" s="990">
        <f t="shared" si="20"/>
        <v>100</v>
      </c>
      <c r="G85" s="990">
        <f t="shared" si="20"/>
        <v>100</v>
      </c>
      <c r="H85" s="990">
        <f t="shared" si="20"/>
        <v>100</v>
      </c>
      <c r="I85" s="990">
        <f t="shared" si="20"/>
        <v>100</v>
      </c>
      <c r="J85" s="990">
        <f t="shared" si="20"/>
        <v>100</v>
      </c>
      <c r="K85" s="990">
        <f t="shared" si="20"/>
        <v>100</v>
      </c>
      <c r="L85" s="990">
        <f t="shared" si="20"/>
        <v>100</v>
      </c>
      <c r="M85" s="990">
        <f t="shared" si="20"/>
        <v>100</v>
      </c>
      <c r="N85" s="1037"/>
      <c r="O85" s="1037"/>
      <c r="P85" s="1035"/>
      <c r="Q85" s="955"/>
    </row>
    <row r="86" ht="15.75" spans="1:17">
      <c r="A86" s="1018"/>
      <c r="B86" s="991" t="s">
        <v>1506</v>
      </c>
      <c r="C86" s="1006" t="str">
        <f t="shared" ref="C86:L86" si="21">C87&amp;"(含)"&amp;"-"&amp;D87</f>
        <v>(含)-</v>
      </c>
      <c r="D86" s="1006" t="str">
        <f t="shared" si="21"/>
        <v>(含)-</v>
      </c>
      <c r="E86" s="1006" t="str">
        <f t="shared" si="21"/>
        <v>(含)-</v>
      </c>
      <c r="F86" s="1006" t="str">
        <f t="shared" si="21"/>
        <v>(含)-</v>
      </c>
      <c r="G86" s="1006" t="str">
        <f t="shared" si="21"/>
        <v>(含)-</v>
      </c>
      <c r="H86" s="1006" t="str">
        <f t="shared" si="21"/>
        <v>(含)-</v>
      </c>
      <c r="I86" s="1006" t="str">
        <f t="shared" si="21"/>
        <v>(含)-</v>
      </c>
      <c r="J86" s="1006" t="str">
        <f t="shared" si="21"/>
        <v>(含)-</v>
      </c>
      <c r="K86" s="1006" t="str">
        <f t="shared" si="21"/>
        <v>(含)-</v>
      </c>
      <c r="L86" s="1006" t="str">
        <f t="shared" si="21"/>
        <v>(含)-</v>
      </c>
      <c r="M86" s="1059" t="str">
        <f>M87&amp;"(含)"&amp;"-"&amp;P87</f>
        <v>(含)-</v>
      </c>
      <c r="N86" s="1034"/>
      <c r="O86" s="1034"/>
      <c r="P86" s="1035"/>
      <c r="Q86" s="955"/>
    </row>
    <row r="87" ht="15" spans="1:17">
      <c r="A87" s="1018"/>
      <c r="B87" s="991"/>
      <c r="C87" s="971"/>
      <c r="D87" s="971"/>
      <c r="E87" s="971"/>
      <c r="F87" s="971"/>
      <c r="G87" s="971"/>
      <c r="H87" s="971"/>
      <c r="I87" s="971"/>
      <c r="J87" s="1071"/>
      <c r="K87" s="1071"/>
      <c r="L87" s="1072"/>
      <c r="M87" s="1073"/>
      <c r="N87" s="1034"/>
      <c r="O87" s="1034"/>
      <c r="P87" s="1035"/>
      <c r="Q87" s="955"/>
    </row>
    <row r="88" ht="15.75" spans="1:17">
      <c r="A88" s="984"/>
      <c r="B88" s="989"/>
      <c r="C88" s="997"/>
      <c r="D88" s="986"/>
      <c r="E88" s="986"/>
      <c r="F88" s="986"/>
      <c r="G88" s="986"/>
      <c r="H88" s="986"/>
      <c r="I88" s="986"/>
      <c r="J88" s="986"/>
      <c r="K88" s="986"/>
      <c r="L88" s="986"/>
      <c r="M88" s="986"/>
      <c r="N88" s="1037"/>
      <c r="O88" s="1037"/>
      <c r="P88" s="1035"/>
      <c r="Q88" s="955"/>
    </row>
    <row r="89" s="709" customFormat="1" ht="15.75" spans="1:17">
      <c r="A89" s="1014"/>
      <c r="B89" s="987" t="s">
        <v>1507</v>
      </c>
      <c r="C89" s="995"/>
      <c r="D89" s="995"/>
      <c r="E89" s="995"/>
      <c r="F89" s="995"/>
      <c r="G89" s="995"/>
      <c r="H89" s="995"/>
      <c r="I89" s="995"/>
      <c r="J89" s="995"/>
      <c r="K89" s="995"/>
      <c r="L89" s="995"/>
      <c r="M89" s="1498"/>
      <c r="N89" s="1047"/>
      <c r="O89" s="1047"/>
      <c r="P89" s="1048"/>
      <c r="Q89" s="1077"/>
    </row>
    <row r="90" s="709" customFormat="1" ht="15.75" spans="1:17">
      <c r="A90" s="994"/>
      <c r="B90" s="989"/>
      <c r="C90" s="997"/>
      <c r="D90" s="986"/>
      <c r="E90" s="986"/>
      <c r="F90" s="986"/>
      <c r="G90" s="986"/>
      <c r="H90" s="986"/>
      <c r="I90" s="986"/>
      <c r="J90" s="986"/>
      <c r="K90" s="986"/>
      <c r="L90" s="986"/>
      <c r="M90" s="1036"/>
      <c r="N90" s="1047"/>
      <c r="O90" s="1047"/>
      <c r="P90" s="1048"/>
      <c r="Q90" s="1077"/>
    </row>
    <row r="91" ht="15.75" spans="1:17">
      <c r="A91" s="1018"/>
      <c r="B91" s="987">
        <f>B32</f>
        <v>111</v>
      </c>
      <c r="C91" s="768"/>
      <c r="D91" s="768"/>
      <c r="E91" s="768"/>
      <c r="F91" s="768"/>
      <c r="G91" s="995"/>
      <c r="H91" s="996"/>
      <c r="I91" s="996"/>
      <c r="J91" s="996"/>
      <c r="K91" s="996"/>
      <c r="L91" s="1045"/>
      <c r="M91" s="1046"/>
      <c r="N91" s="1034"/>
      <c r="O91" s="1034"/>
      <c r="P91" s="1035"/>
      <c r="Q91" s="955"/>
    </row>
    <row r="92" ht="15.75" spans="1:17">
      <c r="A92" s="984"/>
      <c r="B92" s="989"/>
      <c r="C92" s="997"/>
      <c r="D92" s="986"/>
      <c r="E92" s="986"/>
      <c r="F92" s="986"/>
      <c r="G92" s="997"/>
      <c r="H92" s="998"/>
      <c r="I92" s="998"/>
      <c r="J92" s="998"/>
      <c r="K92" s="998"/>
      <c r="L92" s="998"/>
      <c r="M92" s="1049"/>
      <c r="N92" s="1037"/>
      <c r="O92" s="1037"/>
      <c r="P92" s="1035"/>
      <c r="Q92" s="955"/>
    </row>
    <row r="93" ht="15.75" spans="1:17">
      <c r="A93" s="1018"/>
      <c r="B93" s="987">
        <f>B33</f>
        <v>111</v>
      </c>
      <c r="C93" s="768"/>
      <c r="D93" s="768"/>
      <c r="E93" s="768"/>
      <c r="F93" s="768"/>
      <c r="G93" s="995"/>
      <c r="H93" s="996"/>
      <c r="I93" s="996"/>
      <c r="J93" s="996"/>
      <c r="K93" s="996"/>
      <c r="L93" s="1045"/>
      <c r="M93" s="1046"/>
      <c r="N93" s="1034"/>
      <c r="O93" s="1034"/>
      <c r="P93" s="1035"/>
      <c r="Q93" s="955"/>
    </row>
    <row r="94" ht="15.75" spans="1:17">
      <c r="A94" s="984"/>
      <c r="B94" s="989"/>
      <c r="C94" s="997"/>
      <c r="D94" s="986"/>
      <c r="E94" s="986"/>
      <c r="F94" s="986"/>
      <c r="G94" s="997"/>
      <c r="H94" s="998"/>
      <c r="I94" s="998"/>
      <c r="J94" s="998"/>
      <c r="K94" s="998"/>
      <c r="L94" s="998"/>
      <c r="M94" s="1049"/>
      <c r="N94" s="1037"/>
      <c r="O94" s="1037"/>
      <c r="P94" s="1035"/>
      <c r="Q94" s="955"/>
    </row>
    <row r="95" ht="15.75" spans="1:17">
      <c r="A95" s="1018"/>
      <c r="B95" s="1496">
        <f>B34</f>
        <v>111</v>
      </c>
      <c r="C95" s="768"/>
      <c r="D95" s="768"/>
      <c r="E95" s="768"/>
      <c r="F95" s="768"/>
      <c r="G95" s="995"/>
      <c r="H95" s="996"/>
      <c r="I95" s="996"/>
      <c r="J95" s="996"/>
      <c r="K95" s="996"/>
      <c r="L95" s="1045"/>
      <c r="M95" s="1046"/>
      <c r="N95" s="1037"/>
      <c r="O95" s="1037"/>
      <c r="P95" s="1502"/>
      <c r="Q95" s="1503"/>
    </row>
    <row r="96" ht="15.75" spans="1:17">
      <c r="A96" s="984"/>
      <c r="B96" s="989"/>
      <c r="C96" s="997"/>
      <c r="D96" s="997"/>
      <c r="E96" s="997"/>
      <c r="F96" s="997"/>
      <c r="G96" s="997"/>
      <c r="H96" s="998"/>
      <c r="I96" s="998"/>
      <c r="J96" s="998"/>
      <c r="K96" s="998"/>
      <c r="L96" s="998"/>
      <c r="M96" s="1049"/>
      <c r="N96" s="1037"/>
      <c r="O96" s="1037"/>
      <c r="P96" s="1035"/>
      <c r="Q96" s="955"/>
    </row>
  </sheetData>
  <sheetProtection password="CEE9" sheet="1" formatCells="0" formatColumns="0" formatRows="0" objects="1" scenarios="1"/>
  <mergeCells count="40">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35:Q35"/>
    <mergeCell ref="R35:S35"/>
    <mergeCell ref="T35:U35"/>
    <mergeCell ref="V35:W35"/>
    <mergeCell ref="P36:Q36"/>
    <mergeCell ref="R36:S36"/>
    <mergeCell ref="T36:U36"/>
    <mergeCell ref="V36:W36"/>
    <mergeCell ref="P37:Q37"/>
    <mergeCell ref="R37:W37"/>
    <mergeCell ref="P9:P13"/>
    <mergeCell ref="P14:P25"/>
    <mergeCell ref="P26:P34"/>
    <mergeCell ref="Y9:Y13"/>
    <mergeCell ref="Y14:Y25"/>
    <mergeCell ref="Y26:Y34"/>
    <mergeCell ref="AA4:AA6"/>
    <mergeCell ref="AB4:AB6"/>
    <mergeCell ref="AC4:AC6"/>
    <mergeCell ref="Y4:Z6"/>
    <mergeCell ref="P4:Q6"/>
    <mergeCell ref="R4:S6"/>
    <mergeCell ref="T4:U6"/>
    <mergeCell ref="V4:W6"/>
  </mergeCells>
  <conditionalFormatting sqref="F36">
    <cfRule type="expression" dxfId="5" priority="4">
      <formula>$D$36="简单平均"</formula>
    </cfRule>
  </conditionalFormatting>
  <conditionalFormatting sqref="H36">
    <cfRule type="expression" dxfId="5" priority="3">
      <formula>$D$36="简单平均"</formula>
    </cfRule>
  </conditionalFormatting>
  <conditionalFormatting sqref="J36">
    <cfRule type="expression" dxfId="5" priority="2">
      <formula>$D$36="简单平均"</formula>
    </cfRule>
  </conditionalFormatting>
  <conditionalFormatting sqref="E40">
    <cfRule type="expression" dxfId="8" priority="13" stopIfTrue="1">
      <formula>$F$40="超过30%"</formula>
    </cfRule>
  </conditionalFormatting>
  <conditionalFormatting sqref="G40">
    <cfRule type="expression" dxfId="8" priority="9" stopIfTrue="1">
      <formula>$H$52+$H$40="超过30%"</formula>
    </cfRule>
  </conditionalFormatting>
  <conditionalFormatting sqref="I40">
    <cfRule type="expression" dxfId="8" priority="7" stopIfTrue="1">
      <formula>$J$40="超过30%"</formula>
    </cfRule>
  </conditionalFormatting>
  <conditionalFormatting sqref="E41">
    <cfRule type="expression" dxfId="8" priority="11" stopIfTrue="1">
      <formula>$F$41="超过20%"</formula>
    </cfRule>
  </conditionalFormatting>
  <conditionalFormatting sqref="G41">
    <cfRule type="expression" dxfId="8" priority="8" stopIfTrue="1">
      <formula>$H$53+$H$41="超过20%"</formula>
    </cfRule>
  </conditionalFormatting>
  <conditionalFormatting sqref="I41">
    <cfRule type="expression" dxfId="8" priority="6" stopIfTrue="1">
      <formula>$J$41="超过20%"</formula>
    </cfRule>
  </conditionalFormatting>
  <conditionalFormatting sqref="E42">
    <cfRule type="expression" dxfId="8" priority="10" stopIfTrue="1">
      <formula>$F$42="超过30%"</formula>
    </cfRule>
  </conditionalFormatting>
  <conditionalFormatting sqref="F42">
    <cfRule type="containsText" dxfId="9" priority="15" stopIfTrue="1" operator="between" text="超过">
      <formula>NOT(ISERROR(SEARCH("超过",F42)))</formula>
    </cfRule>
  </conditionalFormatting>
  <conditionalFormatting sqref="G42">
    <cfRule type="expression" dxfId="8" priority="12" stopIfTrue="1">
      <formula>$H$54+$H$42="超过30%"</formula>
    </cfRule>
  </conditionalFormatting>
  <conditionalFormatting sqref="H42">
    <cfRule type="containsText" dxfId="9" priority="16" stopIfTrue="1" operator="between" text="超过">
      <formula>NOT(ISERROR(SEARCH("超过",H42)))</formula>
    </cfRule>
  </conditionalFormatting>
  <conditionalFormatting sqref="I42">
    <cfRule type="expression" dxfId="8" priority="5" stopIfTrue="1">
      <formula>$J$42="超过30%"</formula>
    </cfRule>
  </conditionalFormatting>
  <conditionalFormatting sqref="J42">
    <cfRule type="containsText" dxfId="9" priority="17" stopIfTrue="1" operator="between" text="超过">
      <formula>NOT(ISERROR(SEARCH("超过",J42)))</formula>
    </cfRule>
  </conditionalFormatting>
  <conditionalFormatting sqref="F7:F34 H7:H34 J7:J34">
    <cfRule type="cellIs" dxfId="10" priority="1" operator="notEqual">
      <formula>100</formula>
    </cfRule>
  </conditionalFormatting>
  <conditionalFormatting sqref="F40 H40 J40">
    <cfRule type="containsText" dxfId="9" priority="18" stopIfTrue="1" operator="between" text="超过">
      <formula>NOT(ISERROR(SEARCH("超过",F40)))</formula>
    </cfRule>
  </conditionalFormatting>
  <conditionalFormatting sqref="F41 H41 J41">
    <cfRule type="containsText" dxfId="9" priority="14" stopIfTrue="1" operator="between" text="超过">
      <formula>NOT(ISERROR(SEARCH("超过",F41)))</formula>
    </cfRule>
  </conditionalFormatting>
  <dataValidations count="18">
    <dataValidation type="list" allowBlank="1" showInputMessage="1" showErrorMessage="1" sqref="B1">
      <formula1>地类判定</formula1>
    </dataValidation>
    <dataValidation type="list" allowBlank="1" showInputMessage="1" showErrorMessage="1" sqref="C1">
      <formula1>"估价对象,仅计算典型户型"</formula1>
    </dataValidation>
    <dataValidation type="list" allowBlank="1" showInputMessage="1" showErrorMessage="1" sqref="C29 E29 G29 I29">
      <formula1>有无电梯</formula1>
    </dataValidation>
    <dataValidation type="list" allowBlank="1" showInputMessage="1" showErrorMessage="1" sqref="C22 E22 G22 I22">
      <formula1>仓储楼层</formula1>
    </dataValidation>
    <dataValidation type="list" allowBlank="1" showInputMessage="1" showErrorMessage="1" sqref="E1">
      <formula1>"售价,租金"</formula1>
    </dataValidation>
    <dataValidation type="list" allowBlank="1" showInputMessage="1" showErrorMessage="1" sqref="D2">
      <formula1>"需扣减承租人权益,——"</formula1>
    </dataValidation>
    <dataValidation type="list" allowBlank="1" showInputMessage="1" showErrorMessage="1" sqref="G2">
      <formula1>估价方法</formula1>
    </dataValidation>
    <dataValidation type="list" allowBlank="1" showInputMessage="1" showErrorMessage="1" sqref="C8 E8 G8 I8">
      <formula1>仓储交易情况</formula1>
    </dataValidation>
    <dataValidation type="list" allowBlank="1" showInputMessage="1" showErrorMessage="1" sqref="E9 G9 I9">
      <formula1>仓储用途</formula1>
    </dataValidation>
    <dataValidation type="list" allowBlank="1" showInputMessage="1" showErrorMessage="1" sqref="C10 E10 G10 I10">
      <formula1>土地年限区间</formula1>
    </dataValidation>
    <dataValidation type="list" allowBlank="1" showInputMessage="1" showErrorMessage="1" sqref="C26 E26 G26 I26">
      <formula1>仓储公共部分装修</formula1>
    </dataValidation>
    <dataValidation type="list" allowBlank="1" showInputMessage="1" showErrorMessage="1" sqref="C15 E15 G15 I15">
      <formula1>交通便捷度</formula1>
    </dataValidation>
    <dataValidation type="list" allowBlank="1" showInputMessage="1" showErrorMessage="1" sqref="C17 E17 G17 I17">
      <formula1>公共配套设施</formula1>
    </dataValidation>
    <dataValidation type="list" allowBlank="1" showInputMessage="1" showErrorMessage="1" sqref="C19 E19 G19 I19">
      <formula1>基础设施水平</formula1>
    </dataValidation>
    <dataValidation type="list" allowBlank="1" showInputMessage="1" showErrorMessage="1" sqref="C21 E21 G21 I21">
      <formula1>环境</formula1>
    </dataValidation>
    <dataValidation type="list" allowBlank="1" showInputMessage="1" showErrorMessage="1" sqref="C28 E28 G28 I28">
      <formula1>仓储物业等级</formula1>
    </dataValidation>
    <dataValidation type="list" allowBlank="1" showInputMessage="1" showErrorMessage="1" sqref="C31 E31 G31 I31">
      <formula1>是否封闭</formula1>
    </dataValidation>
    <dataValidation type="list" allowBlank="1" showInputMessage="1" showErrorMessage="1" sqref="D36">
      <formula1>"简单平均,加权平均"</formula1>
    </dataValidation>
  </dataValidations>
  <pageMargins left="0.708661417322835" right="0.708661417322835" top="1.06299212598425" bottom="0.94488188976378" header="0.31496062992126" footer="0.31496062992126"/>
  <pageSetup paperSize="9" scale="52" fitToHeight="0" orientation="portrait"/>
  <headerFooter/>
  <legacyDrawing r:id="rId2"/>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5">
    <tabColor rgb="FF92D050"/>
    <pageSetUpPr fitToPage="1"/>
  </sheetPr>
  <dimension ref="A1:AD132"/>
  <sheetViews>
    <sheetView view="pageBreakPreview" zoomScale="70" zoomScaleNormal="60" workbookViewId="0">
      <selection activeCell="C13" sqref="C13:H13"/>
    </sheetView>
  </sheetViews>
  <sheetFormatPr defaultColWidth="9" defaultRowHeight="14.25"/>
  <cols>
    <col min="1" max="1" width="11.875" style="581" customWidth="1"/>
    <col min="2" max="2" width="15.75" style="581" customWidth="1"/>
    <col min="3" max="3" width="14.375" style="581" customWidth="1"/>
    <col min="4" max="4" width="12.25" style="581" customWidth="1"/>
    <col min="5" max="5" width="14.375" style="581" customWidth="1"/>
    <col min="6" max="6" width="12.25" style="581" customWidth="1"/>
    <col min="7" max="7" width="14.5" style="581" customWidth="1"/>
    <col min="8" max="8" width="12.25" style="581" customWidth="1"/>
    <col min="9" max="9" width="14.5" style="581" customWidth="1"/>
    <col min="10" max="10" width="12.25" style="581" customWidth="1"/>
    <col min="11" max="11" width="12.25" style="1087" customWidth="1"/>
    <col min="12" max="12" width="12.25" style="1088" customWidth="1"/>
    <col min="13" max="15" width="12.25" style="581" customWidth="1"/>
    <col min="16" max="16" width="4.75" style="581" customWidth="1"/>
    <col min="17" max="17" width="19.5" style="581" customWidth="1"/>
    <col min="18" max="22" width="6.125" style="581" customWidth="1"/>
    <col min="23" max="23" width="5.75" style="581" customWidth="1"/>
    <col min="24" max="24" width="4.25" style="581" customWidth="1"/>
    <col min="25" max="25" width="3.5" style="581" customWidth="1"/>
    <col min="26" max="26" width="19.75" style="581" customWidth="1"/>
    <col min="27" max="28" width="9.375" style="581" customWidth="1"/>
    <col min="29" max="16384" width="9" style="581"/>
  </cols>
  <sheetData>
    <row r="1" s="1079" customFormat="1" ht="28.5" customHeight="1" spans="1:30">
      <c r="A1" s="1089" t="s">
        <v>1508</v>
      </c>
      <c r="B1" s="1090"/>
      <c r="C1" s="1091" t="s">
        <v>1509</v>
      </c>
      <c r="D1" s="1090"/>
      <c r="E1" s="1090"/>
      <c r="F1" s="1092" t="s">
        <v>1030</v>
      </c>
      <c r="G1" s="1090"/>
      <c r="H1" s="1090"/>
      <c r="I1" s="1090"/>
      <c r="J1" s="1090"/>
      <c r="K1" s="1229"/>
      <c r="L1" s="1230"/>
      <c r="M1" s="1090"/>
      <c r="N1" s="1090"/>
      <c r="O1" s="1090"/>
      <c r="P1" s="1231"/>
      <c r="Q1" s="1231"/>
      <c r="R1" s="1231"/>
      <c r="S1" s="1231"/>
      <c r="T1" s="1231"/>
      <c r="U1" s="1231"/>
      <c r="V1" s="1231"/>
      <c r="W1" s="1231"/>
      <c r="X1" s="1231"/>
      <c r="Y1" s="1231"/>
      <c r="Z1" s="1231"/>
      <c r="AA1" s="1231"/>
      <c r="AB1" s="1231"/>
      <c r="AC1" s="1304"/>
      <c r="AD1" s="1305"/>
    </row>
    <row r="2" s="1079" customFormat="1" ht="28.5" customHeight="1" spans="1:30">
      <c r="A2" s="401" t="s">
        <v>868</v>
      </c>
      <c r="B2" s="1093" t="e">
        <f>F66</f>
        <v>#DIV/0!</v>
      </c>
      <c r="C2" s="1094" t="s">
        <v>1510</v>
      </c>
      <c r="D2" s="1095"/>
      <c r="E2" s="1095"/>
      <c r="F2" s="1096"/>
      <c r="G2" s="1095"/>
      <c r="H2" s="1095"/>
      <c r="I2" s="1095"/>
      <c r="J2" s="1095"/>
      <c r="K2" s="1232"/>
      <c r="L2" s="1233"/>
      <c r="M2" s="1095"/>
      <c r="N2" s="1095"/>
      <c r="O2" s="1095"/>
      <c r="P2" s="1231"/>
      <c r="Q2" s="1231"/>
      <c r="R2" s="1231"/>
      <c r="S2" s="1231"/>
      <c r="T2" s="1231"/>
      <c r="U2" s="1231"/>
      <c r="V2" s="1231"/>
      <c r="W2" s="1231"/>
      <c r="X2" s="1231"/>
      <c r="Y2" s="1231"/>
      <c r="Z2" s="1231"/>
      <c r="AA2" s="1231"/>
      <c r="AB2" s="1231"/>
      <c r="AC2" s="1304"/>
      <c r="AD2" s="1305"/>
    </row>
    <row r="3" s="1079" customFormat="1" ht="28.5" customHeight="1" spans="1:29">
      <c r="A3" s="402" t="s">
        <v>869</v>
      </c>
      <c r="B3" s="1097" t="e">
        <f>ROUND(B2/'数据-取费表'!B5,0)</f>
        <v>#DIV/0!</v>
      </c>
      <c r="C3" s="1094" t="s">
        <v>870</v>
      </c>
      <c r="D3" s="1095"/>
      <c r="E3" s="1095"/>
      <c r="F3" s="1096"/>
      <c r="G3" s="1095"/>
      <c r="H3" s="1095"/>
      <c r="I3" s="1095"/>
      <c r="J3" s="1095"/>
      <c r="K3" s="1232"/>
      <c r="L3" s="1233"/>
      <c r="M3" s="1095"/>
      <c r="N3" s="1095"/>
      <c r="O3" s="1095"/>
      <c r="P3" s="1231"/>
      <c r="Q3" s="1231"/>
      <c r="R3" s="1231"/>
      <c r="S3" s="1231"/>
      <c r="T3" s="1231"/>
      <c r="U3" s="1231"/>
      <c r="V3" s="1231"/>
      <c r="W3" s="1231"/>
      <c r="X3" s="1231"/>
      <c r="Y3" s="1231"/>
      <c r="Z3" s="1231"/>
      <c r="AA3" s="1231"/>
      <c r="AB3" s="1306"/>
      <c r="AC3" s="1307"/>
    </row>
    <row r="4" ht="15" spans="1:29">
      <c r="A4" s="1098" t="s">
        <v>1032</v>
      </c>
      <c r="B4" s="1099"/>
      <c r="C4" s="602" t="s">
        <v>1033</v>
      </c>
      <c r="D4" s="612"/>
      <c r="E4" s="1100" t="s">
        <v>1034</v>
      </c>
      <c r="F4" s="1101"/>
      <c r="G4" s="602" t="s">
        <v>1035</v>
      </c>
      <c r="H4" s="612"/>
      <c r="I4" s="602" t="s">
        <v>1036</v>
      </c>
      <c r="J4" s="612"/>
      <c r="K4" s="1234" t="s">
        <v>1037</v>
      </c>
      <c r="L4" s="1235"/>
      <c r="M4" s="1236"/>
      <c r="N4" s="1236"/>
      <c r="O4" s="1236"/>
      <c r="P4" s="1237" t="s">
        <v>1038</v>
      </c>
      <c r="Q4" s="580"/>
      <c r="R4" s="1279" t="s">
        <v>1034</v>
      </c>
      <c r="S4" s="1280"/>
      <c r="T4" s="1279" t="s">
        <v>1035</v>
      </c>
      <c r="U4" s="1280"/>
      <c r="V4" s="1281" t="s">
        <v>1036</v>
      </c>
      <c r="W4" s="1281"/>
      <c r="X4" s="1282"/>
      <c r="Y4" s="1279" t="s">
        <v>1038</v>
      </c>
      <c r="Z4" s="1280"/>
      <c r="AA4" s="1308" t="s">
        <v>1034</v>
      </c>
      <c r="AB4" s="1282" t="s">
        <v>1035</v>
      </c>
      <c r="AC4" s="1308" t="s">
        <v>1036</v>
      </c>
    </row>
    <row r="5" ht="15" spans="1:29">
      <c r="A5" s="1102"/>
      <c r="B5" s="1103"/>
      <c r="C5" s="1104" t="s">
        <v>1039</v>
      </c>
      <c r="D5" s="1105"/>
      <c r="E5" s="1106" t="s">
        <v>1470</v>
      </c>
      <c r="F5" s="1107"/>
      <c r="G5" s="1104" t="s">
        <v>1471</v>
      </c>
      <c r="H5" s="1105"/>
      <c r="I5" s="1104" t="s">
        <v>1472</v>
      </c>
      <c r="J5" s="1105"/>
      <c r="K5" s="1234"/>
      <c r="L5" s="1235"/>
      <c r="M5" s="1236"/>
      <c r="N5" s="1236"/>
      <c r="O5" s="1236"/>
      <c r="P5" s="1238"/>
      <c r="Q5" s="1283"/>
      <c r="R5" s="1284"/>
      <c r="S5" s="1285"/>
      <c r="T5" s="1284"/>
      <c r="U5" s="1285"/>
      <c r="V5" s="1281"/>
      <c r="W5" s="1281"/>
      <c r="X5" s="1282"/>
      <c r="Y5" s="1284"/>
      <c r="Z5" s="1285"/>
      <c r="AA5" s="1282"/>
      <c r="AB5" s="1282"/>
      <c r="AC5" s="1282"/>
    </row>
    <row r="6" ht="15.75" spans="1:29">
      <c r="A6" s="1108"/>
      <c r="B6" s="1109"/>
      <c r="C6" s="1110" t="s">
        <v>1041</v>
      </c>
      <c r="D6" s="1111"/>
      <c r="E6" s="1112" t="s">
        <v>1041</v>
      </c>
      <c r="F6" s="1113"/>
      <c r="G6" s="1110" t="s">
        <v>1041</v>
      </c>
      <c r="H6" s="1111"/>
      <c r="I6" s="1110" t="s">
        <v>1041</v>
      </c>
      <c r="J6" s="1111"/>
      <c r="K6" s="1234" t="s">
        <v>1042</v>
      </c>
      <c r="L6" s="1235"/>
      <c r="M6" s="1236"/>
      <c r="N6" s="1236"/>
      <c r="O6" s="1236"/>
      <c r="P6" s="1239"/>
      <c r="Q6" s="1286"/>
      <c r="R6" s="1284"/>
      <c r="S6" s="1285"/>
      <c r="T6" s="1287"/>
      <c r="U6" s="1288"/>
      <c r="V6" s="1281"/>
      <c r="W6" s="1281"/>
      <c r="X6" s="1282"/>
      <c r="Y6" s="1287"/>
      <c r="Z6" s="1288"/>
      <c r="AA6" s="1309"/>
      <c r="AB6" s="1309"/>
      <c r="AC6" s="1309"/>
    </row>
    <row r="7" s="1080" customFormat="1" ht="15.75" spans="1:29">
      <c r="A7" s="1114" t="s">
        <v>1043</v>
      </c>
      <c r="B7" s="1115"/>
      <c r="C7" s="1116">
        <f>'数据-取费表'!B2</f>
        <v>44567</v>
      </c>
      <c r="D7" s="1117">
        <v>100</v>
      </c>
      <c r="E7" s="1118"/>
      <c r="F7" s="1119">
        <f>SUMIF(70:70,YEAR(E7)&amp;"-"&amp;INT((MONTH(E7)+2)/3),71:71)</f>
        <v>0</v>
      </c>
      <c r="G7" s="1120"/>
      <c r="H7" s="1117">
        <f>SUMIF(70:70,YEAR(G7)&amp;"-"&amp;INT((MONTH(G7)+2)/3),71:71)</f>
        <v>0</v>
      </c>
      <c r="I7" s="1120"/>
      <c r="J7" s="1117">
        <f>SUMIF(70:70,YEAR(I7)&amp;"-"&amp;INT((MONTH(I7)+2)/3),71:71)</f>
        <v>0</v>
      </c>
      <c r="K7" s="1240"/>
      <c r="L7" s="1235"/>
      <c r="M7" s="1241"/>
      <c r="N7" s="1241"/>
      <c r="O7" s="1241"/>
      <c r="P7" s="1242" t="s">
        <v>1044</v>
      </c>
      <c r="Q7" s="1289"/>
      <c r="R7" s="1290" t="s">
        <v>1045</v>
      </c>
      <c r="S7" s="1291">
        <f t="shared" ref="S7:S15" si="0">F7</f>
        <v>0</v>
      </c>
      <c r="T7" s="1290" t="s">
        <v>1045</v>
      </c>
      <c r="U7" s="1291">
        <f t="shared" ref="U7:U15" si="1">H7</f>
        <v>0</v>
      </c>
      <c r="V7" s="1290" t="s">
        <v>1045</v>
      </c>
      <c r="W7" s="1291">
        <f t="shared" ref="W7:W15" si="2">J7</f>
        <v>0</v>
      </c>
      <c r="X7" s="1292"/>
      <c r="Y7" s="1242" t="s">
        <v>1044</v>
      </c>
      <c r="Z7" s="1293"/>
      <c r="AA7" s="1310" t="e">
        <f>D7/F7</f>
        <v>#DIV/0!</v>
      </c>
      <c r="AB7" s="1310" t="e">
        <f>D7/H7</f>
        <v>#DIV/0!</v>
      </c>
      <c r="AC7" s="1310" t="e">
        <f>D7/J7</f>
        <v>#DIV/0!</v>
      </c>
    </row>
    <row r="8" s="1080" customFormat="1" ht="15.75" spans="1:29">
      <c r="A8" s="1114" t="s">
        <v>1046</v>
      </c>
      <c r="B8" s="1115"/>
      <c r="C8" s="1121" t="s">
        <v>1047</v>
      </c>
      <c r="D8" s="1117">
        <v>100</v>
      </c>
      <c r="E8" s="1121"/>
      <c r="F8" s="1119">
        <f>SUMIF(73:73,E8,74:74)-SUMIF(73:73,C8,74:74)+100</f>
        <v>0</v>
      </c>
      <c r="G8" s="1121"/>
      <c r="H8" s="1117">
        <f>SUMIF(73:73,G8,74:74)-SUMIF(73:73,C8,74:74)+100</f>
        <v>0</v>
      </c>
      <c r="I8" s="1121"/>
      <c r="J8" s="1117">
        <f>SUMIF(73:73,I8,74:74)-SUMIF(73:73,C8,74:74)+100</f>
        <v>0</v>
      </c>
      <c r="K8" s="1240"/>
      <c r="L8" s="1235"/>
      <c r="M8" s="1241"/>
      <c r="N8" s="1241"/>
      <c r="O8" s="1241"/>
      <c r="P8" s="1242" t="s">
        <v>1049</v>
      </c>
      <c r="Q8" s="1293"/>
      <c r="R8" s="1290" t="s">
        <v>1045</v>
      </c>
      <c r="S8" s="1291">
        <f t="shared" si="0"/>
        <v>0</v>
      </c>
      <c r="T8" s="1290" t="s">
        <v>1045</v>
      </c>
      <c r="U8" s="1291">
        <f t="shared" si="1"/>
        <v>0</v>
      </c>
      <c r="V8" s="1290" t="s">
        <v>1045</v>
      </c>
      <c r="W8" s="1291">
        <f t="shared" si="2"/>
        <v>0</v>
      </c>
      <c r="X8" s="1292"/>
      <c r="Y8" s="1242" t="s">
        <v>1049</v>
      </c>
      <c r="Z8" s="1293"/>
      <c r="AA8" s="1310" t="e">
        <f t="shared" ref="AA8:AA45" si="3">D8/F8</f>
        <v>#DIV/0!</v>
      </c>
      <c r="AB8" s="1310" t="e">
        <f t="shared" ref="AB8:AB45" si="4">D8/H8</f>
        <v>#DIV/0!</v>
      </c>
      <c r="AC8" s="1310" t="e">
        <f t="shared" ref="AC8:AC45" si="5">D8/J8</f>
        <v>#DIV/0!</v>
      </c>
    </row>
    <row r="9" s="1080" customFormat="1" spans="1:29">
      <c r="A9" s="1122" t="s">
        <v>1050</v>
      </c>
      <c r="B9" s="1123" t="s">
        <v>1051</v>
      </c>
      <c r="C9" s="1124"/>
      <c r="D9" s="1125">
        <v>100</v>
      </c>
      <c r="E9" s="1124"/>
      <c r="F9" s="1125">
        <f>SUMIF(75:75,E9,76:76)-SUMIF(75:75,C9,76:76)+100</f>
        <v>100</v>
      </c>
      <c r="G9" s="1124"/>
      <c r="H9" s="1125">
        <f>SUMIF(75:75,G9,76:76)-SUMIF(75:75,C9,76:76)+100</f>
        <v>100</v>
      </c>
      <c r="I9" s="1124"/>
      <c r="J9" s="1125">
        <f>SUMIF(75:75,I9,76:76)-SUMIF(75:75,C9,76:76)+100</f>
        <v>100</v>
      </c>
      <c r="K9" s="1240"/>
      <c r="L9" s="1235"/>
      <c r="M9" s="1241"/>
      <c r="N9" s="1241"/>
      <c r="O9" s="1243"/>
      <c r="P9" s="491" t="s">
        <v>1052</v>
      </c>
      <c r="Q9" s="1294" t="str">
        <f t="shared" ref="Q9:Q15" si="6">B9</f>
        <v>用途</v>
      </c>
      <c r="R9" s="1290" t="s">
        <v>1045</v>
      </c>
      <c r="S9" s="1291">
        <f t="shared" si="0"/>
        <v>100</v>
      </c>
      <c r="T9" s="1290" t="s">
        <v>1045</v>
      </c>
      <c r="U9" s="1291">
        <f t="shared" si="1"/>
        <v>100</v>
      </c>
      <c r="V9" s="1290" t="s">
        <v>1045</v>
      </c>
      <c r="W9" s="1291">
        <f t="shared" si="2"/>
        <v>100</v>
      </c>
      <c r="X9" s="1292"/>
      <c r="Y9" s="1294" t="s">
        <v>1053</v>
      </c>
      <c r="Z9" s="1311" t="str">
        <f t="shared" ref="Z9:Z15" si="7">Q9</f>
        <v>用途</v>
      </c>
      <c r="AA9" s="1310">
        <f t="shared" si="3"/>
        <v>1</v>
      </c>
      <c r="AB9" s="1310">
        <f t="shared" si="4"/>
        <v>1</v>
      </c>
      <c r="AC9" s="1310">
        <f t="shared" si="5"/>
        <v>1</v>
      </c>
    </row>
    <row r="10" s="1081" customFormat="1" ht="27" spans="1:29">
      <c r="A10" s="1126"/>
      <c r="B10" s="1127" t="s">
        <v>1054</v>
      </c>
      <c r="C10" s="1128"/>
      <c r="D10" s="1129">
        <v>100</v>
      </c>
      <c r="E10" s="1130"/>
      <c r="F10" s="1129">
        <f>ROUND(100/'数据-取费表'!B14,0)</f>
        <v>109</v>
      </c>
      <c r="G10" s="1131"/>
      <c r="H10" s="1129">
        <f>ROUND(100/'数据-取费表'!B14,0)</f>
        <v>109</v>
      </c>
      <c r="I10" s="1131"/>
      <c r="J10" s="1129">
        <f>ROUND(100/'数据-取费表'!B14,0)</f>
        <v>109</v>
      </c>
      <c r="K10" s="1244"/>
      <c r="L10" s="1245"/>
      <c r="M10" s="1246"/>
      <c r="N10" s="1246"/>
      <c r="O10" s="1247"/>
      <c r="P10" s="491"/>
      <c r="Q10" s="1294" t="str">
        <f t="shared" si="6"/>
        <v>土地使用年限（年）</v>
      </c>
      <c r="R10" s="1290" t="s">
        <v>1045</v>
      </c>
      <c r="S10" s="1291">
        <f t="shared" si="0"/>
        <v>109</v>
      </c>
      <c r="T10" s="1290" t="s">
        <v>1045</v>
      </c>
      <c r="U10" s="1291">
        <f t="shared" si="1"/>
        <v>109</v>
      </c>
      <c r="V10" s="1290" t="s">
        <v>1045</v>
      </c>
      <c r="W10" s="1291">
        <f t="shared" si="2"/>
        <v>109</v>
      </c>
      <c r="X10" s="1292"/>
      <c r="Y10" s="1294"/>
      <c r="Z10" s="1311" t="str">
        <f t="shared" si="7"/>
        <v>土地使用年限（年）</v>
      </c>
      <c r="AA10" s="1310">
        <f t="shared" si="3"/>
        <v>0.917431192660551</v>
      </c>
      <c r="AB10" s="1310">
        <f t="shared" si="4"/>
        <v>0.917431192660551</v>
      </c>
      <c r="AC10" s="1310">
        <f t="shared" si="5"/>
        <v>0.917431192660551</v>
      </c>
    </row>
    <row r="11" ht="15" spans="1:29">
      <c r="A11" s="504"/>
      <c r="B11" s="1127" t="s">
        <v>1056</v>
      </c>
      <c r="C11" s="1132"/>
      <c r="D11" s="1129">
        <v>100</v>
      </c>
      <c r="E11" s="1132"/>
      <c r="F11" s="1129" t="e">
        <f>LOOKUP(E11,80:80,81:81)-LOOKUP(C11,80:80,81:81)+100</f>
        <v>#N/A</v>
      </c>
      <c r="G11" s="1133"/>
      <c r="H11" s="1129" t="e">
        <f>LOOKUP(G11,80:80,81:81)-LOOKUP(C11,80:80,81:81)+100</f>
        <v>#N/A</v>
      </c>
      <c r="I11" s="1132"/>
      <c r="J11" s="1129" t="e">
        <f>LOOKUP(I11,80:80,81:81)-LOOKUP(C11,80:80,81:81)+100</f>
        <v>#N/A</v>
      </c>
      <c r="K11" s="1248"/>
      <c r="L11" s="1249"/>
      <c r="M11" s="1236"/>
      <c r="N11" s="1236"/>
      <c r="O11" s="1250"/>
      <c r="P11" s="491"/>
      <c r="Q11" s="1294" t="str">
        <f t="shared" si="6"/>
        <v>容积率</v>
      </c>
      <c r="R11" s="1290" t="s">
        <v>1045</v>
      </c>
      <c r="S11" s="1291" t="e">
        <f t="shared" si="0"/>
        <v>#N/A</v>
      </c>
      <c r="T11" s="1290" t="s">
        <v>1045</v>
      </c>
      <c r="U11" s="1291" t="e">
        <f t="shared" si="1"/>
        <v>#N/A</v>
      </c>
      <c r="V11" s="1290" t="s">
        <v>1045</v>
      </c>
      <c r="W11" s="1291" t="e">
        <f t="shared" si="2"/>
        <v>#N/A</v>
      </c>
      <c r="X11" s="1292"/>
      <c r="Y11" s="1294"/>
      <c r="Z11" s="1311" t="str">
        <f t="shared" si="7"/>
        <v>容积率</v>
      </c>
      <c r="AA11" s="1310" t="e">
        <f t="shared" si="3"/>
        <v>#N/A</v>
      </c>
      <c r="AB11" s="1310" t="e">
        <f t="shared" si="4"/>
        <v>#N/A</v>
      </c>
      <c r="AC11" s="1310" t="e">
        <f t="shared" si="5"/>
        <v>#N/A</v>
      </c>
    </row>
    <row r="12" s="1080" customFormat="1" ht="15" spans="1:29">
      <c r="A12" s="1134"/>
      <c r="B12" s="1135" t="s">
        <v>1511</v>
      </c>
      <c r="C12" s="1128"/>
      <c r="D12" s="1136">
        <v>100</v>
      </c>
      <c r="E12" s="1130"/>
      <c r="F12" s="1129">
        <f>SUMIF(82:82,E12,83:83)-SUMIF(82:82,C12,83:83)+100</f>
        <v>100</v>
      </c>
      <c r="G12" s="1131"/>
      <c r="H12" s="1129">
        <f>SUMIF(82:82,G12,83:83)-SUMIF(82:82,C12,83:83)+100</f>
        <v>100</v>
      </c>
      <c r="I12" s="1130"/>
      <c r="J12" s="1129">
        <f>SUMIF(82:82,I12,83:83)-SUMIF(82:82,C12,83:83)+100</f>
        <v>100</v>
      </c>
      <c r="K12" s="1244"/>
      <c r="L12" s="1235"/>
      <c r="M12" s="1241"/>
      <c r="N12" s="1241"/>
      <c r="O12" s="1243"/>
      <c r="P12" s="491"/>
      <c r="Q12" s="1294" t="str">
        <f t="shared" si="6"/>
        <v>配建</v>
      </c>
      <c r="R12" s="1290" t="s">
        <v>1045</v>
      </c>
      <c r="S12" s="1291">
        <f t="shared" si="0"/>
        <v>100</v>
      </c>
      <c r="T12" s="1290" t="s">
        <v>1045</v>
      </c>
      <c r="U12" s="1291">
        <f t="shared" si="1"/>
        <v>100</v>
      </c>
      <c r="V12" s="1290" t="s">
        <v>1045</v>
      </c>
      <c r="W12" s="1291">
        <f t="shared" si="2"/>
        <v>100</v>
      </c>
      <c r="X12" s="1292"/>
      <c r="Y12" s="1294"/>
      <c r="Z12" s="1311" t="str">
        <f t="shared" si="7"/>
        <v>配建</v>
      </c>
      <c r="AA12" s="1310">
        <f t="shared" si="3"/>
        <v>1</v>
      </c>
      <c r="AB12" s="1310">
        <f t="shared" si="4"/>
        <v>1</v>
      </c>
      <c r="AC12" s="1310">
        <f t="shared" si="5"/>
        <v>1</v>
      </c>
    </row>
    <row r="13" ht="15" spans="1:29">
      <c r="A13" s="504"/>
      <c r="B13" s="1135">
        <v>111</v>
      </c>
      <c r="C13" s="1137"/>
      <c r="D13" s="1138">
        <v>100</v>
      </c>
      <c r="E13" s="1139"/>
      <c r="F13" s="1129">
        <f>SUMIF(84:84,E13,85:85)-SUMIF(84:84,C13,85:85)+100</f>
        <v>100</v>
      </c>
      <c r="G13" s="1140"/>
      <c r="H13" s="1138">
        <f>SUMIF(84:84,G13,85:85)-SUMIF(84:84,C13,85:85)+100</f>
        <v>100</v>
      </c>
      <c r="I13" s="1140"/>
      <c r="J13" s="1138">
        <f>SUMIF(84:84,I13,85:85)-SUMIF(84:84,C13,85:85)+100</f>
        <v>100</v>
      </c>
      <c r="K13" s="1244"/>
      <c r="L13" s="1251"/>
      <c r="M13" s="1236"/>
      <c r="N13" s="1236"/>
      <c r="O13" s="1250"/>
      <c r="P13" s="491"/>
      <c r="Q13" s="1294">
        <f t="shared" si="6"/>
        <v>111</v>
      </c>
      <c r="R13" s="1290" t="s">
        <v>1045</v>
      </c>
      <c r="S13" s="1291">
        <f t="shared" si="0"/>
        <v>100</v>
      </c>
      <c r="T13" s="1290" t="s">
        <v>1045</v>
      </c>
      <c r="U13" s="1291">
        <f t="shared" si="1"/>
        <v>100</v>
      </c>
      <c r="V13" s="1290" t="s">
        <v>1045</v>
      </c>
      <c r="W13" s="1291">
        <f t="shared" si="2"/>
        <v>100</v>
      </c>
      <c r="X13" s="1292"/>
      <c r="Y13" s="1294"/>
      <c r="Z13" s="1311">
        <f t="shared" si="7"/>
        <v>111</v>
      </c>
      <c r="AA13" s="1310">
        <f t="shared" si="3"/>
        <v>1</v>
      </c>
      <c r="AB13" s="1310">
        <f t="shared" si="4"/>
        <v>1</v>
      </c>
      <c r="AC13" s="1310">
        <f t="shared" si="5"/>
        <v>1</v>
      </c>
    </row>
    <row r="14" ht="15.75" spans="1:29">
      <c r="A14" s="1141"/>
      <c r="B14" s="1142">
        <v>111</v>
      </c>
      <c r="C14" s="1143"/>
      <c r="D14" s="1144">
        <v>100</v>
      </c>
      <c r="E14" s="1139"/>
      <c r="F14" s="1144">
        <f>SUMIF(86:86,E14,87:87)-SUMIF(86:86,C14,87:87)+100</f>
        <v>100</v>
      </c>
      <c r="G14" s="1140"/>
      <c r="H14" s="1144">
        <f>SUMIF(86:86,G14,87:87)-SUMIF(86:86,C14,87:87)+100</f>
        <v>100</v>
      </c>
      <c r="I14" s="1140"/>
      <c r="J14" s="1144">
        <f>SUMIF(86:86,I14,87:87)-SUMIF(86:86,C14,87:87)+100</f>
        <v>100</v>
      </c>
      <c r="K14" s="1244"/>
      <c r="L14" s="1251"/>
      <c r="M14" s="1236"/>
      <c r="N14" s="1236"/>
      <c r="O14" s="1250"/>
      <c r="P14" s="491"/>
      <c r="Q14" s="1294">
        <f t="shared" si="6"/>
        <v>111</v>
      </c>
      <c r="R14" s="1290" t="s">
        <v>1045</v>
      </c>
      <c r="S14" s="1291">
        <f t="shared" si="0"/>
        <v>100</v>
      </c>
      <c r="T14" s="1290" t="s">
        <v>1045</v>
      </c>
      <c r="U14" s="1291">
        <f t="shared" si="1"/>
        <v>100</v>
      </c>
      <c r="V14" s="1290" t="s">
        <v>1045</v>
      </c>
      <c r="W14" s="1291">
        <f t="shared" si="2"/>
        <v>100</v>
      </c>
      <c r="X14" s="1292"/>
      <c r="Y14" s="1294"/>
      <c r="Z14" s="1311">
        <f t="shared" si="7"/>
        <v>111</v>
      </c>
      <c r="AA14" s="1310">
        <f t="shared" si="3"/>
        <v>1</v>
      </c>
      <c r="AB14" s="1310">
        <f t="shared" si="4"/>
        <v>1</v>
      </c>
      <c r="AC14" s="1310">
        <f t="shared" si="5"/>
        <v>1</v>
      </c>
    </row>
    <row r="15" ht="94.5" spans="1:29">
      <c r="A15" s="1098" t="s">
        <v>1057</v>
      </c>
      <c r="B15" s="1145" t="s">
        <v>205</v>
      </c>
      <c r="C15" s="1146" t="str">
        <f>估价对象房地状况!C15</f>
        <v>估价对象周边居住用地比例、居住小区规模和社区发展完善程度，综合评价居住社区成熟度一般</v>
      </c>
      <c r="D15" s="1147">
        <v>100</v>
      </c>
      <c r="E15" s="1148"/>
      <c r="F15" s="1147">
        <f>SUMIF(88:88,E16,89:89)-SUMIF(88:88,C16,89:89)+100</f>
        <v>100</v>
      </c>
      <c r="G15" s="1148"/>
      <c r="H15" s="1147">
        <f>SUMIF(88:88,G16,89:89)-SUMIF(88:88,C16,89:89)+100</f>
        <v>100</v>
      </c>
      <c r="I15" s="1252"/>
      <c r="J15" s="1147">
        <f>SUMIF(88:88,I16,89:89)-SUMIF(88:88,C16,89:89)+100</f>
        <v>100</v>
      </c>
      <c r="K15" s="1248"/>
      <c r="L15" s="1251"/>
      <c r="M15" s="1236"/>
      <c r="N15" s="1236"/>
      <c r="O15" s="1250"/>
      <c r="P15" s="1253" t="s">
        <v>1058</v>
      </c>
      <c r="Q15" s="491" t="str">
        <f t="shared" si="6"/>
        <v>居住社区成熟度</v>
      </c>
      <c r="R15" s="1295" t="s">
        <v>1045</v>
      </c>
      <c r="S15" s="1296">
        <f t="shared" si="0"/>
        <v>100</v>
      </c>
      <c r="T15" s="1295" t="s">
        <v>1045</v>
      </c>
      <c r="U15" s="1296">
        <f t="shared" si="1"/>
        <v>100</v>
      </c>
      <c r="V15" s="1295" t="s">
        <v>1045</v>
      </c>
      <c r="W15" s="1296">
        <f t="shared" si="2"/>
        <v>100</v>
      </c>
      <c r="X15" s="1282"/>
      <c r="Y15" s="1253" t="s">
        <v>1058</v>
      </c>
      <c r="Z15" s="1281" t="str">
        <f t="shared" si="7"/>
        <v>居住社区成熟度</v>
      </c>
      <c r="AA15" s="1312">
        <f t="shared" si="3"/>
        <v>1</v>
      </c>
      <c r="AB15" s="1312">
        <f t="shared" si="4"/>
        <v>1</v>
      </c>
      <c r="AC15" s="1312">
        <f t="shared" si="5"/>
        <v>1</v>
      </c>
    </row>
    <row r="16" ht="15" spans="1:29">
      <c r="A16" s="1102"/>
      <c r="B16" s="1149"/>
      <c r="C16" s="1150"/>
      <c r="D16" s="1151"/>
      <c r="E16" s="1152"/>
      <c r="F16" s="1151"/>
      <c r="G16" s="1152"/>
      <c r="H16" s="1153"/>
      <c r="I16" s="1169"/>
      <c r="J16" s="1151"/>
      <c r="K16" s="1244"/>
      <c r="L16" s="1251"/>
      <c r="M16" s="1236"/>
      <c r="N16" s="1236"/>
      <c r="O16" s="1250"/>
      <c r="P16" s="1254"/>
      <c r="Q16" s="491"/>
      <c r="R16" s="1295"/>
      <c r="S16" s="1296"/>
      <c r="T16" s="1295"/>
      <c r="U16" s="1296"/>
      <c r="V16" s="1295"/>
      <c r="W16" s="1296"/>
      <c r="X16" s="1282"/>
      <c r="Y16" s="1254"/>
      <c r="Z16" s="1281"/>
      <c r="AA16" s="1312">
        <v>1</v>
      </c>
      <c r="AB16" s="1312">
        <v>1</v>
      </c>
      <c r="AC16" s="1312">
        <v>1</v>
      </c>
    </row>
    <row r="17" ht="68.25" spans="1:29">
      <c r="A17" s="1102"/>
      <c r="B17" s="1154" t="s">
        <v>206</v>
      </c>
      <c r="C17" s="1155" t="str">
        <f>估价对象房地状况!C16</f>
        <v>估价对象位于XX商圈，周边商业氛围成熟，人流量大，商业繁华度好</v>
      </c>
      <c r="D17" s="1153">
        <v>100</v>
      </c>
      <c r="E17" s="1156"/>
      <c r="F17" s="1153">
        <f>SUMIF(90:90,E18,91:91)-SUMIF(90:90,C18,91:91)+100</f>
        <v>100</v>
      </c>
      <c r="G17" s="1156"/>
      <c r="H17" s="1157">
        <f>SUMIF(90:90,G18,91:91)-SUMIF(90:90,C18,91:91)+100</f>
        <v>100</v>
      </c>
      <c r="I17" s="1166"/>
      <c r="J17" s="1157">
        <f>SUMIF(90:90,I18,91:91)-SUMIF(90:90,C18,91:91)+100</f>
        <v>100</v>
      </c>
      <c r="K17" s="1248"/>
      <c r="L17" s="1251"/>
      <c r="M17" s="1236"/>
      <c r="N17" s="1236"/>
      <c r="O17" s="1250"/>
      <c r="P17" s="1254"/>
      <c r="Q17" s="491" t="str">
        <f>B17</f>
        <v>商业繁华度</v>
      </c>
      <c r="R17" s="1295" t="s">
        <v>1045</v>
      </c>
      <c r="S17" s="1296">
        <f>F17</f>
        <v>100</v>
      </c>
      <c r="T17" s="1295" t="s">
        <v>1045</v>
      </c>
      <c r="U17" s="1296">
        <f>H17</f>
        <v>100</v>
      </c>
      <c r="V17" s="1295" t="s">
        <v>1045</v>
      </c>
      <c r="W17" s="1296">
        <f>J17</f>
        <v>100</v>
      </c>
      <c r="X17" s="1282"/>
      <c r="Y17" s="1254"/>
      <c r="Z17" s="1281" t="str">
        <f>Q17</f>
        <v>商业繁华度</v>
      </c>
      <c r="AA17" s="1312">
        <f t="shared" si="3"/>
        <v>1</v>
      </c>
      <c r="AB17" s="1312">
        <f t="shared" si="4"/>
        <v>1</v>
      </c>
      <c r="AC17" s="1312">
        <f t="shared" si="5"/>
        <v>1</v>
      </c>
    </row>
    <row r="18" ht="15" spans="1:29">
      <c r="A18" s="1102"/>
      <c r="B18" s="1158"/>
      <c r="C18" s="1159"/>
      <c r="D18" s="1153"/>
      <c r="E18" s="1160"/>
      <c r="F18" s="1153"/>
      <c r="G18" s="1160"/>
      <c r="H18" s="1151"/>
      <c r="I18" s="1255"/>
      <c r="J18" s="1151"/>
      <c r="K18" s="1244"/>
      <c r="L18" s="1251"/>
      <c r="M18" s="1236"/>
      <c r="N18" s="1236"/>
      <c r="O18" s="1250"/>
      <c r="P18" s="1254"/>
      <c r="Q18" s="491"/>
      <c r="R18" s="1295"/>
      <c r="S18" s="1296"/>
      <c r="T18" s="1295"/>
      <c r="U18" s="1296"/>
      <c r="V18" s="1295"/>
      <c r="W18" s="1296"/>
      <c r="X18" s="1282"/>
      <c r="Y18" s="1254"/>
      <c r="Z18" s="1281"/>
      <c r="AA18" s="1312">
        <v>1</v>
      </c>
      <c r="AB18" s="1312">
        <v>1</v>
      </c>
      <c r="AC18" s="1312">
        <v>1</v>
      </c>
    </row>
    <row r="19" ht="68.25" spans="1:29">
      <c r="A19" s="1102"/>
      <c r="B19" s="1154" t="s">
        <v>207</v>
      </c>
      <c r="C19" s="1155" t="str">
        <f>估价对象房地状况!C17</f>
        <v>估价对象位于XX商圈，周边办公楼项目较多，入驻率高，办公集聚程度较好</v>
      </c>
      <c r="D19" s="1157">
        <v>100</v>
      </c>
      <c r="E19" s="1161"/>
      <c r="F19" s="1157">
        <f>SUMIF(92:92,E20,93:93)-SUMIF(92:92,C20,93:93)+100</f>
        <v>100</v>
      </c>
      <c r="G19" s="1161"/>
      <c r="H19" s="1153">
        <f>SUMIF(92:92,G20,93:93)-SUMIF(92:92,C20,93:93)+100</f>
        <v>100</v>
      </c>
      <c r="I19" s="1256"/>
      <c r="J19" s="1153">
        <f>SUMIF(92:92,I20,93:93)-SUMIF(92:92,C20,93:93)+100</f>
        <v>100</v>
      </c>
      <c r="K19" s="1248"/>
      <c r="L19" s="1251"/>
      <c r="M19" s="1236"/>
      <c r="N19" s="1236"/>
      <c r="O19" s="1250"/>
      <c r="P19" s="1254"/>
      <c r="Q19" s="491" t="str">
        <f>B19</f>
        <v>办公集聚程度</v>
      </c>
      <c r="R19" s="1295" t="s">
        <v>1045</v>
      </c>
      <c r="S19" s="1296">
        <f>F19</f>
        <v>100</v>
      </c>
      <c r="T19" s="1295" t="s">
        <v>1045</v>
      </c>
      <c r="U19" s="1296">
        <f>H19</f>
        <v>100</v>
      </c>
      <c r="V19" s="1295" t="s">
        <v>1045</v>
      </c>
      <c r="W19" s="1296">
        <f>J19</f>
        <v>100</v>
      </c>
      <c r="X19" s="1282"/>
      <c r="Y19" s="1254"/>
      <c r="Z19" s="1281" t="str">
        <f>Q19</f>
        <v>办公集聚程度</v>
      </c>
      <c r="AA19" s="1312">
        <f t="shared" si="3"/>
        <v>1</v>
      </c>
      <c r="AB19" s="1312">
        <f t="shared" si="4"/>
        <v>1</v>
      </c>
      <c r="AC19" s="1312">
        <f t="shared" si="5"/>
        <v>1</v>
      </c>
    </row>
    <row r="20" ht="15" spans="1:29">
      <c r="A20" s="1102"/>
      <c r="B20" s="1158"/>
      <c r="C20" s="1150"/>
      <c r="D20" s="1151"/>
      <c r="E20" s="1152"/>
      <c r="F20" s="1151"/>
      <c r="G20" s="1152"/>
      <c r="H20" s="1151"/>
      <c r="I20" s="1169"/>
      <c r="J20" s="1151"/>
      <c r="K20" s="1244"/>
      <c r="L20" s="1251"/>
      <c r="M20" s="1236"/>
      <c r="N20" s="1236"/>
      <c r="O20" s="1250"/>
      <c r="P20" s="1254"/>
      <c r="Q20" s="491"/>
      <c r="R20" s="1295"/>
      <c r="S20" s="1296"/>
      <c r="T20" s="1295"/>
      <c r="U20" s="1296"/>
      <c r="V20" s="1295"/>
      <c r="W20" s="1296"/>
      <c r="X20" s="1282"/>
      <c r="Y20" s="1254"/>
      <c r="Z20" s="1281"/>
      <c r="AA20" s="1312">
        <v>1</v>
      </c>
      <c r="AB20" s="1312">
        <v>1</v>
      </c>
      <c r="AC20" s="1312">
        <v>1</v>
      </c>
    </row>
    <row r="21" ht="81" spans="1:29">
      <c r="A21" s="1102"/>
      <c r="B21" s="1154" t="s">
        <v>209</v>
      </c>
      <c r="C21" s="1162" t="str">
        <f>估价对象房地状况!C18</f>
        <v>估价对象周边道路状况、公共交通通达情况、停车便捷程度，综合评价交通便捷度较好</v>
      </c>
      <c r="D21" s="1153">
        <v>100</v>
      </c>
      <c r="E21" s="1156"/>
      <c r="F21" s="1157">
        <f>SUMIF(94:94,E22,95:95)-SUMIF(94:94,C22,95:95)+100</f>
        <v>100</v>
      </c>
      <c r="G21" s="1156"/>
      <c r="H21" s="1153">
        <f>SUMIF(94:94,G22,95:95)-SUMIF(94:94,C22,95:95)+100</f>
        <v>100</v>
      </c>
      <c r="I21" s="1166"/>
      <c r="J21" s="1153">
        <f>SUMIF(94:94,I22,95:95)-SUMIF(94:94,C22,95:95)+100</f>
        <v>100</v>
      </c>
      <c r="K21" s="1248"/>
      <c r="L21" s="1251"/>
      <c r="M21" s="1236"/>
      <c r="N21" s="1236"/>
      <c r="O21" s="1250"/>
      <c r="P21" s="1254"/>
      <c r="Q21" s="491" t="str">
        <f>B21</f>
        <v>交通便捷度</v>
      </c>
      <c r="R21" s="1295" t="s">
        <v>1045</v>
      </c>
      <c r="S21" s="1296">
        <f>F21</f>
        <v>100</v>
      </c>
      <c r="T21" s="1295" t="s">
        <v>1045</v>
      </c>
      <c r="U21" s="1296">
        <f>H21</f>
        <v>100</v>
      </c>
      <c r="V21" s="1295" t="s">
        <v>1045</v>
      </c>
      <c r="W21" s="1296">
        <f>J21</f>
        <v>100</v>
      </c>
      <c r="X21" s="1282"/>
      <c r="Y21" s="1254"/>
      <c r="Z21" s="1281" t="str">
        <f>Q21</f>
        <v>交通便捷度</v>
      </c>
      <c r="AA21" s="1312">
        <f t="shared" si="3"/>
        <v>1</v>
      </c>
      <c r="AB21" s="1312">
        <f t="shared" si="4"/>
        <v>1</v>
      </c>
      <c r="AC21" s="1312">
        <f t="shared" si="5"/>
        <v>1</v>
      </c>
    </row>
    <row r="22" ht="15" spans="1:29">
      <c r="A22" s="1102"/>
      <c r="B22" s="1163"/>
      <c r="C22" s="1150"/>
      <c r="D22" s="1153"/>
      <c r="E22" s="1152"/>
      <c r="F22" s="1151"/>
      <c r="G22" s="1152"/>
      <c r="H22" s="1151"/>
      <c r="I22" s="1169"/>
      <c r="J22" s="1151"/>
      <c r="K22" s="1244"/>
      <c r="L22" s="1251"/>
      <c r="M22" s="1236"/>
      <c r="N22" s="1236"/>
      <c r="O22" s="1250"/>
      <c r="P22" s="1254"/>
      <c r="Q22" s="491"/>
      <c r="R22" s="1295"/>
      <c r="S22" s="1296"/>
      <c r="T22" s="1295"/>
      <c r="U22" s="1296"/>
      <c r="V22" s="1295"/>
      <c r="W22" s="1296"/>
      <c r="X22" s="1282"/>
      <c r="Y22" s="1254"/>
      <c r="Z22" s="1281"/>
      <c r="AA22" s="1312">
        <v>1</v>
      </c>
      <c r="AB22" s="1312">
        <v>1</v>
      </c>
      <c r="AC22" s="1312">
        <v>1</v>
      </c>
    </row>
    <row r="23" ht="15" spans="1:29">
      <c r="A23" s="1102"/>
      <c r="B23" s="1164" t="s">
        <v>210</v>
      </c>
      <c r="C23" s="1165">
        <f>估价对象房地状况!C19</f>
        <v>0</v>
      </c>
      <c r="D23" s="1157">
        <v>100</v>
      </c>
      <c r="E23" s="1156"/>
      <c r="F23" s="1157">
        <f>SUMIF(96:96,E24,97:97)-SUMIF(96:96,C24,97:97)+100</f>
        <v>100</v>
      </c>
      <c r="G23" s="1166"/>
      <c r="H23" s="1157">
        <f>SUMIF(96:96,G24,97:97)-SUMIF(96:96,C24,97:97)+100</f>
        <v>100</v>
      </c>
      <c r="I23" s="1166"/>
      <c r="J23" s="1157">
        <f>SUMIF(96:96,I24,97:97)-SUMIF(96:96,C24,97:97)+100</f>
        <v>100</v>
      </c>
      <c r="K23" s="1248"/>
      <c r="L23" s="1251"/>
      <c r="M23" s="1236"/>
      <c r="N23" s="1236"/>
      <c r="O23" s="1250"/>
      <c r="P23" s="1254"/>
      <c r="Q23" s="491" t="str">
        <f t="shared" ref="Q23:Q38" si="8">B23</f>
        <v>区域土地利用方向</v>
      </c>
      <c r="R23" s="1295" t="s">
        <v>1045</v>
      </c>
      <c r="S23" s="1296">
        <f>F23</f>
        <v>100</v>
      </c>
      <c r="T23" s="1295" t="s">
        <v>1045</v>
      </c>
      <c r="U23" s="1296">
        <f>H23</f>
        <v>100</v>
      </c>
      <c r="V23" s="1295" t="s">
        <v>1045</v>
      </c>
      <c r="W23" s="1296">
        <f>J23</f>
        <v>100</v>
      </c>
      <c r="X23" s="1282"/>
      <c r="Y23" s="1254"/>
      <c r="Z23" s="1281" t="str">
        <f>Q23</f>
        <v>区域土地利用方向</v>
      </c>
      <c r="AA23" s="1312">
        <f t="shared" si="3"/>
        <v>1</v>
      </c>
      <c r="AB23" s="1312">
        <f t="shared" si="4"/>
        <v>1</v>
      </c>
      <c r="AC23" s="1312">
        <f t="shared" si="5"/>
        <v>1</v>
      </c>
    </row>
    <row r="24" ht="15" spans="1:29">
      <c r="A24" s="1102"/>
      <c r="B24" s="1167"/>
      <c r="C24" s="1168"/>
      <c r="D24" s="1151"/>
      <c r="E24" s="1152"/>
      <c r="F24" s="1151"/>
      <c r="G24" s="1169"/>
      <c r="H24" s="1151"/>
      <c r="I24" s="1169"/>
      <c r="J24" s="1151"/>
      <c r="K24" s="1257"/>
      <c r="L24" s="1251"/>
      <c r="M24" s="1236"/>
      <c r="N24" s="1236"/>
      <c r="O24" s="1250"/>
      <c r="P24" s="1254"/>
      <c r="Q24" s="491"/>
      <c r="R24" s="1295"/>
      <c r="S24" s="1296"/>
      <c r="T24" s="1295"/>
      <c r="U24" s="1296"/>
      <c r="V24" s="1295"/>
      <c r="W24" s="1296"/>
      <c r="X24" s="1282"/>
      <c r="Y24" s="1254"/>
      <c r="Z24" s="1281"/>
      <c r="AA24" s="1312"/>
      <c r="AB24" s="1312"/>
      <c r="AC24" s="1312"/>
    </row>
    <row r="25" ht="54" spans="1:29">
      <c r="A25" s="1102"/>
      <c r="B25" s="1163" t="s">
        <v>1512</v>
      </c>
      <c r="C25" s="1155" t="str">
        <f>估价对象房地状况!C20</f>
        <v>区域自然环境：；人文环境；综合评价环境状况一般</v>
      </c>
      <c r="D25" s="1153">
        <v>100</v>
      </c>
      <c r="E25" s="1156"/>
      <c r="F25" s="1153">
        <f>SUMIF(98:98,E26,99:99)-SUMIF(98:98,C26,99:99)+100</f>
        <v>100</v>
      </c>
      <c r="G25" s="1156"/>
      <c r="H25" s="1153">
        <f>SUMIF(98:98,G26,99:99)-SUMIF(98:98,C26,99:99)+100</f>
        <v>100</v>
      </c>
      <c r="I25" s="1166"/>
      <c r="J25" s="1153">
        <f>SUMIF(98:98,I26,99:99)-SUMIF(98:98,C26,99:99)+100</f>
        <v>100</v>
      </c>
      <c r="K25" s="1248"/>
      <c r="L25" s="1251"/>
      <c r="M25" s="1236"/>
      <c r="N25" s="1236"/>
      <c r="O25" s="1250"/>
      <c r="P25" s="1254"/>
      <c r="Q25" s="491" t="str">
        <f t="shared" si="8"/>
        <v>自然及人文环境状况</v>
      </c>
      <c r="R25" s="1295" t="s">
        <v>1045</v>
      </c>
      <c r="S25" s="1296">
        <f>F25</f>
        <v>100</v>
      </c>
      <c r="T25" s="1295" t="s">
        <v>1045</v>
      </c>
      <c r="U25" s="1296">
        <f>H25</f>
        <v>100</v>
      </c>
      <c r="V25" s="1295" t="s">
        <v>1045</v>
      </c>
      <c r="W25" s="1296">
        <f>J25</f>
        <v>100</v>
      </c>
      <c r="X25" s="1282"/>
      <c r="Y25" s="1254"/>
      <c r="Z25" s="1281" t="str">
        <f>Q25</f>
        <v>自然及人文环境状况</v>
      </c>
      <c r="AA25" s="1312">
        <f t="shared" si="3"/>
        <v>1</v>
      </c>
      <c r="AB25" s="1312">
        <f t="shared" si="4"/>
        <v>1</v>
      </c>
      <c r="AC25" s="1312">
        <f t="shared" si="5"/>
        <v>1</v>
      </c>
    </row>
    <row r="26" ht="15" spans="1:29">
      <c r="A26" s="1102"/>
      <c r="B26" s="1158"/>
      <c r="C26" s="1150"/>
      <c r="D26" s="1151"/>
      <c r="E26" s="1150"/>
      <c r="F26" s="1151"/>
      <c r="G26" s="1150"/>
      <c r="H26" s="1151"/>
      <c r="I26" s="1258"/>
      <c r="J26" s="1151"/>
      <c r="K26" s="1244"/>
      <c r="L26" s="1251"/>
      <c r="M26" s="1236"/>
      <c r="N26" s="1236"/>
      <c r="O26" s="1250"/>
      <c r="P26" s="1254"/>
      <c r="Q26" s="491"/>
      <c r="R26" s="1295"/>
      <c r="S26" s="1296"/>
      <c r="T26" s="1295"/>
      <c r="U26" s="1296"/>
      <c r="V26" s="1295"/>
      <c r="W26" s="1296"/>
      <c r="X26" s="1282"/>
      <c r="Y26" s="1254"/>
      <c r="Z26" s="1281"/>
      <c r="AA26" s="1312">
        <v>1</v>
      </c>
      <c r="AB26" s="1312">
        <v>1</v>
      </c>
      <c r="AC26" s="1312">
        <v>1</v>
      </c>
    </row>
    <row r="27" ht="40.5" spans="1:29">
      <c r="A27" s="1102"/>
      <c r="B27" s="1163" t="s">
        <v>211</v>
      </c>
      <c r="C27" s="1162" t="str">
        <f>估价对象房地状况!C21</f>
        <v>估价对象所在区域公共配套设施齐备情况</v>
      </c>
      <c r="D27" s="1153">
        <v>100</v>
      </c>
      <c r="E27" s="1156"/>
      <c r="F27" s="1153">
        <f>SUMIF(100:100,E28,101:101)-SUMIF(100:100,C28,101:101)+100</f>
        <v>100</v>
      </c>
      <c r="G27" s="1156"/>
      <c r="H27" s="1153">
        <f>SUMIF(100:100,G28,101:101)-SUMIF(100:100,C28,101:101)+100</f>
        <v>100</v>
      </c>
      <c r="I27" s="1166"/>
      <c r="J27" s="1153">
        <f>SUMIF(100:100,I28,101:101)-SUMIF(100:100,C28,101:101)+100</f>
        <v>100</v>
      </c>
      <c r="K27" s="1259"/>
      <c r="L27" s="1251"/>
      <c r="M27" s="1236"/>
      <c r="N27" s="1236"/>
      <c r="O27" s="1250"/>
      <c r="P27" s="1254"/>
      <c r="Q27" s="1294" t="str">
        <f t="shared" ref="Q27" si="9">B27</f>
        <v>公共配套设施</v>
      </c>
      <c r="R27" s="1290" t="s">
        <v>1045</v>
      </c>
      <c r="S27" s="1291">
        <f>F27</f>
        <v>100</v>
      </c>
      <c r="T27" s="1290" t="s">
        <v>1045</v>
      </c>
      <c r="U27" s="1291">
        <f>H27</f>
        <v>100</v>
      </c>
      <c r="V27" s="1290" t="s">
        <v>1045</v>
      </c>
      <c r="W27" s="1291">
        <f>J27</f>
        <v>100</v>
      </c>
      <c r="X27" s="1282"/>
      <c r="Y27" s="1254"/>
      <c r="Z27" s="1311" t="str">
        <f>Q27</f>
        <v>公共配套设施</v>
      </c>
      <c r="AA27" s="1312">
        <f>D27/F27</f>
        <v>1</v>
      </c>
      <c r="AB27" s="1312">
        <f>D27/H27</f>
        <v>1</v>
      </c>
      <c r="AC27" s="1312">
        <f>D27/J27</f>
        <v>1</v>
      </c>
    </row>
    <row r="28" ht="15" spans="1:29">
      <c r="A28" s="1102"/>
      <c r="B28" s="1158"/>
      <c r="C28" s="1170"/>
      <c r="D28" s="1151"/>
      <c r="E28" s="1170"/>
      <c r="F28" s="1151"/>
      <c r="G28" s="1170"/>
      <c r="H28" s="1151"/>
      <c r="I28" s="1170"/>
      <c r="J28" s="1151"/>
      <c r="K28" s="1244"/>
      <c r="L28" s="1251"/>
      <c r="M28" s="1236"/>
      <c r="N28" s="1236"/>
      <c r="O28" s="1250"/>
      <c r="P28" s="1254"/>
      <c r="Q28" s="491"/>
      <c r="R28" s="1295"/>
      <c r="S28" s="1296"/>
      <c r="T28" s="1295"/>
      <c r="U28" s="1296"/>
      <c r="V28" s="1295"/>
      <c r="W28" s="1296"/>
      <c r="X28" s="1282"/>
      <c r="Y28" s="1254"/>
      <c r="Z28" s="1311"/>
      <c r="AA28" s="1312">
        <v>1</v>
      </c>
      <c r="AB28" s="1312">
        <v>1</v>
      </c>
      <c r="AC28" s="1312">
        <v>1</v>
      </c>
    </row>
    <row r="29" s="1080" customFormat="1" ht="27" spans="1:29">
      <c r="A29" s="1171"/>
      <c r="B29" s="1163" t="s">
        <v>212</v>
      </c>
      <c r="C29" s="1172" t="str">
        <f>估价对象房地状况!C22</f>
        <v>估价对象所在区域基础设施水平</v>
      </c>
      <c r="D29" s="1153">
        <v>100</v>
      </c>
      <c r="E29" s="1156"/>
      <c r="F29" s="1153">
        <f>SUMIF(102:102,E30,103:103)-SUMIF(102:102,C30,103:103)+100</f>
        <v>100</v>
      </c>
      <c r="G29" s="1156"/>
      <c r="H29" s="1153">
        <f>SUMIF(102:102,G30,103:103)-SUMIF(102:102,C30,103:103)+100</f>
        <v>100</v>
      </c>
      <c r="I29" s="1166"/>
      <c r="J29" s="1153">
        <f>SUMIF(102:102,I30,103:103)-SUMIF(102:102,C30,103:103)+100</f>
        <v>100</v>
      </c>
      <c r="K29" s="1259"/>
      <c r="L29" s="1235"/>
      <c r="M29" s="1241"/>
      <c r="N29" s="1241"/>
      <c r="O29" s="1243"/>
      <c r="P29" s="1254"/>
      <c r="Q29" s="1294" t="str">
        <f t="shared" si="8"/>
        <v>基础设施水平</v>
      </c>
      <c r="R29" s="1290" t="s">
        <v>1045</v>
      </c>
      <c r="S29" s="1291">
        <f>F29</f>
        <v>100</v>
      </c>
      <c r="T29" s="1290" t="s">
        <v>1045</v>
      </c>
      <c r="U29" s="1291">
        <f>H29</f>
        <v>100</v>
      </c>
      <c r="V29" s="1290" t="s">
        <v>1045</v>
      </c>
      <c r="W29" s="1291">
        <f>J29</f>
        <v>100</v>
      </c>
      <c r="X29" s="1292"/>
      <c r="Y29" s="1254"/>
      <c r="Z29" s="1311" t="str">
        <f>Q29</f>
        <v>基础设施水平</v>
      </c>
      <c r="AA29" s="1312">
        <f>D29/F29</f>
        <v>1</v>
      </c>
      <c r="AB29" s="1312">
        <f>D29/H29</f>
        <v>1</v>
      </c>
      <c r="AC29" s="1312">
        <f>D29/J29</f>
        <v>1</v>
      </c>
    </row>
    <row r="30" s="1080" customFormat="1" ht="15" spans="1:29">
      <c r="A30" s="1171"/>
      <c r="B30" s="1158"/>
      <c r="C30" s="1170"/>
      <c r="D30" s="1151"/>
      <c r="E30" s="1170"/>
      <c r="F30" s="1151"/>
      <c r="G30" s="1170"/>
      <c r="H30" s="1151"/>
      <c r="I30" s="1170"/>
      <c r="J30" s="1151"/>
      <c r="K30" s="1244"/>
      <c r="L30" s="1235"/>
      <c r="M30" s="1241"/>
      <c r="N30" s="1241"/>
      <c r="O30" s="1243"/>
      <c r="P30" s="1254"/>
      <c r="Q30" s="1294"/>
      <c r="R30" s="1290"/>
      <c r="S30" s="1291"/>
      <c r="T30" s="1290"/>
      <c r="U30" s="1291"/>
      <c r="V30" s="1290"/>
      <c r="W30" s="1291"/>
      <c r="X30" s="1292"/>
      <c r="Y30" s="1254"/>
      <c r="Z30" s="1311"/>
      <c r="AA30" s="1312">
        <v>1</v>
      </c>
      <c r="AB30" s="1312">
        <v>1</v>
      </c>
      <c r="AC30" s="1312">
        <v>1</v>
      </c>
    </row>
    <row r="31" ht="15" spans="1:29">
      <c r="A31" s="1102"/>
      <c r="B31" s="1158" t="s">
        <v>214</v>
      </c>
      <c r="C31" s="1168"/>
      <c r="D31" s="1138">
        <v>100</v>
      </c>
      <c r="E31" s="1168"/>
      <c r="F31" s="1138">
        <f>SUMIF(104:104,E31,105:105)-SUMIF(104:104,C31,105:105)+100</f>
        <v>100</v>
      </c>
      <c r="G31" s="1168"/>
      <c r="H31" s="1138">
        <f>SUMIF(104:104,G31,105:105)-SUMIF(104:104,C31,105:105)+100</f>
        <v>100</v>
      </c>
      <c r="I31" s="1168"/>
      <c r="J31" s="1138">
        <f>SUMIF(104:104,I31,105:105)-SUMIF(104:104,C31,105:105)+100</f>
        <v>100</v>
      </c>
      <c r="K31" s="1248"/>
      <c r="L31" s="1251"/>
      <c r="M31" s="1236"/>
      <c r="N31" s="1236"/>
      <c r="O31" s="1250"/>
      <c r="P31" s="1254"/>
      <c r="Q31" s="491" t="str">
        <f t="shared" si="8"/>
        <v>临街状况</v>
      </c>
      <c r="R31" s="1295" t="s">
        <v>1045</v>
      </c>
      <c r="S31" s="1296">
        <f t="shared" ref="S31:S45" si="10">F31</f>
        <v>100</v>
      </c>
      <c r="T31" s="1295" t="s">
        <v>1045</v>
      </c>
      <c r="U31" s="1296">
        <f t="shared" ref="U31:U45" si="11">H31</f>
        <v>100</v>
      </c>
      <c r="V31" s="1295" t="s">
        <v>1045</v>
      </c>
      <c r="W31" s="1296">
        <f t="shared" ref="W31:W45" si="12">J31</f>
        <v>100</v>
      </c>
      <c r="X31" s="1282"/>
      <c r="Y31" s="1254"/>
      <c r="Z31" s="1281" t="str">
        <f t="shared" ref="Z31:Z45" si="13">Q31</f>
        <v>临街状况</v>
      </c>
      <c r="AA31" s="1312">
        <f t="shared" si="3"/>
        <v>1</v>
      </c>
      <c r="AB31" s="1312">
        <f t="shared" si="4"/>
        <v>1</v>
      </c>
      <c r="AC31" s="1312">
        <f t="shared" si="5"/>
        <v>1</v>
      </c>
    </row>
    <row r="32" ht="27" spans="1:29">
      <c r="A32" s="1102"/>
      <c r="B32" s="1163" t="s">
        <v>1485</v>
      </c>
      <c r="C32" s="1156"/>
      <c r="D32" s="1153">
        <v>100</v>
      </c>
      <c r="E32" s="1156"/>
      <c r="F32" s="1153">
        <f>SUMIF(106:106,E33,107:107)-SUMIF(106:106,C33,107:107)+100</f>
        <v>100</v>
      </c>
      <c r="G32" s="1156"/>
      <c r="H32" s="1153">
        <f>SUMIF(106:106,G33,107:107)-SUMIF(106:106,C33,107:107)+100</f>
        <v>100</v>
      </c>
      <c r="I32" s="1166"/>
      <c r="J32" s="1153">
        <f>SUMIF(106:106,I33,107:107)-SUMIF(106:106,C33,107:107)+100</f>
        <v>100</v>
      </c>
      <c r="K32" s="1248"/>
      <c r="L32" s="1251"/>
      <c r="M32" s="1236"/>
      <c r="N32" s="1236"/>
      <c r="O32" s="1250"/>
      <c r="P32" s="1254"/>
      <c r="Q32" s="491" t="str">
        <f t="shared" si="8"/>
        <v>毗邻道路的类型与等级</v>
      </c>
      <c r="R32" s="1295" t="s">
        <v>1045</v>
      </c>
      <c r="S32" s="1296">
        <f t="shared" si="10"/>
        <v>100</v>
      </c>
      <c r="T32" s="1295" t="s">
        <v>1045</v>
      </c>
      <c r="U32" s="1296">
        <f t="shared" si="11"/>
        <v>100</v>
      </c>
      <c r="V32" s="1295" t="s">
        <v>1045</v>
      </c>
      <c r="W32" s="1296">
        <f t="shared" si="12"/>
        <v>100</v>
      </c>
      <c r="X32" s="1282"/>
      <c r="Y32" s="1254"/>
      <c r="Z32" s="1281" t="str">
        <f t="shared" si="13"/>
        <v>毗邻道路的类型与等级</v>
      </c>
      <c r="AA32" s="1312">
        <f t="shared" si="3"/>
        <v>1</v>
      </c>
      <c r="AB32" s="1312">
        <f t="shared" si="4"/>
        <v>1</v>
      </c>
      <c r="AC32" s="1312">
        <f t="shared" si="5"/>
        <v>1</v>
      </c>
    </row>
    <row r="33" ht="15" spans="1:29">
      <c r="A33" s="1102"/>
      <c r="B33" s="1158"/>
      <c r="C33" s="1150"/>
      <c r="D33" s="1151"/>
      <c r="E33" s="1150"/>
      <c r="F33" s="1151"/>
      <c r="G33" s="1150"/>
      <c r="H33" s="1151"/>
      <c r="I33" s="1258"/>
      <c r="J33" s="1151"/>
      <c r="K33" s="1260"/>
      <c r="L33" s="1251"/>
      <c r="M33" s="1236"/>
      <c r="N33" s="1236"/>
      <c r="O33" s="1250"/>
      <c r="P33" s="1254"/>
      <c r="Q33" s="491"/>
      <c r="R33" s="1295"/>
      <c r="S33" s="1296"/>
      <c r="T33" s="1295"/>
      <c r="U33" s="1296"/>
      <c r="V33" s="1295"/>
      <c r="W33" s="1296"/>
      <c r="X33" s="1282"/>
      <c r="Y33" s="1254"/>
      <c r="Z33" s="1281"/>
      <c r="AA33" s="1312">
        <v>1</v>
      </c>
      <c r="AB33" s="1312">
        <v>1</v>
      </c>
      <c r="AC33" s="1312">
        <v>1</v>
      </c>
    </row>
    <row r="34" ht="15" spans="1:29">
      <c r="A34" s="1102"/>
      <c r="B34" s="1173" t="s">
        <v>1513</v>
      </c>
      <c r="C34" s="1168"/>
      <c r="D34" s="1138">
        <v>100</v>
      </c>
      <c r="E34" s="1168"/>
      <c r="F34" s="1138">
        <f>SUMIF(108:108,E34,109:109)-SUMIF(108:108,C34,109:109)+100</f>
        <v>100</v>
      </c>
      <c r="G34" s="1168"/>
      <c r="H34" s="1138">
        <f>SUMIF(108:108,G34,109:109)-SUMIF(108:108,C34,109:109)+100</f>
        <v>100</v>
      </c>
      <c r="I34" s="1261"/>
      <c r="J34" s="1138">
        <f>SUMIF(108:108,I34,109:109)-SUMIF(108:108,C34,109:109)+100</f>
        <v>100</v>
      </c>
      <c r="K34" s="1262"/>
      <c r="L34" s="1251"/>
      <c r="M34" s="1236"/>
      <c r="N34" s="1236"/>
      <c r="O34" s="1250"/>
      <c r="P34" s="1254"/>
      <c r="Q34" s="491" t="str">
        <f t="shared" si="8"/>
        <v>土地级别</v>
      </c>
      <c r="R34" s="1295" t="s">
        <v>1045</v>
      </c>
      <c r="S34" s="1296">
        <f t="shared" si="10"/>
        <v>100</v>
      </c>
      <c r="T34" s="1295" t="s">
        <v>1045</v>
      </c>
      <c r="U34" s="1296">
        <f t="shared" si="11"/>
        <v>100</v>
      </c>
      <c r="V34" s="1295" t="s">
        <v>1045</v>
      </c>
      <c r="W34" s="1296">
        <f t="shared" si="12"/>
        <v>100</v>
      </c>
      <c r="X34" s="1282"/>
      <c r="Y34" s="1254"/>
      <c r="Z34" s="1281" t="str">
        <f t="shared" si="13"/>
        <v>土地级别</v>
      </c>
      <c r="AA34" s="1312">
        <f t="shared" si="3"/>
        <v>1</v>
      </c>
      <c r="AB34" s="1312">
        <f t="shared" si="4"/>
        <v>1</v>
      </c>
      <c r="AC34" s="1312">
        <f t="shared" si="5"/>
        <v>1</v>
      </c>
    </row>
    <row r="35" ht="15" spans="1:29">
      <c r="A35" s="1102"/>
      <c r="B35" s="1174">
        <v>111</v>
      </c>
      <c r="C35" s="1175"/>
      <c r="D35" s="1138">
        <v>100</v>
      </c>
      <c r="E35" s="1175"/>
      <c r="F35" s="1138">
        <f>SUMIF(110:110,E35,111:111)-SUMIF(110:110,C35,111:111)+100</f>
        <v>100</v>
      </c>
      <c r="G35" s="1175"/>
      <c r="H35" s="1138">
        <f>SUMIF(110:110,G35,111:111)-SUMIF(110:110,C35,111:111)+100</f>
        <v>100</v>
      </c>
      <c r="I35" s="1140"/>
      <c r="J35" s="1138">
        <f>SUMIF(110:110,I35,111:111)-SUMIF(110:110,C35,111:111)+100</f>
        <v>100</v>
      </c>
      <c r="K35" s="1260"/>
      <c r="L35" s="1251"/>
      <c r="M35" s="1236"/>
      <c r="N35" s="1236"/>
      <c r="O35" s="1250"/>
      <c r="P35" s="1254"/>
      <c r="Q35" s="491">
        <f t="shared" si="8"/>
        <v>111</v>
      </c>
      <c r="R35" s="1295" t="s">
        <v>1045</v>
      </c>
      <c r="S35" s="1296">
        <f t="shared" si="10"/>
        <v>100</v>
      </c>
      <c r="T35" s="1295" t="s">
        <v>1045</v>
      </c>
      <c r="U35" s="1296">
        <f t="shared" si="11"/>
        <v>100</v>
      </c>
      <c r="V35" s="1295" t="s">
        <v>1045</v>
      </c>
      <c r="W35" s="1296">
        <f t="shared" si="12"/>
        <v>100</v>
      </c>
      <c r="X35" s="1282"/>
      <c r="Y35" s="1254"/>
      <c r="Z35" s="1281">
        <f t="shared" si="13"/>
        <v>111</v>
      </c>
      <c r="AA35" s="1312">
        <f t="shared" si="3"/>
        <v>1</v>
      </c>
      <c r="AB35" s="1312">
        <f t="shared" si="4"/>
        <v>1</v>
      </c>
      <c r="AC35" s="1312">
        <f t="shared" si="5"/>
        <v>1</v>
      </c>
    </row>
    <row r="36" ht="15" spans="1:29">
      <c r="A36" s="1176"/>
      <c r="B36" s="1177">
        <v>111</v>
      </c>
      <c r="C36" s="1175"/>
      <c r="D36" s="1138">
        <v>100</v>
      </c>
      <c r="E36" s="1175"/>
      <c r="F36" s="1138">
        <f>SUMIF(112:112,E37,113:113)-SUMIF(112:112,C37,113:113)+100</f>
        <v>100</v>
      </c>
      <c r="G36" s="1175"/>
      <c r="H36" s="1138">
        <f>SUMIF(112:112,G36,113:113)-SUMIF(112:112,C36,113:113)+100</f>
        <v>100</v>
      </c>
      <c r="I36" s="1140"/>
      <c r="J36" s="1138">
        <f>SUMIF(112:112,I36,113:113)-SUMIF(112:112,C36,113:113)+100</f>
        <v>100</v>
      </c>
      <c r="K36" s="1260"/>
      <c r="L36" s="1251"/>
      <c r="M36" s="1236"/>
      <c r="N36" s="1236"/>
      <c r="O36" s="1250"/>
      <c r="P36" s="1263" t="s">
        <v>1073</v>
      </c>
      <c r="Q36" s="491">
        <f t="shared" si="8"/>
        <v>111</v>
      </c>
      <c r="R36" s="1295" t="s">
        <v>1045</v>
      </c>
      <c r="S36" s="1296">
        <f t="shared" si="10"/>
        <v>100</v>
      </c>
      <c r="T36" s="1295" t="s">
        <v>1045</v>
      </c>
      <c r="U36" s="1296">
        <f t="shared" si="11"/>
        <v>100</v>
      </c>
      <c r="V36" s="1295" t="s">
        <v>1045</v>
      </c>
      <c r="W36" s="1296">
        <f t="shared" si="12"/>
        <v>100</v>
      </c>
      <c r="X36" s="1282"/>
      <c r="Y36" s="1267" t="s">
        <v>1073</v>
      </c>
      <c r="Z36" s="1281">
        <f t="shared" si="13"/>
        <v>111</v>
      </c>
      <c r="AA36" s="1312">
        <f t="shared" si="3"/>
        <v>1</v>
      </c>
      <c r="AB36" s="1312">
        <f t="shared" si="4"/>
        <v>1</v>
      </c>
      <c r="AC36" s="1312">
        <f t="shared" si="5"/>
        <v>1</v>
      </c>
    </row>
    <row r="37" s="1082" customFormat="1" ht="15.75" spans="1:29">
      <c r="A37" s="1178"/>
      <c r="B37" s="1179">
        <v>111</v>
      </c>
      <c r="C37" s="1180"/>
      <c r="D37" s="1181">
        <v>100</v>
      </c>
      <c r="E37" s="1180"/>
      <c r="F37" s="1144">
        <f>SUMIF(114:114,E37,115:115)-SUMIF(114:114,C37,115:115)+100</f>
        <v>100</v>
      </c>
      <c r="G37" s="1180"/>
      <c r="H37" s="1144">
        <f>SUMIF(114:114,G37,115:115)-SUMIF(114:114,C37,115:115)+100</f>
        <v>100</v>
      </c>
      <c r="I37" s="1264"/>
      <c r="J37" s="1144">
        <f>SUMIF(114:114,I37,115:115)-SUMIF(114:114,C37,115:115)+100</f>
        <v>100</v>
      </c>
      <c r="K37" s="1260"/>
      <c r="L37" s="1249"/>
      <c r="M37" s="1265"/>
      <c r="N37" s="1265"/>
      <c r="O37" s="1266"/>
      <c r="P37" s="1267"/>
      <c r="Q37" s="491">
        <f t="shared" si="8"/>
        <v>111</v>
      </c>
      <c r="R37" s="1297" t="s">
        <v>1045</v>
      </c>
      <c r="S37" s="1298">
        <f t="shared" si="10"/>
        <v>100</v>
      </c>
      <c r="T37" s="1297" t="s">
        <v>1045</v>
      </c>
      <c r="U37" s="1298">
        <f t="shared" si="11"/>
        <v>100</v>
      </c>
      <c r="V37" s="1297" t="s">
        <v>1045</v>
      </c>
      <c r="W37" s="1298">
        <f t="shared" si="12"/>
        <v>100</v>
      </c>
      <c r="X37" s="1299"/>
      <c r="Y37" s="1267"/>
      <c r="Z37" s="1313">
        <f t="shared" si="13"/>
        <v>111</v>
      </c>
      <c r="AA37" s="1312">
        <f t="shared" si="3"/>
        <v>1</v>
      </c>
      <c r="AB37" s="1312">
        <f t="shared" si="4"/>
        <v>1</v>
      </c>
      <c r="AC37" s="1312">
        <f t="shared" si="5"/>
        <v>1</v>
      </c>
    </row>
    <row r="38" ht="15" spans="1:29">
      <c r="A38" s="1098" t="s">
        <v>1070</v>
      </c>
      <c r="B38" s="1182" t="s">
        <v>1514</v>
      </c>
      <c r="C38" s="1183"/>
      <c r="D38" s="1184">
        <v>100</v>
      </c>
      <c r="E38" s="1183"/>
      <c r="F38" s="1184" t="e">
        <f>LOOKUP(E38,117:117,118:118)-LOOKUP(C38,117:117,118:118)+100</f>
        <v>#N/A</v>
      </c>
      <c r="G38" s="1183"/>
      <c r="H38" s="1184" t="e">
        <f>LOOKUP(G38,117:117,118:118)-LOOKUP(C38,117:117,118:118)+100</f>
        <v>#N/A</v>
      </c>
      <c r="I38" s="1268"/>
      <c r="J38" s="1184" t="e">
        <f>LOOKUP(I38,117:117,118:118)-LOOKUP(C38,117:117,118:118)+100</f>
        <v>#N/A</v>
      </c>
      <c r="K38" s="1260"/>
      <c r="L38" s="1251"/>
      <c r="M38" s="1236"/>
      <c r="N38" s="1236"/>
      <c r="O38" s="1250"/>
      <c r="P38" s="1267"/>
      <c r="Q38" s="491" t="str">
        <f t="shared" si="8"/>
        <v>宗地面积</v>
      </c>
      <c r="R38" s="1295" t="s">
        <v>1045</v>
      </c>
      <c r="S38" s="1296" t="e">
        <f t="shared" si="10"/>
        <v>#N/A</v>
      </c>
      <c r="T38" s="1295" t="s">
        <v>1045</v>
      </c>
      <c r="U38" s="1296" t="e">
        <f t="shared" si="11"/>
        <v>#N/A</v>
      </c>
      <c r="V38" s="1295" t="s">
        <v>1045</v>
      </c>
      <c r="W38" s="1296" t="e">
        <f t="shared" si="12"/>
        <v>#N/A</v>
      </c>
      <c r="X38" s="1282"/>
      <c r="Y38" s="1267"/>
      <c r="Z38" s="1281" t="str">
        <f t="shared" si="13"/>
        <v>宗地面积</v>
      </c>
      <c r="AA38" s="1312" t="e">
        <f t="shared" si="3"/>
        <v>#N/A</v>
      </c>
      <c r="AB38" s="1312" t="e">
        <f t="shared" si="4"/>
        <v>#N/A</v>
      </c>
      <c r="AC38" s="1312" t="e">
        <f t="shared" si="5"/>
        <v>#N/A</v>
      </c>
    </row>
    <row r="39" ht="15" spans="1:29">
      <c r="A39" s="1185"/>
      <c r="B39" s="1127" t="s">
        <v>1515</v>
      </c>
      <c r="C39" s="1186"/>
      <c r="D39" s="1138">
        <v>100</v>
      </c>
      <c r="E39" s="1186"/>
      <c r="F39" s="1138">
        <f>SUMIF(119:119,E39,120:120)-SUMIF(119:119,C39,120:120)+100</f>
        <v>100</v>
      </c>
      <c r="G39" s="1186"/>
      <c r="H39" s="1138">
        <f>SUMIF(119:119,G39,120:120)-SUMIF(119:119,C39,120:120)+100</f>
        <v>100</v>
      </c>
      <c r="I39" s="1186"/>
      <c r="J39" s="1138">
        <f>SUMIF(119:119,I39,120:120)-SUMIF(119:119,C39,120:120)+100</f>
        <v>100</v>
      </c>
      <c r="K39" s="1262"/>
      <c r="L39" s="1251"/>
      <c r="M39" s="1236"/>
      <c r="N39" s="1236"/>
      <c r="O39" s="1250"/>
      <c r="P39" s="1267"/>
      <c r="Q39" s="491" t="str">
        <f t="shared" ref="Q39:Q45" si="14">B39</f>
        <v>宗地形状</v>
      </c>
      <c r="R39" s="1295" t="s">
        <v>1045</v>
      </c>
      <c r="S39" s="1296">
        <f t="shared" si="10"/>
        <v>100</v>
      </c>
      <c r="T39" s="1295" t="s">
        <v>1045</v>
      </c>
      <c r="U39" s="1296">
        <f t="shared" si="11"/>
        <v>100</v>
      </c>
      <c r="V39" s="1295" t="s">
        <v>1045</v>
      </c>
      <c r="W39" s="1296">
        <f t="shared" si="12"/>
        <v>100</v>
      </c>
      <c r="X39" s="1282"/>
      <c r="Y39" s="1267"/>
      <c r="Z39" s="1281" t="str">
        <f t="shared" si="13"/>
        <v>宗地形状</v>
      </c>
      <c r="AA39" s="1312">
        <f t="shared" si="3"/>
        <v>1</v>
      </c>
      <c r="AB39" s="1312">
        <f t="shared" si="4"/>
        <v>1</v>
      </c>
      <c r="AC39" s="1312">
        <f t="shared" si="5"/>
        <v>1</v>
      </c>
    </row>
    <row r="40" ht="15" spans="1:29">
      <c r="A40" s="1185"/>
      <c r="B40" s="1127" t="s">
        <v>1516</v>
      </c>
      <c r="C40" s="1186"/>
      <c r="D40" s="1138">
        <v>100</v>
      </c>
      <c r="E40" s="1186"/>
      <c r="F40" s="1138">
        <f>SUMIF(121:121,E40,122:122)-SUMIF(121:121,C40,122:122)+100</f>
        <v>100</v>
      </c>
      <c r="G40" s="1186"/>
      <c r="H40" s="1138">
        <f>SUMIF(121:121,G40,122:122)-SUMIF(121:121,C40,122:122)+100</f>
        <v>100</v>
      </c>
      <c r="I40" s="1186"/>
      <c r="J40" s="1138">
        <f>SUMIF(121:121,I40,122:122)-SUMIF(121:121,C40,122:122)+100</f>
        <v>100</v>
      </c>
      <c r="K40" s="1262"/>
      <c r="L40" s="1251"/>
      <c r="M40" s="1236"/>
      <c r="N40" s="1236"/>
      <c r="O40" s="1250"/>
      <c r="P40" s="1267"/>
      <c r="Q40" s="491" t="str">
        <f t="shared" si="14"/>
        <v>临街宽度及深度</v>
      </c>
      <c r="R40" s="1295" t="s">
        <v>1045</v>
      </c>
      <c r="S40" s="1296">
        <f t="shared" si="10"/>
        <v>100</v>
      </c>
      <c r="T40" s="1295" t="s">
        <v>1045</v>
      </c>
      <c r="U40" s="1296">
        <f t="shared" si="11"/>
        <v>100</v>
      </c>
      <c r="V40" s="1295" t="s">
        <v>1045</v>
      </c>
      <c r="W40" s="1296">
        <f t="shared" si="12"/>
        <v>100</v>
      </c>
      <c r="X40" s="1282"/>
      <c r="Y40" s="1267"/>
      <c r="Z40" s="1281" t="str">
        <f t="shared" si="13"/>
        <v>临街宽度及深度</v>
      </c>
      <c r="AA40" s="1312">
        <f t="shared" si="3"/>
        <v>1</v>
      </c>
      <c r="AB40" s="1312">
        <f t="shared" si="4"/>
        <v>1</v>
      </c>
      <c r="AC40" s="1312">
        <f t="shared" si="5"/>
        <v>1</v>
      </c>
    </row>
    <row r="41" s="1080" customFormat="1" ht="15" spans="1:29">
      <c r="A41" s="1187"/>
      <c r="B41" s="1127" t="s">
        <v>1517</v>
      </c>
      <c r="C41" s="1188"/>
      <c r="D41" s="1129">
        <v>100</v>
      </c>
      <c r="E41" s="1188"/>
      <c r="F41" s="1138">
        <f>SUMIF(123:123,E41,124:124)-SUMIF(123:123,C41,124:124)+100</f>
        <v>100</v>
      </c>
      <c r="G41" s="1188"/>
      <c r="H41" s="1138">
        <f>SUMIF(123:123,G41,124:124)-SUMIF(123:123,C41,124:124)+100</f>
        <v>100</v>
      </c>
      <c r="I41" s="1188"/>
      <c r="J41" s="1138">
        <f>SUMIF(123:123,I41,124:124)-SUMIF(123:123,C41,124:124)+100</f>
        <v>100</v>
      </c>
      <c r="K41" s="1262"/>
      <c r="L41" s="1235"/>
      <c r="M41" s="1241"/>
      <c r="N41" s="1241"/>
      <c r="O41" s="1243"/>
      <c r="P41" s="1267"/>
      <c r="Q41" s="491" t="str">
        <f t="shared" si="14"/>
        <v>宗地开发程度</v>
      </c>
      <c r="R41" s="1290" t="s">
        <v>1045</v>
      </c>
      <c r="S41" s="1291">
        <f t="shared" si="10"/>
        <v>100</v>
      </c>
      <c r="T41" s="1290" t="s">
        <v>1045</v>
      </c>
      <c r="U41" s="1291">
        <f t="shared" si="11"/>
        <v>100</v>
      </c>
      <c r="V41" s="1290" t="s">
        <v>1045</v>
      </c>
      <c r="W41" s="1291">
        <f t="shared" si="12"/>
        <v>100</v>
      </c>
      <c r="X41" s="1292"/>
      <c r="Y41" s="1267"/>
      <c r="Z41" s="1311" t="str">
        <f t="shared" si="13"/>
        <v>宗地开发程度</v>
      </c>
      <c r="AA41" s="1310">
        <f t="shared" si="3"/>
        <v>1</v>
      </c>
      <c r="AB41" s="1310">
        <f t="shared" si="4"/>
        <v>1</v>
      </c>
      <c r="AC41" s="1310">
        <f t="shared" si="5"/>
        <v>1</v>
      </c>
    </row>
    <row r="42" ht="15" spans="1:29">
      <c r="A42" s="1185"/>
      <c r="B42" s="1127" t="s">
        <v>1518</v>
      </c>
      <c r="C42" s="1186"/>
      <c r="D42" s="1138">
        <v>100</v>
      </c>
      <c r="E42" s="1186"/>
      <c r="F42" s="1138">
        <f>SUMIF(125:125,E42,126:126)-SUMIF(125:125,C42,126:126)+100</f>
        <v>100</v>
      </c>
      <c r="G42" s="1186"/>
      <c r="H42" s="1138">
        <f>SUMIF(125:125,G42,126:126)-SUMIF(125:125,C42,126:126)+100</f>
        <v>100</v>
      </c>
      <c r="I42" s="1186"/>
      <c r="J42" s="1138">
        <f>SUMIF(125:125,I42,126:126)-SUMIF(125:125,C42,126:126)+100</f>
        <v>100</v>
      </c>
      <c r="K42" s="1262"/>
      <c r="L42" s="1251"/>
      <c r="M42" s="1236"/>
      <c r="N42" s="1236"/>
      <c r="O42" s="1250"/>
      <c r="P42" s="1267" t="s">
        <v>1073</v>
      </c>
      <c r="Q42" s="491" t="str">
        <f t="shared" si="14"/>
        <v>工程地质条件</v>
      </c>
      <c r="R42" s="1295" t="s">
        <v>1045</v>
      </c>
      <c r="S42" s="1296">
        <f t="shared" si="10"/>
        <v>100</v>
      </c>
      <c r="T42" s="1295" t="s">
        <v>1045</v>
      </c>
      <c r="U42" s="1296">
        <f t="shared" si="11"/>
        <v>100</v>
      </c>
      <c r="V42" s="1295" t="s">
        <v>1045</v>
      </c>
      <c r="W42" s="1296">
        <f t="shared" si="12"/>
        <v>100</v>
      </c>
      <c r="X42" s="1282"/>
      <c r="Y42" s="1267" t="s">
        <v>1073</v>
      </c>
      <c r="Z42" s="1281" t="str">
        <f t="shared" si="13"/>
        <v>工程地质条件</v>
      </c>
      <c r="AA42" s="1312">
        <f t="shared" si="3"/>
        <v>1</v>
      </c>
      <c r="AB42" s="1312">
        <f t="shared" si="4"/>
        <v>1</v>
      </c>
      <c r="AC42" s="1312">
        <f t="shared" si="5"/>
        <v>1</v>
      </c>
    </row>
    <row r="43" ht="15" spans="1:29">
      <c r="A43" s="1185"/>
      <c r="B43" s="1189">
        <v>111</v>
      </c>
      <c r="C43" s="1140"/>
      <c r="D43" s="1138">
        <v>100</v>
      </c>
      <c r="E43" s="1140"/>
      <c r="F43" s="1138">
        <f>SUMIF(127:127,E43,128:128)-SUMIF(127:127,C43,128:128)+100</f>
        <v>100</v>
      </c>
      <c r="G43" s="1140"/>
      <c r="H43" s="1138">
        <f>SUMIF(127:127,G43,128:128)-SUMIF(127:127,C43,128:128)+100</f>
        <v>100</v>
      </c>
      <c r="I43" s="1139"/>
      <c r="J43" s="1138">
        <f>SUMIF(127:127,I43,128:128)-SUMIF(127:127,C43,128:128)+100</f>
        <v>100</v>
      </c>
      <c r="K43" s="1260"/>
      <c r="L43" s="1251"/>
      <c r="M43" s="1236"/>
      <c r="N43" s="1236"/>
      <c r="O43" s="1250"/>
      <c r="P43" s="1267"/>
      <c r="Q43" s="491">
        <f t="shared" si="14"/>
        <v>111</v>
      </c>
      <c r="R43" s="1295" t="s">
        <v>1045</v>
      </c>
      <c r="S43" s="1296">
        <f t="shared" si="10"/>
        <v>100</v>
      </c>
      <c r="T43" s="1295" t="s">
        <v>1045</v>
      </c>
      <c r="U43" s="1296">
        <f t="shared" si="11"/>
        <v>100</v>
      </c>
      <c r="V43" s="1295" t="s">
        <v>1045</v>
      </c>
      <c r="W43" s="1296">
        <f t="shared" si="12"/>
        <v>100</v>
      </c>
      <c r="X43" s="1282"/>
      <c r="Y43" s="1267"/>
      <c r="Z43" s="1281">
        <f t="shared" si="13"/>
        <v>111</v>
      </c>
      <c r="AA43" s="1312">
        <f t="shared" si="3"/>
        <v>1</v>
      </c>
      <c r="AB43" s="1312">
        <f t="shared" si="4"/>
        <v>1</v>
      </c>
      <c r="AC43" s="1312">
        <f t="shared" si="5"/>
        <v>1</v>
      </c>
    </row>
    <row r="44" ht="15" spans="1:29">
      <c r="A44" s="1185"/>
      <c r="B44" s="1189">
        <v>111</v>
      </c>
      <c r="C44" s="1140"/>
      <c r="D44" s="1138">
        <v>100</v>
      </c>
      <c r="E44" s="1140"/>
      <c r="F44" s="1138">
        <f>SUMIF(129:129,E44,130:130)-SUMIF(129:129,C44,130:130)+100</f>
        <v>100</v>
      </c>
      <c r="G44" s="1140"/>
      <c r="H44" s="1138">
        <f>SUMIF(129:129,G44,130:130)-SUMIF(129:129,C44,130:130)+100</f>
        <v>100</v>
      </c>
      <c r="I44" s="1139"/>
      <c r="J44" s="1138">
        <f>SUMIF(129:129,I44,130:130)-SUMIF(129:129,C44,130:130)+100</f>
        <v>100</v>
      </c>
      <c r="K44" s="1260"/>
      <c r="L44" s="1251"/>
      <c r="M44" s="1236"/>
      <c r="N44" s="1236"/>
      <c r="O44" s="1250"/>
      <c r="P44" s="1267"/>
      <c r="Q44" s="491">
        <f t="shared" si="14"/>
        <v>111</v>
      </c>
      <c r="R44" s="1295" t="s">
        <v>1045</v>
      </c>
      <c r="S44" s="1296">
        <f t="shared" si="10"/>
        <v>100</v>
      </c>
      <c r="T44" s="1295" t="s">
        <v>1045</v>
      </c>
      <c r="U44" s="1296">
        <f t="shared" si="11"/>
        <v>100</v>
      </c>
      <c r="V44" s="1295" t="s">
        <v>1045</v>
      </c>
      <c r="W44" s="1296">
        <f t="shared" si="12"/>
        <v>100</v>
      </c>
      <c r="X44" s="1282"/>
      <c r="Y44" s="1267"/>
      <c r="Z44" s="1281">
        <f t="shared" si="13"/>
        <v>111</v>
      </c>
      <c r="AA44" s="1312">
        <f t="shared" si="3"/>
        <v>1</v>
      </c>
      <c r="AB44" s="1312">
        <f t="shared" si="4"/>
        <v>1</v>
      </c>
      <c r="AC44" s="1312">
        <f t="shared" si="5"/>
        <v>1</v>
      </c>
    </row>
    <row r="45" s="1082" customFormat="1" ht="15.75" spans="1:29">
      <c r="A45" s="1190"/>
      <c r="B45" s="1189">
        <v>111</v>
      </c>
      <c r="C45" s="1191"/>
      <c r="D45" s="1192">
        <v>100</v>
      </c>
      <c r="E45" s="1140"/>
      <c r="F45" s="1144">
        <f>SUMIF(131:131,E45,132:132)-SUMIF(131:131,C45,132:132)+100</f>
        <v>100</v>
      </c>
      <c r="G45" s="1140"/>
      <c r="H45" s="1144">
        <f>SUMIF(131:131,G45,132:132)-SUMIF(131:131,C45,132:132)+100</f>
        <v>100</v>
      </c>
      <c r="I45" s="1140"/>
      <c r="J45" s="1144">
        <f>SUMIF(131:131,I45,132:132)-SUMIF(131:131,C45,132:132)+100</f>
        <v>100</v>
      </c>
      <c r="K45" s="1269"/>
      <c r="L45" s="1249"/>
      <c r="M45" s="1265"/>
      <c r="N45" s="1265"/>
      <c r="O45" s="1266"/>
      <c r="P45" s="1267"/>
      <c r="Q45" s="491">
        <f t="shared" si="14"/>
        <v>111</v>
      </c>
      <c r="R45" s="1297" t="s">
        <v>1045</v>
      </c>
      <c r="S45" s="1298">
        <f t="shared" si="10"/>
        <v>100</v>
      </c>
      <c r="T45" s="1297" t="s">
        <v>1045</v>
      </c>
      <c r="U45" s="1298">
        <f t="shared" si="11"/>
        <v>100</v>
      </c>
      <c r="V45" s="1297" t="s">
        <v>1045</v>
      </c>
      <c r="W45" s="1298">
        <f t="shared" si="12"/>
        <v>100</v>
      </c>
      <c r="X45" s="1299"/>
      <c r="Y45" s="1267"/>
      <c r="Z45" s="1313">
        <f t="shared" si="13"/>
        <v>111</v>
      </c>
      <c r="AA45" s="1312">
        <f t="shared" si="3"/>
        <v>1</v>
      </c>
      <c r="AB45" s="1312">
        <f t="shared" si="4"/>
        <v>1</v>
      </c>
      <c r="AC45" s="1312">
        <f t="shared" si="5"/>
        <v>1</v>
      </c>
    </row>
    <row r="46" ht="15" spans="1:29">
      <c r="A46" s="1193" t="s">
        <v>1501</v>
      </c>
      <c r="B46" s="1194" t="s">
        <v>1519</v>
      </c>
      <c r="C46" s="1195" t="s">
        <v>121</v>
      </c>
      <c r="D46" s="1196"/>
      <c r="E46" s="1197"/>
      <c r="F46" s="1198"/>
      <c r="G46" s="1199"/>
      <c r="H46" s="1200"/>
      <c r="I46" s="1197"/>
      <c r="J46" s="1200"/>
      <c r="K46" s="1270"/>
      <c r="L46" s="1271"/>
      <c r="N46" s="1236"/>
      <c r="P46" s="491" t="str">
        <f>A46</f>
        <v>成交单价</v>
      </c>
      <c r="Q46" s="491"/>
      <c r="R46" s="1281">
        <f>E46</f>
        <v>0</v>
      </c>
      <c r="S46" s="1281"/>
      <c r="T46" s="1281">
        <f>G46</f>
        <v>0</v>
      </c>
      <c r="U46" s="1281"/>
      <c r="V46" s="1281">
        <f>I46</f>
        <v>0</v>
      </c>
      <c r="W46" s="1281"/>
      <c r="X46" s="1300"/>
      <c r="Y46" s="1314"/>
      <c r="Z46" s="1300"/>
      <c r="AA46" s="1300"/>
      <c r="AB46" s="1300"/>
      <c r="AC46" s="1300"/>
    </row>
    <row r="47" ht="15.75" spans="1:29">
      <c r="A47" s="1201" t="s">
        <v>1088</v>
      </c>
      <c r="B47" s="1202"/>
      <c r="C47" s="1203" t="e">
        <f>R48</f>
        <v>#DIV/0!</v>
      </c>
      <c r="D47" s="831" t="s">
        <v>1089</v>
      </c>
      <c r="E47" s="1203" t="e">
        <f>R47</f>
        <v>#DIV/0!</v>
      </c>
      <c r="F47" s="832"/>
      <c r="G47" s="1204" t="e">
        <f>T47</f>
        <v>#DIV/0!</v>
      </c>
      <c r="H47" s="832"/>
      <c r="I47" s="1203" t="e">
        <f>V47</f>
        <v>#DIV/0!</v>
      </c>
      <c r="J47" s="832"/>
      <c r="K47" s="918">
        <f>F47+H47+J47</f>
        <v>0</v>
      </c>
      <c r="L47" s="1271"/>
      <c r="P47" s="491" t="str">
        <f>A47</f>
        <v>比较价值（元/平方米）</v>
      </c>
      <c r="Q47" s="491"/>
      <c r="R47" s="1301" t="e">
        <f>ROUND(PRODUCT(R46,AA7:AA45),0)</f>
        <v>#DIV/0!</v>
      </c>
      <c r="S47" s="1301"/>
      <c r="T47" s="1301" t="e">
        <f>ROUND(PRODUCT(T46,AB7:AB45),0)</f>
        <v>#DIV/0!</v>
      </c>
      <c r="U47" s="1301"/>
      <c r="V47" s="1301" t="e">
        <f>ROUND(PRODUCT(V46,AC7:AC45),0)</f>
        <v>#DIV/0!</v>
      </c>
      <c r="W47" s="1301"/>
      <c r="X47" s="1300"/>
      <c r="Y47" s="1300"/>
      <c r="Z47" s="1300"/>
      <c r="AA47" s="1300"/>
      <c r="AB47" s="1300"/>
      <c r="AC47" s="1300"/>
    </row>
    <row r="48" ht="15.75" spans="1:29">
      <c r="A48" s="1205" t="s">
        <v>1090</v>
      </c>
      <c r="B48" s="1206"/>
      <c r="C48" s="1207" t="e">
        <f>R48</f>
        <v>#DIV/0!</v>
      </c>
      <c r="D48" s="1207"/>
      <c r="E48" s="1207"/>
      <c r="F48" s="1207"/>
      <c r="G48" s="1207"/>
      <c r="H48" s="1207"/>
      <c r="I48" s="1207"/>
      <c r="J48" s="1207"/>
      <c r="K48" s="1272"/>
      <c r="L48" s="1271"/>
      <c r="P48" s="1273" t="str">
        <f>A48</f>
        <v>估价对象XX用房的比较价值（楼面单价，元/平方米）</v>
      </c>
      <c r="Q48" s="1302"/>
      <c r="R48" s="1303" t="e">
        <f>ROUND(IF(D47="简单平均",AVERAGE(R47:W47),R47*F47+T47*H47+V47*J47),0)</f>
        <v>#DIV/0!</v>
      </c>
      <c r="S48" s="1303"/>
      <c r="T48" s="1303"/>
      <c r="U48" s="1303"/>
      <c r="V48" s="1303"/>
      <c r="W48" s="1303"/>
      <c r="X48" s="1300"/>
      <c r="Y48" s="1300"/>
      <c r="Z48" s="1300"/>
      <c r="AA48" s="1300"/>
      <c r="AB48" s="1300"/>
      <c r="AC48" s="1300"/>
    </row>
    <row r="49" spans="7:7">
      <c r="G49" s="1208"/>
    </row>
    <row r="51" ht="13.5" customHeight="1" spans="3:10">
      <c r="C51" s="838" t="s">
        <v>1091</v>
      </c>
      <c r="D51" s="530"/>
      <c r="E51" s="1209" t="e">
        <f>IF(E46&lt;E47,E47/E46-1,E46/E47-1)</f>
        <v>#DIV/0!</v>
      </c>
      <c r="F51" s="1210" t="e">
        <f>IF(OR(E51&gt;=0.3,E51&lt;=-0.3),"超过30%","")</f>
        <v>#DIV/0!</v>
      </c>
      <c r="G51" s="1209" t="e">
        <f>IF(G46&lt;G47,G47/G46-1,G46/G47-1)</f>
        <v>#DIV/0!</v>
      </c>
      <c r="H51" s="1210" t="e">
        <f>IF(OR(G51&gt;=0.3,G51&lt;=-0.3),"超过30%","")</f>
        <v>#DIV/0!</v>
      </c>
      <c r="I51" s="1209" t="e">
        <f>IF(I46&lt;I47,I47/I46-1,I46/I47-1)</f>
        <v>#DIV/0!</v>
      </c>
      <c r="J51" s="1210" t="e">
        <f>IF(OR(I51&gt;=0.3,I51&lt;=-0.3),"超过30%","")</f>
        <v>#DIV/0!</v>
      </c>
    </row>
    <row r="52" ht="13.5" customHeight="1" spans="3:10">
      <c r="C52" s="838" t="s">
        <v>1092</v>
      </c>
      <c r="D52" s="529"/>
      <c r="E52" s="1209" t="e">
        <f>IF(E47&lt;G47,G47/E47-1,E47/G47-1)</f>
        <v>#DIV/0!</v>
      </c>
      <c r="F52" s="1210" t="e">
        <f>IF(OR(E52&gt;=0.2,E52&lt;=-0.2),"超过20%","")</f>
        <v>#DIV/0!</v>
      </c>
      <c r="G52" s="1209" t="e">
        <f>IF(G47&lt;I47,I47/G47-1,G47/I47-1)</f>
        <v>#DIV/0!</v>
      </c>
      <c r="H52" s="1210" t="e">
        <f>IF(OR(G52&gt;=0.2,G52&lt;=-0.2),"超过20%","")</f>
        <v>#DIV/0!</v>
      </c>
      <c r="I52" s="1209" t="e">
        <f>IF(I47&lt;E47,E47/I47-1,I47/E47-1)</f>
        <v>#DIV/0!</v>
      </c>
      <c r="J52" s="1210" t="e">
        <f>IF(OR(I52&gt;=0.2,I52&lt;=-0.2),"超过20%","")</f>
        <v>#DIV/0!</v>
      </c>
    </row>
    <row r="53" s="1083" customFormat="1" ht="13.5" customHeight="1" spans="3:12">
      <c r="C53" s="838" t="s">
        <v>1093</v>
      </c>
      <c r="D53" s="529"/>
      <c r="E53" s="1209" t="e">
        <f>IF(E46&lt;G46,G46/E46-1,E46/G46-1)</f>
        <v>#DIV/0!</v>
      </c>
      <c r="F53" s="1210" t="e">
        <f>IF(OR(E53&gt;=0.3,E53&lt;=-0.3),"超过30%","")</f>
        <v>#DIV/0!</v>
      </c>
      <c r="G53" s="1209" t="e">
        <f>IF(G46&lt;I46,I46/G46-1,G46/I46-1)</f>
        <v>#DIV/0!</v>
      </c>
      <c r="H53" s="1210" t="e">
        <f>IF(OR(G53&gt;=0.3,G53&lt;=-0.3),"超过30%","")</f>
        <v>#DIV/0!</v>
      </c>
      <c r="I53" s="1209" t="e">
        <f>IF(I46&lt;E46,E46/I46-1,I46/E46-1)</f>
        <v>#DIV/0!</v>
      </c>
      <c r="J53" s="1210" t="e">
        <f>IF(OR(I53&gt;=0.3,I53&lt;=-0.3),"超过30%","")</f>
        <v>#DIV/0!</v>
      </c>
      <c r="K53" s="1274"/>
      <c r="L53" s="1275"/>
    </row>
    <row r="54" s="1083" customFormat="1" ht="15" spans="2:12">
      <c r="B54" s="1211"/>
      <c r="C54" s="1212"/>
      <c r="K54" s="1274"/>
      <c r="L54" s="1275"/>
    </row>
    <row r="55" ht="27" spans="1:11">
      <c r="A55" s="845" t="s">
        <v>1520</v>
      </c>
      <c r="B55" s="1213" t="s">
        <v>1521</v>
      </c>
      <c r="C55" s="1214" t="s">
        <v>1522</v>
      </c>
      <c r="D55" s="1215" t="s">
        <v>1523</v>
      </c>
      <c r="E55" s="1216" t="s">
        <v>1524</v>
      </c>
      <c r="F55" s="1217" t="s">
        <v>1525</v>
      </c>
      <c r="G55" s="1218" t="s">
        <v>1526</v>
      </c>
      <c r="H55" s="1218" t="str">
        <f>项目基本情况!G8</f>
        <v>XX</v>
      </c>
      <c r="I55" s="1276" t="s">
        <v>1527</v>
      </c>
      <c r="J55" s="1277"/>
      <c r="K55" s="1278"/>
    </row>
    <row r="56" s="1084" customFormat="1" spans="1:14">
      <c r="A56" s="1219" t="s">
        <v>1528</v>
      </c>
      <c r="B56" s="1220" t="e">
        <f>C48</f>
        <v>#DIV/0!</v>
      </c>
      <c r="C56" s="1221">
        <v>1</v>
      </c>
      <c r="D56" s="1222">
        <v>1</v>
      </c>
      <c r="E56" s="1223">
        <v>120</v>
      </c>
      <c r="F56" s="1224" t="e">
        <f t="shared" ref="F56:F65" si="15">ROUND(B56*E56,0)</f>
        <v>#DIV/0!</v>
      </c>
      <c r="G56" s="518">
        <v>1</v>
      </c>
      <c r="H56" s="518">
        <v>1</v>
      </c>
      <c r="I56" s="1083"/>
      <c r="J56" s="1083"/>
      <c r="K56" s="1274"/>
      <c r="L56" s="1275"/>
      <c r="M56" s="1083"/>
      <c r="N56" s="1083"/>
    </row>
    <row r="57" s="1084" customFormat="1" spans="1:14">
      <c r="A57" s="1225" t="s">
        <v>1529</v>
      </c>
      <c r="B57" s="1226" t="e">
        <f>ROUND($C$48*C57*D57,0)</f>
        <v>#DIV/0!</v>
      </c>
      <c r="C57" s="410">
        <f>IF($C$55="北京市系数",G57,H57)</f>
        <v>0</v>
      </c>
      <c r="D57" s="1227">
        <v>0.25</v>
      </c>
      <c r="E57" s="1223">
        <v>0</v>
      </c>
      <c r="F57" s="1224" t="e">
        <f t="shared" si="15"/>
        <v>#DIV/0!</v>
      </c>
      <c r="G57" s="518">
        <f>SUMIF(修正!$A$45:$A$56,项目基本情况!$F$9,修正!B45:B56)</f>
        <v>0</v>
      </c>
      <c r="H57" s="1228"/>
      <c r="I57" s="581"/>
      <c r="J57" s="1087"/>
      <c r="K57" s="1088"/>
      <c r="L57" s="1088"/>
      <c r="M57" s="581"/>
      <c r="N57" s="581"/>
    </row>
    <row r="58" s="1084" customFormat="1" spans="1:14">
      <c r="A58" s="1225" t="s">
        <v>1530</v>
      </c>
      <c r="B58" s="1226" t="e">
        <f t="shared" ref="B58:B65" si="16">ROUND($C$48*C58*D58,0)</f>
        <v>#DIV/0!</v>
      </c>
      <c r="C58" s="410">
        <f t="shared" ref="C58:C65" si="17">IF($C$55="北京市系数",G58,H58)</f>
        <v>0</v>
      </c>
      <c r="D58" s="1227">
        <v>0.25</v>
      </c>
      <c r="E58" s="1223">
        <v>0</v>
      </c>
      <c r="F58" s="1224" t="e">
        <f t="shared" si="15"/>
        <v>#DIV/0!</v>
      </c>
      <c r="G58" s="518">
        <f>SUMIF(修正!$A$45:$A$56,项目基本情况!$F$9,修正!C45:C56)</f>
        <v>0</v>
      </c>
      <c r="H58" s="1228"/>
      <c r="I58" s="1083"/>
      <c r="J58" s="1083"/>
      <c r="K58" s="1274"/>
      <c r="L58" s="1275"/>
      <c r="M58" s="1083"/>
      <c r="N58" s="1083"/>
    </row>
    <row r="59" s="1084" customFormat="1" spans="1:14">
      <c r="A59" s="1225" t="s">
        <v>1531</v>
      </c>
      <c r="B59" s="1226" t="e">
        <f t="shared" si="16"/>
        <v>#DIV/0!</v>
      </c>
      <c r="C59" s="410">
        <f t="shared" si="17"/>
        <v>0</v>
      </c>
      <c r="D59" s="1227">
        <v>0.25</v>
      </c>
      <c r="E59" s="1223">
        <v>0</v>
      </c>
      <c r="F59" s="1224" t="e">
        <f t="shared" si="15"/>
        <v>#DIV/0!</v>
      </c>
      <c r="G59" s="518">
        <f>SUMIF(修正!$A$45:$A$56,项目基本情况!$F$9,修正!D45:D56)</f>
        <v>0</v>
      </c>
      <c r="H59" s="1228"/>
      <c r="I59" s="581"/>
      <c r="J59" s="1087"/>
      <c r="K59" s="1088"/>
      <c r="L59" s="1088"/>
      <c r="M59" s="581"/>
      <c r="N59" s="581"/>
    </row>
    <row r="60" s="1084" customFormat="1" spans="1:14">
      <c r="A60" s="1225" t="s">
        <v>1532</v>
      </c>
      <c r="B60" s="1226" t="e">
        <f t="shared" si="16"/>
        <v>#DIV/0!</v>
      </c>
      <c r="C60" s="410">
        <f t="shared" si="17"/>
        <v>0</v>
      </c>
      <c r="D60" s="1227">
        <v>0.25</v>
      </c>
      <c r="E60" s="1223">
        <v>0</v>
      </c>
      <c r="F60" s="1224" t="e">
        <f t="shared" si="15"/>
        <v>#DIV/0!</v>
      </c>
      <c r="G60" s="518">
        <f>SUMIF(修正!$A$45:$A$56,项目基本情况!$F$9,修正!E45:E56)</f>
        <v>0</v>
      </c>
      <c r="H60" s="1228"/>
      <c r="I60" s="1083"/>
      <c r="J60" s="1083"/>
      <c r="K60" s="1274"/>
      <c r="L60" s="1275"/>
      <c r="M60" s="1083"/>
      <c r="N60" s="1083"/>
    </row>
    <row r="61" s="1084" customFormat="1" spans="1:14">
      <c r="A61" s="1225" t="s">
        <v>1533</v>
      </c>
      <c r="B61" s="1226" t="e">
        <f t="shared" si="16"/>
        <v>#DIV/0!</v>
      </c>
      <c r="C61" s="410">
        <f t="shared" si="17"/>
        <v>0</v>
      </c>
      <c r="D61" s="1227">
        <v>0.25</v>
      </c>
      <c r="E61" s="1223">
        <v>0</v>
      </c>
      <c r="F61" s="1224" t="e">
        <f t="shared" si="15"/>
        <v>#DIV/0!</v>
      </c>
      <c r="G61" s="518">
        <f>SUMIF(修正!A45:A56,项目基本情况!F9,修正!F45:F56)</f>
        <v>0</v>
      </c>
      <c r="H61" s="1228"/>
      <c r="I61" s="581"/>
      <c r="J61" s="1087"/>
      <c r="K61" s="1088"/>
      <c r="L61" s="1088"/>
      <c r="M61" s="581"/>
      <c r="N61" s="581"/>
    </row>
    <row r="62" s="1084" customFormat="1" spans="1:14">
      <c r="A62" s="1225" t="s">
        <v>1534</v>
      </c>
      <c r="B62" s="1226" t="e">
        <f t="shared" si="16"/>
        <v>#DIV/0!</v>
      </c>
      <c r="C62" s="410">
        <f t="shared" si="17"/>
        <v>0</v>
      </c>
      <c r="D62" s="1227">
        <v>0.25</v>
      </c>
      <c r="E62" s="1223">
        <v>0</v>
      </c>
      <c r="F62" s="1224" t="e">
        <f t="shared" si="15"/>
        <v>#DIV/0!</v>
      </c>
      <c r="G62" s="518">
        <f>SUMIF(修正!A45:A56,项目基本情况!F9,修正!G45:G56)</f>
        <v>0</v>
      </c>
      <c r="H62" s="1228"/>
      <c r="I62" s="1083"/>
      <c r="J62" s="1083"/>
      <c r="K62" s="1274"/>
      <c r="L62" s="1275"/>
      <c r="M62" s="1083"/>
      <c r="N62" s="1083"/>
    </row>
    <row r="63" s="1084" customFormat="1" spans="1:14">
      <c r="A63" s="1225" t="s">
        <v>1535</v>
      </c>
      <c r="B63" s="1226" t="e">
        <f t="shared" si="16"/>
        <v>#DIV/0!</v>
      </c>
      <c r="C63" s="410">
        <f t="shared" si="17"/>
        <v>0</v>
      </c>
      <c r="D63" s="1227">
        <v>0.25</v>
      </c>
      <c r="E63" s="1223">
        <v>0</v>
      </c>
      <c r="F63" s="1224" t="e">
        <f t="shared" si="15"/>
        <v>#DIV/0!</v>
      </c>
      <c r="G63" s="518">
        <f>SUMIF(修正!A45:A56,项目基本情况!F9,修正!H45:H56)</f>
        <v>0</v>
      </c>
      <c r="H63" s="1228"/>
      <c r="I63" s="581"/>
      <c r="J63" s="1087"/>
      <c r="K63" s="1088"/>
      <c r="L63" s="1088"/>
      <c r="M63" s="581"/>
      <c r="N63" s="581"/>
    </row>
    <row r="64" s="1084" customFormat="1" spans="1:14">
      <c r="A64" s="1225" t="s">
        <v>1536</v>
      </c>
      <c r="B64" s="1226" t="e">
        <f t="shared" si="16"/>
        <v>#DIV/0!</v>
      </c>
      <c r="C64" s="410">
        <f t="shared" si="17"/>
        <v>0</v>
      </c>
      <c r="D64" s="1227">
        <v>0.25</v>
      </c>
      <c r="E64" s="1223">
        <v>0</v>
      </c>
      <c r="F64" s="1224" t="e">
        <f t="shared" si="15"/>
        <v>#DIV/0!</v>
      </c>
      <c r="G64" s="518">
        <f>G63</f>
        <v>0</v>
      </c>
      <c r="H64" s="1228"/>
      <c r="I64" s="1083"/>
      <c r="J64" s="1083"/>
      <c r="K64" s="1274"/>
      <c r="L64" s="1275"/>
      <c r="M64" s="1083"/>
      <c r="N64" s="1083"/>
    </row>
    <row r="65" s="1084" customFormat="1" spans="1:14">
      <c r="A65" s="1225" t="s">
        <v>1537</v>
      </c>
      <c r="B65" s="1226" t="e">
        <f t="shared" si="16"/>
        <v>#DIV/0!</v>
      </c>
      <c r="C65" s="410">
        <f t="shared" si="17"/>
        <v>0</v>
      </c>
      <c r="D65" s="1227">
        <v>0.25</v>
      </c>
      <c r="E65" s="1223">
        <v>0</v>
      </c>
      <c r="F65" s="1224" t="e">
        <f t="shared" si="15"/>
        <v>#DIV/0!</v>
      </c>
      <c r="G65" s="518">
        <f>G63</f>
        <v>0</v>
      </c>
      <c r="H65" s="1228"/>
      <c r="I65" s="581"/>
      <c r="J65" s="1087"/>
      <c r="K65" s="1088"/>
      <c r="L65" s="1088"/>
      <c r="M65" s="581"/>
      <c r="N65" s="581"/>
    </row>
    <row r="66" s="1084" customFormat="1" ht="13.5" spans="1:11">
      <c r="A66" s="1315" t="s">
        <v>1538</v>
      </c>
      <c r="B66" s="1316" t="s">
        <v>1482</v>
      </c>
      <c r="C66" s="1316" t="s">
        <v>1482</v>
      </c>
      <c r="D66" s="1316" t="s">
        <v>1482</v>
      </c>
      <c r="E66" s="1316">
        <f>SUM(E56:E65)</f>
        <v>120</v>
      </c>
      <c r="F66" s="1317" t="e">
        <f>SUM(F56:F65)</f>
        <v>#DIV/0!</v>
      </c>
      <c r="G66" s="1318"/>
      <c r="H66" s="1318"/>
      <c r="I66" s="1373"/>
      <c r="J66" s="1373"/>
      <c r="K66" s="1373"/>
    </row>
    <row r="67" spans="1:15">
      <c r="A67" s="1319"/>
      <c r="B67" s="1320"/>
      <c r="C67" s="1321"/>
      <c r="D67" s="1319"/>
      <c r="E67" s="1319"/>
      <c r="F67" s="1319"/>
      <c r="G67" s="1319"/>
      <c r="H67" s="1319"/>
      <c r="I67" s="1319"/>
      <c r="J67" s="1319"/>
      <c r="K67" s="1374"/>
      <c r="L67" s="1278"/>
      <c r="M67" s="1319"/>
      <c r="N67" s="1319"/>
      <c r="O67" s="1319"/>
    </row>
    <row r="68" s="1085" customFormat="1" spans="1:15">
      <c r="A68" s="1300"/>
      <c r="B68" s="1322"/>
      <c r="C68" s="1322" t="str">
        <f>YEAR(C7)&amp;"-"&amp;MONTH(C7)&amp;"-1"</f>
        <v>2022-1-1</v>
      </c>
      <c r="D68" s="1322">
        <f>EDATE(C68,-3)</f>
        <v>44470</v>
      </c>
      <c r="E68" s="1322">
        <f t="shared" ref="E68:O68" si="18">EDATE(D68,-3)</f>
        <v>44378</v>
      </c>
      <c r="F68" s="1322">
        <f t="shared" si="18"/>
        <v>44287</v>
      </c>
      <c r="G68" s="1322">
        <f t="shared" si="18"/>
        <v>44197</v>
      </c>
      <c r="H68" s="1322">
        <f t="shared" si="18"/>
        <v>44105</v>
      </c>
      <c r="I68" s="1322">
        <f t="shared" si="18"/>
        <v>44013</v>
      </c>
      <c r="J68" s="1322">
        <f t="shared" si="18"/>
        <v>43922</v>
      </c>
      <c r="K68" s="1322">
        <f t="shared" si="18"/>
        <v>43831</v>
      </c>
      <c r="L68" s="1322">
        <f t="shared" si="18"/>
        <v>43739</v>
      </c>
      <c r="M68" s="1322">
        <f t="shared" si="18"/>
        <v>43647</v>
      </c>
      <c r="N68" s="1322">
        <f t="shared" si="18"/>
        <v>43556</v>
      </c>
      <c r="O68" s="1322">
        <f t="shared" si="18"/>
        <v>43466</v>
      </c>
    </row>
    <row r="69" ht="21" spans="1:17">
      <c r="A69" s="1323" t="s">
        <v>1094</v>
      </c>
      <c r="B69" s="1300"/>
      <c r="C69" s="1324"/>
      <c r="D69" s="1324"/>
      <c r="E69" s="1324"/>
      <c r="F69" s="1324"/>
      <c r="G69" s="1324"/>
      <c r="H69" s="1324"/>
      <c r="I69" s="1375"/>
      <c r="J69" s="1375"/>
      <c r="K69" s="1376"/>
      <c r="L69" s="1377"/>
      <c r="M69" s="1375"/>
      <c r="N69" s="1375"/>
      <c r="O69" s="1375"/>
      <c r="P69" s="1378"/>
      <c r="Q69" s="1382"/>
    </row>
    <row r="70" s="1086" customFormat="1" ht="15" spans="1:16">
      <c r="A70" s="1325" t="s">
        <v>1539</v>
      </c>
      <c r="B70" s="1326"/>
      <c r="C70" s="1327" t="str">
        <f>YEAR(C68)&amp;"-"&amp;ROUNDUP(MONTH(C68)/3,0)</f>
        <v>2022-1</v>
      </c>
      <c r="D70" s="1327" t="str">
        <f>YEAR(D68)&amp;"-"&amp;ROUNDUP(MONTH(D68)/3,0)</f>
        <v>2021-4</v>
      </c>
      <c r="E70" s="1327" t="str">
        <f t="shared" ref="E70:O70" si="19">YEAR(E68)&amp;"-"&amp;ROUNDUP(MONTH(E68)/3,0)</f>
        <v>2021-3</v>
      </c>
      <c r="F70" s="1327" t="str">
        <f t="shared" si="19"/>
        <v>2021-2</v>
      </c>
      <c r="G70" s="1327" t="str">
        <f t="shared" si="19"/>
        <v>2021-1</v>
      </c>
      <c r="H70" s="1327" t="str">
        <f t="shared" si="19"/>
        <v>2020-4</v>
      </c>
      <c r="I70" s="1327" t="str">
        <f t="shared" si="19"/>
        <v>2020-3</v>
      </c>
      <c r="J70" s="1327" t="str">
        <f t="shared" si="19"/>
        <v>2020-2</v>
      </c>
      <c r="K70" s="1327" t="str">
        <f t="shared" si="19"/>
        <v>2020-1</v>
      </c>
      <c r="L70" s="1327" t="str">
        <f t="shared" si="19"/>
        <v>2019-4</v>
      </c>
      <c r="M70" s="1327" t="str">
        <f t="shared" si="19"/>
        <v>2019-3</v>
      </c>
      <c r="N70" s="1327" t="str">
        <f t="shared" si="19"/>
        <v>2019-2</v>
      </c>
      <c r="O70" s="1327" t="str">
        <f t="shared" si="19"/>
        <v>2019-1</v>
      </c>
      <c r="P70" s="1379"/>
    </row>
    <row r="71" s="1080" customFormat="1" ht="29.25" customHeight="1" spans="1:16">
      <c r="A71" s="1328" t="s">
        <v>1540</v>
      </c>
      <c r="B71" s="1329" t="str">
        <f>"北京市平均增长率"&amp;TEXT(SUMIF(基准地价修正!N21:N25,A71,基准地价修正!P21:P25),"0.00%")</f>
        <v>北京市平均增长率0.00%</v>
      </c>
      <c r="C71" s="642">
        <v>100</v>
      </c>
      <c r="D71" s="1330"/>
      <c r="E71" s="1330"/>
      <c r="F71" s="1330"/>
      <c r="G71" s="1330"/>
      <c r="H71" s="1330"/>
      <c r="I71" s="1330"/>
      <c r="J71" s="1330"/>
      <c r="K71" s="1330"/>
      <c r="L71" s="1330"/>
      <c r="M71" s="1380"/>
      <c r="N71" s="1330"/>
      <c r="O71" s="1381"/>
      <c r="P71" s="1382"/>
    </row>
    <row r="72" s="1080" customFormat="1" ht="15.75" spans="1:17">
      <c r="A72" s="1331" t="s">
        <v>1095</v>
      </c>
      <c r="B72" s="1332"/>
      <c r="C72" s="1333"/>
      <c r="D72" s="1334"/>
      <c r="E72" s="1334"/>
      <c r="F72" s="1334"/>
      <c r="G72" s="1334"/>
      <c r="H72" s="1334"/>
      <c r="I72" s="1334"/>
      <c r="J72" s="1334"/>
      <c r="K72" s="1334"/>
      <c r="L72" s="1334"/>
      <c r="M72" s="1383"/>
      <c r="N72" s="1334"/>
      <c r="O72" s="1384"/>
      <c r="P72" s="1382"/>
      <c r="Q72" s="1382"/>
    </row>
    <row r="73" s="1080" customFormat="1" ht="15" spans="1:17">
      <c r="A73" s="1335" t="s">
        <v>1046</v>
      </c>
      <c r="B73" s="1336"/>
      <c r="C73" s="1337" t="s">
        <v>1047</v>
      </c>
      <c r="D73" s="1026"/>
      <c r="E73" s="1026"/>
      <c r="F73" s="1026"/>
      <c r="G73" s="1026"/>
      <c r="H73" s="1026"/>
      <c r="I73" s="1026"/>
      <c r="J73" s="1026"/>
      <c r="K73" s="1026"/>
      <c r="L73" s="1026"/>
      <c r="M73" s="1385"/>
      <c r="N73" s="1386"/>
      <c r="O73" s="1386"/>
      <c r="P73" s="1387"/>
      <c r="Q73" s="1382"/>
    </row>
    <row r="74" s="1080" customFormat="1" ht="15.75" spans="1:17">
      <c r="A74" s="1335"/>
      <c r="B74" s="1336"/>
      <c r="C74" s="1338">
        <v>100</v>
      </c>
      <c r="D74" s="1339"/>
      <c r="E74" s="1339"/>
      <c r="F74" s="1339"/>
      <c r="G74" s="1339"/>
      <c r="H74" s="1339"/>
      <c r="I74" s="1339"/>
      <c r="J74" s="1339"/>
      <c r="K74" s="1339"/>
      <c r="L74" s="1339"/>
      <c r="M74" s="1388"/>
      <c r="N74" s="1386"/>
      <c r="O74" s="1386"/>
      <c r="P74" s="1382"/>
      <c r="Q74" s="1382"/>
    </row>
    <row r="75" spans="1:17">
      <c r="A75" s="1340" t="s">
        <v>1096</v>
      </c>
      <c r="B75" s="1341" t="s">
        <v>1051</v>
      </c>
      <c r="C75" s="1268"/>
      <c r="D75" s="1268"/>
      <c r="E75" s="1268"/>
      <c r="F75" s="1268"/>
      <c r="G75" s="1268"/>
      <c r="H75" s="1268"/>
      <c r="I75" s="1268"/>
      <c r="J75" s="1268"/>
      <c r="K75" s="1032"/>
      <c r="L75" s="1032"/>
      <c r="M75" s="1389"/>
      <c r="N75" s="1390"/>
      <c r="O75" s="1390"/>
      <c r="P75" s="1391"/>
      <c r="Q75" s="1382"/>
    </row>
    <row r="76" ht="15.75" spans="1:17">
      <c r="A76" s="1342"/>
      <c r="B76" s="1343"/>
      <c r="C76" s="1344"/>
      <c r="D76" s="1344"/>
      <c r="E76" s="1344"/>
      <c r="F76" s="1344"/>
      <c r="G76" s="1344"/>
      <c r="H76" s="1344"/>
      <c r="I76" s="1344"/>
      <c r="J76" s="1344"/>
      <c r="K76" s="1344"/>
      <c r="L76" s="1344"/>
      <c r="M76" s="1392"/>
      <c r="N76" s="1393"/>
      <c r="O76" s="1393"/>
      <c r="P76" s="1391"/>
      <c r="Q76" s="1382"/>
    </row>
    <row r="77" ht="27.75" spans="1:17">
      <c r="A77" s="1342"/>
      <c r="B77" s="1345" t="s">
        <v>1054</v>
      </c>
      <c r="C77" s="1346"/>
      <c r="D77" s="1346"/>
      <c r="E77" s="1346"/>
      <c r="F77" s="1346"/>
      <c r="G77" s="1346"/>
      <c r="H77" s="1346"/>
      <c r="I77" s="1346"/>
      <c r="J77" s="1346"/>
      <c r="K77" s="1039"/>
      <c r="L77" s="1039"/>
      <c r="M77" s="1394"/>
      <c r="N77" s="1390"/>
      <c r="O77" s="1390"/>
      <c r="P77" s="1391"/>
      <c r="Q77" s="1382"/>
    </row>
    <row r="78" ht="15.75" spans="1:17">
      <c r="A78" s="1342"/>
      <c r="B78" s="1347"/>
      <c r="C78" s="1348"/>
      <c r="D78" s="1348"/>
      <c r="E78" s="1348"/>
      <c r="F78" s="1348"/>
      <c r="G78" s="1348"/>
      <c r="H78" s="1348"/>
      <c r="I78" s="1348"/>
      <c r="J78" s="1348"/>
      <c r="K78" s="1348"/>
      <c r="L78" s="1348"/>
      <c r="M78" s="1395"/>
      <c r="N78" s="1393"/>
      <c r="O78" s="1393"/>
      <c r="P78" s="1391"/>
      <c r="Q78" s="1382"/>
    </row>
    <row r="79" ht="15.75" spans="1:17">
      <c r="A79" s="1342"/>
      <c r="B79" s="1349" t="s">
        <v>1056</v>
      </c>
      <c r="C79" s="1350" t="str">
        <f>C80&amp;"（含）"&amp;"-"&amp;D80</f>
        <v>（含）-</v>
      </c>
      <c r="D79" s="1350" t="str">
        <f t="shared" ref="D79:L79" si="20">D80&amp;"（含）"&amp;"-"&amp;E80</f>
        <v>（含）-</v>
      </c>
      <c r="E79" s="1350" t="str">
        <f t="shared" si="20"/>
        <v>（含）-</v>
      </c>
      <c r="F79" s="1350" t="str">
        <f t="shared" si="20"/>
        <v>（含）-</v>
      </c>
      <c r="G79" s="1350" t="str">
        <f t="shared" si="20"/>
        <v>（含）-</v>
      </c>
      <c r="H79" s="1350" t="str">
        <f t="shared" si="20"/>
        <v>（含）-</v>
      </c>
      <c r="I79" s="1350" t="str">
        <f t="shared" si="20"/>
        <v>（含）-</v>
      </c>
      <c r="J79" s="1350" t="str">
        <f t="shared" si="20"/>
        <v>（含）-</v>
      </c>
      <c r="K79" s="1350" t="str">
        <f t="shared" si="20"/>
        <v>（含）-</v>
      </c>
      <c r="L79" s="1350" t="str">
        <f t="shared" si="20"/>
        <v>（含）-</v>
      </c>
      <c r="M79" s="1151" t="str">
        <f>M80&amp;"（含）"&amp;"-"&amp;P80</f>
        <v>（含）-</v>
      </c>
      <c r="N79" s="1393"/>
      <c r="O79" s="1393"/>
      <c r="P79" s="1391"/>
      <c r="Q79" s="1382"/>
    </row>
    <row r="80" ht="15" spans="1:17">
      <c r="A80" s="1342"/>
      <c r="B80" s="1351"/>
      <c r="C80" s="1139"/>
      <c r="D80" s="1139"/>
      <c r="E80" s="1139"/>
      <c r="F80" s="1139"/>
      <c r="G80" s="1139"/>
      <c r="H80" s="1139"/>
      <c r="I80" s="1139"/>
      <c r="J80" s="1139"/>
      <c r="K80" s="1043"/>
      <c r="L80" s="1043"/>
      <c r="M80" s="1396"/>
      <c r="N80" s="1390"/>
      <c r="O80" s="1390"/>
      <c r="P80" s="1391"/>
      <c r="Q80" s="1382"/>
    </row>
    <row r="81" ht="15.75" spans="1:17">
      <c r="A81" s="1342"/>
      <c r="B81" s="1343"/>
      <c r="C81" s="1348">
        <v>100</v>
      </c>
      <c r="D81" s="1348">
        <f t="shared" ref="D81:M81" si="21">IF($B$46="单位面积地价",C81+$K11,C81-$K11)</f>
        <v>100</v>
      </c>
      <c r="E81" s="1348">
        <f t="shared" si="21"/>
        <v>100</v>
      </c>
      <c r="F81" s="1348">
        <f t="shared" si="21"/>
        <v>100</v>
      </c>
      <c r="G81" s="1348">
        <f t="shared" si="21"/>
        <v>100</v>
      </c>
      <c r="H81" s="1348">
        <f t="shared" si="21"/>
        <v>100</v>
      </c>
      <c r="I81" s="1348">
        <f t="shared" si="21"/>
        <v>100</v>
      </c>
      <c r="J81" s="1348">
        <f t="shared" si="21"/>
        <v>100</v>
      </c>
      <c r="K81" s="1348">
        <f t="shared" si="21"/>
        <v>100</v>
      </c>
      <c r="L81" s="1348">
        <f t="shared" si="21"/>
        <v>100</v>
      </c>
      <c r="M81" s="1348">
        <f t="shared" si="21"/>
        <v>100</v>
      </c>
      <c r="N81" s="1393"/>
      <c r="O81" s="1393"/>
      <c r="P81" s="1391"/>
      <c r="Q81" s="1382"/>
    </row>
    <row r="82" s="1082" customFormat="1" ht="15.75" spans="1:17">
      <c r="A82" s="1352"/>
      <c r="B82" s="1345" t="str">
        <f>B12</f>
        <v>配建</v>
      </c>
      <c r="C82" s="1353"/>
      <c r="D82" s="1353"/>
      <c r="E82" s="1353"/>
      <c r="F82" s="1353"/>
      <c r="G82" s="1353"/>
      <c r="H82" s="1045"/>
      <c r="I82" s="1045"/>
      <c r="J82" s="1045"/>
      <c r="K82" s="1045"/>
      <c r="L82" s="1045"/>
      <c r="M82" s="1397"/>
      <c r="N82" s="1398"/>
      <c r="O82" s="1398"/>
      <c r="P82" s="1399"/>
      <c r="Q82" s="1414"/>
    </row>
    <row r="83" s="1082" customFormat="1" ht="15.75" spans="1:17">
      <c r="A83" s="1352"/>
      <c r="B83" s="1347"/>
      <c r="C83" s="1354"/>
      <c r="D83" s="1344"/>
      <c r="E83" s="1344"/>
      <c r="F83" s="1344"/>
      <c r="G83" s="1344"/>
      <c r="H83" s="1344"/>
      <c r="I83" s="1344"/>
      <c r="J83" s="1344"/>
      <c r="K83" s="1344"/>
      <c r="L83" s="1344"/>
      <c r="M83" s="1392"/>
      <c r="N83" s="1393"/>
      <c r="O83" s="1393"/>
      <c r="P83" s="1399"/>
      <c r="Q83" s="1414"/>
    </row>
    <row r="84" s="1082" customFormat="1" ht="15.75" spans="1:17">
      <c r="A84" s="1352"/>
      <c r="B84" s="1345">
        <f>B13</f>
        <v>111</v>
      </c>
      <c r="C84" s="1353"/>
      <c r="D84" s="1353"/>
      <c r="E84" s="1353"/>
      <c r="F84" s="1353"/>
      <c r="G84" s="1353"/>
      <c r="H84" s="1045"/>
      <c r="I84" s="1045"/>
      <c r="J84" s="1045"/>
      <c r="K84" s="1045"/>
      <c r="L84" s="1045"/>
      <c r="M84" s="1397"/>
      <c r="N84" s="1398"/>
      <c r="O84" s="1398"/>
      <c r="P84" s="1265"/>
      <c r="Q84" s="1415"/>
    </row>
    <row r="85" s="1082" customFormat="1" ht="15.75" spans="1:17">
      <c r="A85" s="1352"/>
      <c r="B85" s="1347"/>
      <c r="C85" s="1354"/>
      <c r="D85" s="1354"/>
      <c r="E85" s="1354"/>
      <c r="F85" s="1354"/>
      <c r="G85" s="1354"/>
      <c r="H85" s="1355"/>
      <c r="I85" s="1355"/>
      <c r="J85" s="1355"/>
      <c r="K85" s="1355"/>
      <c r="L85" s="1355"/>
      <c r="M85" s="1400"/>
      <c r="N85" s="1398"/>
      <c r="O85" s="1398"/>
      <c r="P85" s="1399"/>
      <c r="Q85" s="1414"/>
    </row>
    <row r="86" s="1082" customFormat="1" ht="15.75" spans="1:17">
      <c r="A86" s="1352"/>
      <c r="B86" s="1349">
        <f>B14</f>
        <v>111</v>
      </c>
      <c r="C86" s="1026"/>
      <c r="D86" s="1026"/>
      <c r="E86" s="1026"/>
      <c r="F86" s="1026"/>
      <c r="G86" s="1026"/>
      <c r="H86" s="1050"/>
      <c r="I86" s="1050"/>
      <c r="J86" s="1050"/>
      <c r="K86" s="1050"/>
      <c r="L86" s="1050"/>
      <c r="M86" s="1401"/>
      <c r="N86" s="1398"/>
      <c r="O86" s="1398"/>
      <c r="P86" s="1399"/>
      <c r="Q86" s="1414"/>
    </row>
    <row r="87" s="1082" customFormat="1" ht="15.75" spans="1:17">
      <c r="A87" s="1356"/>
      <c r="B87" s="1357"/>
      <c r="C87" s="1358"/>
      <c r="D87" s="1358"/>
      <c r="E87" s="1358"/>
      <c r="F87" s="1358"/>
      <c r="G87" s="1358"/>
      <c r="H87" s="1359"/>
      <c r="I87" s="1359"/>
      <c r="J87" s="1359"/>
      <c r="K87" s="1359"/>
      <c r="L87" s="1359"/>
      <c r="M87" s="1402"/>
      <c r="N87" s="1398"/>
      <c r="O87" s="1398"/>
      <c r="P87" s="1399"/>
      <c r="Q87" s="1414"/>
    </row>
    <row r="88" spans="1:17">
      <c r="A88" s="1340" t="s">
        <v>1057</v>
      </c>
      <c r="B88" s="1341" t="s">
        <v>205</v>
      </c>
      <c r="C88" s="1360" t="s">
        <v>226</v>
      </c>
      <c r="D88" s="1360" t="s">
        <v>238</v>
      </c>
      <c r="E88" s="1360" t="s">
        <v>249</v>
      </c>
      <c r="F88" s="1360" t="s">
        <v>259</v>
      </c>
      <c r="G88" s="1360" t="s">
        <v>266</v>
      </c>
      <c r="H88" s="1361"/>
      <c r="I88" s="1361"/>
      <c r="J88" s="1361"/>
      <c r="K88" s="1055"/>
      <c r="L88" s="1055"/>
      <c r="M88" s="1403"/>
      <c r="N88" s="1390"/>
      <c r="O88" s="1390"/>
      <c r="P88" s="1391"/>
      <c r="Q88" s="1382"/>
    </row>
    <row r="89" ht="15.75" spans="1:17">
      <c r="A89" s="1342"/>
      <c r="B89" s="1347"/>
      <c r="C89" s="1348">
        <v>100</v>
      </c>
      <c r="D89" s="1348">
        <f>C89-$K15</f>
        <v>100</v>
      </c>
      <c r="E89" s="1348">
        <f>D89-$K15</f>
        <v>100</v>
      </c>
      <c r="F89" s="1348">
        <f>E89-$K15</f>
        <v>100</v>
      </c>
      <c r="G89" s="1348">
        <f>F89-$K15</f>
        <v>100</v>
      </c>
      <c r="H89" s="1348"/>
      <c r="I89" s="1348"/>
      <c r="J89" s="1348"/>
      <c r="K89" s="1348"/>
      <c r="L89" s="1348"/>
      <c r="M89" s="1395"/>
      <c r="N89" s="1393"/>
      <c r="O89" s="1393"/>
      <c r="P89" s="1391"/>
      <c r="Q89" s="1382"/>
    </row>
    <row r="90" ht="15.75" spans="1:17">
      <c r="A90" s="1342"/>
      <c r="B90" s="1345" t="s">
        <v>206</v>
      </c>
      <c r="C90" s="1058" t="s">
        <v>226</v>
      </c>
      <c r="D90" s="1058" t="s">
        <v>238</v>
      </c>
      <c r="E90" s="1058" t="s">
        <v>249</v>
      </c>
      <c r="F90" s="1058" t="s">
        <v>259</v>
      </c>
      <c r="G90" s="1058" t="s">
        <v>266</v>
      </c>
      <c r="H90" s="1346"/>
      <c r="I90" s="1346"/>
      <c r="J90" s="1346"/>
      <c r="K90" s="1039"/>
      <c r="L90" s="1039"/>
      <c r="M90" s="1394"/>
      <c r="N90" s="1390"/>
      <c r="O90" s="1390"/>
      <c r="P90" s="1391"/>
      <c r="Q90" s="1382"/>
    </row>
    <row r="91" ht="15.75" spans="1:17">
      <c r="A91" s="1342"/>
      <c r="B91" s="1347"/>
      <c r="C91" s="1348">
        <v>100</v>
      </c>
      <c r="D91" s="1348">
        <f>C91-$K17</f>
        <v>100</v>
      </c>
      <c r="E91" s="1348">
        <f>D91-$K17</f>
        <v>100</v>
      </c>
      <c r="F91" s="1348">
        <f>E91-$K17</f>
        <v>100</v>
      </c>
      <c r="G91" s="1348">
        <f>F91-$K17</f>
        <v>100</v>
      </c>
      <c r="H91" s="1348"/>
      <c r="I91" s="1348"/>
      <c r="J91" s="1348"/>
      <c r="K91" s="1348"/>
      <c r="L91" s="1348"/>
      <c r="M91" s="1395"/>
      <c r="N91" s="1393"/>
      <c r="O91" s="1393"/>
      <c r="P91" s="1391"/>
      <c r="Q91" s="1382"/>
    </row>
    <row r="92" ht="15.75" spans="1:17">
      <c r="A92" s="1342"/>
      <c r="B92" s="1345" t="s">
        <v>207</v>
      </c>
      <c r="C92" s="1058" t="s">
        <v>226</v>
      </c>
      <c r="D92" s="1058" t="s">
        <v>238</v>
      </c>
      <c r="E92" s="1058" t="s">
        <v>249</v>
      </c>
      <c r="F92" s="1058" t="s">
        <v>259</v>
      </c>
      <c r="G92" s="1058" t="s">
        <v>266</v>
      </c>
      <c r="H92" s="1346"/>
      <c r="I92" s="1346"/>
      <c r="J92" s="1346"/>
      <c r="K92" s="1039"/>
      <c r="L92" s="1039"/>
      <c r="M92" s="1394"/>
      <c r="N92" s="1390"/>
      <c r="O92" s="1390"/>
      <c r="P92" s="1391"/>
      <c r="Q92" s="1382"/>
    </row>
    <row r="93" ht="15.75" spans="1:17">
      <c r="A93" s="1342"/>
      <c r="B93" s="1347"/>
      <c r="C93" s="1348">
        <v>100</v>
      </c>
      <c r="D93" s="1348">
        <f>C93-$K19</f>
        <v>100</v>
      </c>
      <c r="E93" s="1348">
        <f>D93-$K19</f>
        <v>100</v>
      </c>
      <c r="F93" s="1348">
        <f>E93-$K19</f>
        <v>100</v>
      </c>
      <c r="G93" s="1348">
        <f>F93-$K19</f>
        <v>100</v>
      </c>
      <c r="H93" s="1348"/>
      <c r="I93" s="1348"/>
      <c r="J93" s="1348"/>
      <c r="K93" s="1348"/>
      <c r="L93" s="1348"/>
      <c r="M93" s="1395"/>
      <c r="N93" s="1393"/>
      <c r="O93" s="1393"/>
      <c r="P93" s="1391"/>
      <c r="Q93" s="1382"/>
    </row>
    <row r="94" ht="15.75" spans="1:17">
      <c r="A94" s="1342"/>
      <c r="B94" s="1345" t="s">
        <v>209</v>
      </c>
      <c r="C94" s="1058" t="s">
        <v>226</v>
      </c>
      <c r="D94" s="1058" t="s">
        <v>238</v>
      </c>
      <c r="E94" s="1058" t="s">
        <v>249</v>
      </c>
      <c r="F94" s="1058" t="s">
        <v>259</v>
      </c>
      <c r="G94" s="1058" t="s">
        <v>266</v>
      </c>
      <c r="H94" s="1346"/>
      <c r="I94" s="1346"/>
      <c r="J94" s="1346"/>
      <c r="K94" s="1039"/>
      <c r="L94" s="1039"/>
      <c r="M94" s="1394"/>
      <c r="N94" s="1390"/>
      <c r="O94" s="1390"/>
      <c r="P94" s="1391"/>
      <c r="Q94" s="1382"/>
    </row>
    <row r="95" ht="15.75" spans="1:17">
      <c r="A95" s="1342"/>
      <c r="B95" s="1347"/>
      <c r="C95" s="1348">
        <v>100</v>
      </c>
      <c r="D95" s="1348">
        <f>C95-$K21</f>
        <v>100</v>
      </c>
      <c r="E95" s="1348">
        <f>D95-$K21</f>
        <v>100</v>
      </c>
      <c r="F95" s="1348">
        <f>E95-$K21</f>
        <v>100</v>
      </c>
      <c r="G95" s="1348">
        <f>F95-$K21</f>
        <v>100</v>
      </c>
      <c r="H95" s="1348"/>
      <c r="I95" s="1348"/>
      <c r="J95" s="1348"/>
      <c r="K95" s="1348"/>
      <c r="L95" s="1348"/>
      <c r="M95" s="1395"/>
      <c r="N95" s="1393"/>
      <c r="O95" s="1393"/>
      <c r="P95" s="1391"/>
      <c r="Q95" s="1382"/>
    </row>
    <row r="96" s="1080" customFormat="1" ht="15.75" spans="1:17">
      <c r="A96" s="1362"/>
      <c r="B96" s="1345" t="s">
        <v>210</v>
      </c>
      <c r="C96" s="1058" t="s">
        <v>226</v>
      </c>
      <c r="D96" s="1058" t="s">
        <v>238</v>
      </c>
      <c r="E96" s="1058" t="s">
        <v>249</v>
      </c>
      <c r="F96" s="1058" t="s">
        <v>259</v>
      </c>
      <c r="G96" s="1058" t="s">
        <v>266</v>
      </c>
      <c r="H96" s="1058"/>
      <c r="I96" s="1058"/>
      <c r="J96" s="1058"/>
      <c r="K96" s="1058"/>
      <c r="L96" s="1058"/>
      <c r="M96" s="1404"/>
      <c r="N96" s="1386"/>
      <c r="O96" s="1386"/>
      <c r="P96" s="1391"/>
      <c r="Q96" s="1382"/>
    </row>
    <row r="97" s="1080" customFormat="1" ht="15.75" spans="1:17">
      <c r="A97" s="1362"/>
      <c r="B97" s="1347"/>
      <c r="C97" s="1363">
        <v>100</v>
      </c>
      <c r="D97" s="1348">
        <f>C97-$K23</f>
        <v>100</v>
      </c>
      <c r="E97" s="1348">
        <f>D97-$K23</f>
        <v>100</v>
      </c>
      <c r="F97" s="1348">
        <f>E97-$K23</f>
        <v>100</v>
      </c>
      <c r="G97" s="1348">
        <f>F97-$K23</f>
        <v>100</v>
      </c>
      <c r="H97" s="1348"/>
      <c r="I97" s="1348"/>
      <c r="J97" s="1348"/>
      <c r="K97" s="1348"/>
      <c r="L97" s="1348"/>
      <c r="M97" s="1395"/>
      <c r="N97" s="1393"/>
      <c r="O97" s="1393"/>
      <c r="P97" s="1391"/>
      <c r="Q97" s="1382"/>
    </row>
    <row r="98" s="1080" customFormat="1" ht="27.75" spans="1:17">
      <c r="A98" s="1362"/>
      <c r="B98" s="1345" t="s">
        <v>1512</v>
      </c>
      <c r="C98" s="1360" t="s">
        <v>226</v>
      </c>
      <c r="D98" s="1360" t="s">
        <v>238</v>
      </c>
      <c r="E98" s="1360" t="s">
        <v>249</v>
      </c>
      <c r="F98" s="1360" t="s">
        <v>259</v>
      </c>
      <c r="G98" s="1360" t="s">
        <v>266</v>
      </c>
      <c r="H98" s="1058"/>
      <c r="I98" s="1058"/>
      <c r="J98" s="1058"/>
      <c r="K98" s="1058"/>
      <c r="L98" s="1058"/>
      <c r="M98" s="1404"/>
      <c r="N98" s="1386"/>
      <c r="O98" s="1386"/>
      <c r="P98" s="1391"/>
      <c r="Q98" s="1382"/>
    </row>
    <row r="99" s="1080" customFormat="1" ht="15.75" spans="1:17">
      <c r="A99" s="1362"/>
      <c r="B99" s="1347"/>
      <c r="C99" s="1348">
        <v>100</v>
      </c>
      <c r="D99" s="1348">
        <f>C99-$K25</f>
        <v>100</v>
      </c>
      <c r="E99" s="1348">
        <f>D99-$K25</f>
        <v>100</v>
      </c>
      <c r="F99" s="1348">
        <f>E99-$K25</f>
        <v>100</v>
      </c>
      <c r="G99" s="1348">
        <f>F99-$K25</f>
        <v>100</v>
      </c>
      <c r="H99" s="1348"/>
      <c r="I99" s="1348"/>
      <c r="J99" s="1348"/>
      <c r="K99" s="1348"/>
      <c r="L99" s="1348"/>
      <c r="M99" s="1395"/>
      <c r="N99" s="1393"/>
      <c r="O99" s="1393"/>
      <c r="P99" s="1391"/>
      <c r="Q99" s="1382"/>
    </row>
    <row r="100" s="1080" customFormat="1" ht="15.75" spans="1:17">
      <c r="A100" s="1362"/>
      <c r="B100" s="1349" t="s">
        <v>211</v>
      </c>
      <c r="C100" s="1360" t="s">
        <v>226</v>
      </c>
      <c r="D100" s="1360" t="s">
        <v>238</v>
      </c>
      <c r="E100" s="1360" t="s">
        <v>249</v>
      </c>
      <c r="F100" s="1360" t="s">
        <v>259</v>
      </c>
      <c r="G100" s="1360" t="s">
        <v>266</v>
      </c>
      <c r="H100" s="1346"/>
      <c r="I100" s="1346"/>
      <c r="J100" s="1346"/>
      <c r="K100" s="1346"/>
      <c r="L100" s="1346"/>
      <c r="M100" s="1405"/>
      <c r="N100" s="1393"/>
      <c r="O100" s="1393"/>
      <c r="P100" s="1391"/>
      <c r="Q100" s="1382"/>
    </row>
    <row r="101" s="1080" customFormat="1" ht="15.75" spans="1:17">
      <c r="A101" s="1362"/>
      <c r="B101" s="1349"/>
      <c r="C101" s="1348">
        <v>100</v>
      </c>
      <c r="D101" s="1348">
        <f>C101-$K27</f>
        <v>100</v>
      </c>
      <c r="E101" s="1348">
        <f>D101-$K27</f>
        <v>100</v>
      </c>
      <c r="F101" s="1348">
        <f>E101-$K27</f>
        <v>100</v>
      </c>
      <c r="G101" s="1348">
        <f>F101-$K27</f>
        <v>100</v>
      </c>
      <c r="H101" s="1364"/>
      <c r="I101" s="1364"/>
      <c r="J101" s="1364"/>
      <c r="K101" s="1364"/>
      <c r="L101" s="1364"/>
      <c r="M101" s="1153"/>
      <c r="N101" s="1393"/>
      <c r="O101" s="1393"/>
      <c r="P101" s="1391"/>
      <c r="Q101" s="1382"/>
    </row>
    <row r="102" s="1082" customFormat="1" ht="15.75" spans="1:17">
      <c r="A102" s="1352"/>
      <c r="B102" s="1345" t="s">
        <v>212</v>
      </c>
      <c r="C102" s="1346" t="s">
        <v>1104</v>
      </c>
      <c r="D102" s="1346" t="s">
        <v>1105</v>
      </c>
      <c r="E102" s="1346" t="s">
        <v>1106</v>
      </c>
      <c r="F102" s="1346" t="s">
        <v>1107</v>
      </c>
      <c r="G102" s="1346" t="s">
        <v>1108</v>
      </c>
      <c r="H102" s="1060"/>
      <c r="I102" s="1060"/>
      <c r="J102" s="1060"/>
      <c r="K102" s="1060"/>
      <c r="L102" s="1060"/>
      <c r="M102" s="1406"/>
      <c r="N102" s="1398"/>
      <c r="O102" s="1398"/>
      <c r="P102" s="1399"/>
      <c r="Q102" s="1414"/>
    </row>
    <row r="103" s="1082" customFormat="1" ht="15.75" spans="1:17">
      <c r="A103" s="1352"/>
      <c r="B103" s="1347"/>
      <c r="C103" s="1348">
        <v>100</v>
      </c>
      <c r="D103" s="1348">
        <f>C103-$K29</f>
        <v>100</v>
      </c>
      <c r="E103" s="1348">
        <f>D103-$K29</f>
        <v>100</v>
      </c>
      <c r="F103" s="1348">
        <f>E103-$K29</f>
        <v>100</v>
      </c>
      <c r="G103" s="1348">
        <f>F103-$K29</f>
        <v>100</v>
      </c>
      <c r="H103" s="1365"/>
      <c r="I103" s="1365"/>
      <c r="J103" s="1365"/>
      <c r="K103" s="1365"/>
      <c r="L103" s="1365"/>
      <c r="M103" s="1407"/>
      <c r="N103" s="1398"/>
      <c r="O103" s="1398"/>
      <c r="P103" s="1399"/>
      <c r="Q103" s="1414"/>
    </row>
    <row r="104" ht="15.75" spans="1:17">
      <c r="A104" s="1342"/>
      <c r="B104" s="1345" t="str">
        <f>B31</f>
        <v>临街状况</v>
      </c>
      <c r="C104" s="1346" t="s">
        <v>1541</v>
      </c>
      <c r="D104" s="1346" t="s">
        <v>1542</v>
      </c>
      <c r="E104" s="1346" t="s">
        <v>1543</v>
      </c>
      <c r="F104" s="1346" t="s">
        <v>1544</v>
      </c>
      <c r="G104" s="1346"/>
      <c r="H104" s="1346"/>
      <c r="I104" s="1346"/>
      <c r="J104" s="1346"/>
      <c r="K104" s="1039"/>
      <c r="L104" s="1039"/>
      <c r="M104" s="1394"/>
      <c r="N104" s="1390"/>
      <c r="O104" s="1390"/>
      <c r="P104" s="1391"/>
      <c r="Q104" s="1382"/>
    </row>
    <row r="105" ht="15.75" spans="1:17">
      <c r="A105" s="1342"/>
      <c r="B105" s="1347"/>
      <c r="C105" s="1348">
        <v>100</v>
      </c>
      <c r="D105" s="1348">
        <f>C105-$K31</f>
        <v>100</v>
      </c>
      <c r="E105" s="1348">
        <f t="shared" ref="E105:M105" si="22">D105-$K31</f>
        <v>100</v>
      </c>
      <c r="F105" s="1348">
        <f t="shared" si="22"/>
        <v>100</v>
      </c>
      <c r="G105" s="1348">
        <f t="shared" si="22"/>
        <v>100</v>
      </c>
      <c r="H105" s="1348">
        <f t="shared" si="22"/>
        <v>100</v>
      </c>
      <c r="I105" s="1348">
        <f t="shared" si="22"/>
        <v>100</v>
      </c>
      <c r="J105" s="1348">
        <f t="shared" si="22"/>
        <v>100</v>
      </c>
      <c r="K105" s="1348">
        <f t="shared" si="22"/>
        <v>100</v>
      </c>
      <c r="L105" s="1348">
        <f t="shared" si="22"/>
        <v>100</v>
      </c>
      <c r="M105" s="1348">
        <f t="shared" si="22"/>
        <v>100</v>
      </c>
      <c r="N105" s="1393"/>
      <c r="O105" s="1393"/>
      <c r="P105" s="1391"/>
      <c r="Q105" s="1382"/>
    </row>
    <row r="106" ht="27.75" spans="1:17">
      <c r="A106" s="1342"/>
      <c r="B106" s="1345" t="s">
        <v>1485</v>
      </c>
      <c r="C106" s="1353"/>
      <c r="D106" s="1353"/>
      <c r="E106" s="1353"/>
      <c r="F106" s="1353"/>
      <c r="G106" s="1353"/>
      <c r="H106" s="1366"/>
      <c r="I106" s="1366"/>
      <c r="J106" s="1366"/>
      <c r="K106" s="1065"/>
      <c r="L106" s="1065"/>
      <c r="M106" s="1408"/>
      <c r="N106" s="1390"/>
      <c r="O106" s="1390"/>
      <c r="P106" s="1391"/>
      <c r="Q106" s="1382"/>
    </row>
    <row r="107" ht="15.75" spans="1:17">
      <c r="A107" s="1342"/>
      <c r="B107" s="1347"/>
      <c r="C107" s="1348">
        <v>100</v>
      </c>
      <c r="D107" s="1348">
        <f>C107-$K32</f>
        <v>100</v>
      </c>
      <c r="E107" s="1348">
        <f t="shared" ref="E107:M107" si="23">D107-$K32</f>
        <v>100</v>
      </c>
      <c r="F107" s="1348">
        <f t="shared" si="23"/>
        <v>100</v>
      </c>
      <c r="G107" s="1348">
        <f t="shared" si="23"/>
        <v>100</v>
      </c>
      <c r="H107" s="1348">
        <f t="shared" si="23"/>
        <v>100</v>
      </c>
      <c r="I107" s="1348">
        <f t="shared" si="23"/>
        <v>100</v>
      </c>
      <c r="J107" s="1348">
        <f t="shared" si="23"/>
        <v>100</v>
      </c>
      <c r="K107" s="1348">
        <f t="shared" si="23"/>
        <v>100</v>
      </c>
      <c r="L107" s="1348">
        <f t="shared" si="23"/>
        <v>100</v>
      </c>
      <c r="M107" s="1348">
        <f t="shared" si="23"/>
        <v>100</v>
      </c>
      <c r="N107" s="1393"/>
      <c r="O107" s="1393"/>
      <c r="P107" s="1391"/>
      <c r="Q107" s="1382"/>
    </row>
    <row r="108" ht="15.75" spans="1:17">
      <c r="A108" s="1342"/>
      <c r="B108" s="1345" t="s">
        <v>1513</v>
      </c>
      <c r="C108" s="1366"/>
      <c r="D108" s="1366"/>
      <c r="E108" s="1366"/>
      <c r="F108" s="1366"/>
      <c r="G108" s="1366"/>
      <c r="H108" s="1366"/>
      <c r="I108" s="1366"/>
      <c r="J108" s="1366"/>
      <c r="K108" s="1065"/>
      <c r="L108" s="1065"/>
      <c r="M108" s="1408"/>
      <c r="N108" s="1390"/>
      <c r="O108" s="1390"/>
      <c r="P108" s="1391"/>
      <c r="Q108" s="1382"/>
    </row>
    <row r="109" ht="15.75" spans="1:17">
      <c r="A109" s="1342"/>
      <c r="B109" s="1347"/>
      <c r="C109" s="1348">
        <v>100</v>
      </c>
      <c r="D109" s="1348">
        <f>C109-$K34</f>
        <v>100</v>
      </c>
      <c r="E109" s="1348">
        <f t="shared" ref="E109:M109" si="24">D109-$K34</f>
        <v>100</v>
      </c>
      <c r="F109" s="1348">
        <f t="shared" si="24"/>
        <v>100</v>
      </c>
      <c r="G109" s="1348">
        <f t="shared" si="24"/>
        <v>100</v>
      </c>
      <c r="H109" s="1348">
        <f t="shared" si="24"/>
        <v>100</v>
      </c>
      <c r="I109" s="1348">
        <f t="shared" si="24"/>
        <v>100</v>
      </c>
      <c r="J109" s="1348">
        <f t="shared" si="24"/>
        <v>100</v>
      </c>
      <c r="K109" s="1348">
        <f t="shared" si="24"/>
        <v>100</v>
      </c>
      <c r="L109" s="1348">
        <f t="shared" si="24"/>
        <v>100</v>
      </c>
      <c r="M109" s="1348">
        <f t="shared" si="24"/>
        <v>100</v>
      </c>
      <c r="N109" s="1393"/>
      <c r="O109" s="1393"/>
      <c r="P109" s="1391"/>
      <c r="Q109" s="1382"/>
    </row>
    <row r="110" ht="15.75" spans="1:17">
      <c r="A110" s="1342"/>
      <c r="B110" s="1349">
        <f>B35</f>
        <v>111</v>
      </c>
      <c r="C110" s="1353"/>
      <c r="D110" s="1353"/>
      <c r="E110" s="1353"/>
      <c r="F110" s="1353"/>
      <c r="G110" s="1367"/>
      <c r="H110" s="1367"/>
      <c r="I110" s="1367"/>
      <c r="J110" s="1367"/>
      <c r="K110" s="1068"/>
      <c r="L110" s="1068"/>
      <c r="M110" s="1409"/>
      <c r="N110" s="1390"/>
      <c r="O110" s="1390"/>
      <c r="P110" s="1391"/>
      <c r="Q110" s="1382"/>
    </row>
    <row r="111" ht="15.75" spans="1:17">
      <c r="A111" s="1342"/>
      <c r="B111" s="1357"/>
      <c r="C111" s="1354"/>
      <c r="D111" s="1354"/>
      <c r="E111" s="1354"/>
      <c r="F111" s="1354"/>
      <c r="G111" s="1368"/>
      <c r="H111" s="1368"/>
      <c r="I111" s="1368"/>
      <c r="J111" s="1368"/>
      <c r="K111" s="1368"/>
      <c r="L111" s="1368"/>
      <c r="M111" s="1410"/>
      <c r="N111" s="1393"/>
      <c r="O111" s="1393"/>
      <c r="P111" s="1391"/>
      <c r="Q111" s="1382"/>
    </row>
    <row r="112" ht="15" spans="1:17">
      <c r="A112" s="1176"/>
      <c r="B112" s="1345">
        <f>B36</f>
        <v>111</v>
      </c>
      <c r="C112" s="1026"/>
      <c r="D112" s="1026"/>
      <c r="E112" s="1026"/>
      <c r="F112" s="1026"/>
      <c r="G112" s="1366"/>
      <c r="H112" s="1366"/>
      <c r="I112" s="1366"/>
      <c r="J112" s="1366"/>
      <c r="K112" s="1065"/>
      <c r="L112" s="1065"/>
      <c r="M112" s="1408"/>
      <c r="N112" s="1390"/>
      <c r="O112" s="1390"/>
      <c r="P112" s="1391"/>
      <c r="Q112" s="1382"/>
    </row>
    <row r="113" ht="15.75" spans="1:17">
      <c r="A113" s="1342"/>
      <c r="B113" s="1347"/>
      <c r="C113" s="1358"/>
      <c r="D113" s="1358"/>
      <c r="E113" s="1358"/>
      <c r="F113" s="1358"/>
      <c r="G113" s="1344"/>
      <c r="H113" s="1344"/>
      <c r="I113" s="1344"/>
      <c r="J113" s="1344"/>
      <c r="K113" s="1344"/>
      <c r="L113" s="1344"/>
      <c r="M113" s="1392"/>
      <c r="N113" s="1393"/>
      <c r="O113" s="1393"/>
      <c r="P113" s="1391"/>
      <c r="Q113" s="1382"/>
    </row>
    <row r="114" s="1082" customFormat="1" ht="15.75" spans="1:17">
      <c r="A114" s="1369"/>
      <c r="B114" s="1370">
        <f>B37</f>
        <v>111</v>
      </c>
      <c r="C114" s="1330"/>
      <c r="D114" s="1330"/>
      <c r="E114" s="1330"/>
      <c r="F114" s="1330"/>
      <c r="G114" s="1330"/>
      <c r="H114" s="1330"/>
      <c r="I114" s="1330"/>
      <c r="J114" s="1072"/>
      <c r="K114" s="1072"/>
      <c r="L114" s="1072"/>
      <c r="M114" s="1411"/>
      <c r="N114" s="1398"/>
      <c r="O114" s="1398"/>
      <c r="P114" s="1399"/>
      <c r="Q114" s="1414"/>
    </row>
    <row r="115" s="1082" customFormat="1" ht="15.75" spans="1:17">
      <c r="A115" s="1352"/>
      <c r="B115" s="1349"/>
      <c r="C115" s="1339"/>
      <c r="D115" s="1371"/>
      <c r="E115" s="1371"/>
      <c r="F115" s="1371"/>
      <c r="G115" s="1371"/>
      <c r="H115" s="1371"/>
      <c r="I115" s="1371"/>
      <c r="J115" s="1371"/>
      <c r="K115" s="1371"/>
      <c r="L115" s="1371"/>
      <c r="M115" s="1412"/>
      <c r="N115" s="1393"/>
      <c r="O115" s="1393"/>
      <c r="P115" s="1399"/>
      <c r="Q115" s="1414"/>
    </row>
    <row r="116" spans="1:17">
      <c r="A116" s="1340" t="s">
        <v>1070</v>
      </c>
      <c r="B116" s="1341" t="s">
        <v>1514</v>
      </c>
      <c r="C116" s="1075" t="str">
        <f t="shared" ref="C116:L116" si="25">C117&amp;"(含)"&amp;"-"&amp;D117</f>
        <v>(含)-</v>
      </c>
      <c r="D116" s="1075" t="str">
        <f t="shared" si="25"/>
        <v>(含)-</v>
      </c>
      <c r="E116" s="1075" t="str">
        <f t="shared" si="25"/>
        <v>(含)-</v>
      </c>
      <c r="F116" s="1075" t="str">
        <f t="shared" si="25"/>
        <v>(含)-</v>
      </c>
      <c r="G116" s="1075" t="str">
        <f t="shared" si="25"/>
        <v>(含)-</v>
      </c>
      <c r="H116" s="1075" t="str">
        <f t="shared" si="25"/>
        <v>(含)-</v>
      </c>
      <c r="I116" s="1075" t="str">
        <f t="shared" si="25"/>
        <v>(含)-</v>
      </c>
      <c r="J116" s="1075" t="str">
        <f t="shared" si="25"/>
        <v>(含)-</v>
      </c>
      <c r="K116" s="1075" t="str">
        <f t="shared" si="25"/>
        <v>(含)-</v>
      </c>
      <c r="L116" s="1075" t="str">
        <f t="shared" si="25"/>
        <v>(含)-</v>
      </c>
      <c r="M116" s="1413" t="str">
        <f>M117&amp;"(含)"&amp;"-"&amp;P117</f>
        <v>(含)-</v>
      </c>
      <c r="N116" s="1390"/>
      <c r="O116" s="1390"/>
      <c r="P116" s="1391"/>
      <c r="Q116" s="1382"/>
    </row>
    <row r="117" ht="15" spans="1:17">
      <c r="A117" s="1342"/>
      <c r="B117" s="1349"/>
      <c r="C117" s="1330"/>
      <c r="D117" s="1330"/>
      <c r="E117" s="1330"/>
      <c r="F117" s="1330"/>
      <c r="G117" s="1330"/>
      <c r="H117" s="1330"/>
      <c r="I117" s="1330"/>
      <c r="J117" s="1072"/>
      <c r="K117" s="1072"/>
      <c r="L117" s="1072"/>
      <c r="M117" s="1411"/>
      <c r="N117" s="1390"/>
      <c r="O117" s="1390"/>
      <c r="P117" s="1391"/>
      <c r="Q117" s="1382"/>
    </row>
    <row r="118" ht="15.75" spans="1:17">
      <c r="A118" s="1342"/>
      <c r="B118" s="1347"/>
      <c r="C118" s="1358"/>
      <c r="D118" s="1368"/>
      <c r="E118" s="1368"/>
      <c r="F118" s="1368"/>
      <c r="G118" s="1368"/>
      <c r="H118" s="1368"/>
      <c r="I118" s="1368"/>
      <c r="J118" s="1368"/>
      <c r="K118" s="1368"/>
      <c r="L118" s="1368"/>
      <c r="M118" s="1410"/>
      <c r="N118" s="1393"/>
      <c r="O118" s="1393"/>
      <c r="P118" s="1391"/>
      <c r="Q118" s="1382"/>
    </row>
    <row r="119" ht="15.75" spans="1:17">
      <c r="A119" s="1372"/>
      <c r="B119" s="1345" t="s">
        <v>1515</v>
      </c>
      <c r="C119" s="1366"/>
      <c r="D119" s="1366"/>
      <c r="E119" s="1366"/>
      <c r="F119" s="1366"/>
      <c r="G119" s="1366"/>
      <c r="H119" s="1366"/>
      <c r="I119" s="1366"/>
      <c r="J119" s="1366"/>
      <c r="K119" s="1065"/>
      <c r="L119" s="1065"/>
      <c r="M119" s="1408"/>
      <c r="N119" s="1390"/>
      <c r="O119" s="1390"/>
      <c r="P119" s="1391"/>
      <c r="Q119" s="1382"/>
    </row>
    <row r="120" ht="15.75" spans="1:17">
      <c r="A120" s="1342"/>
      <c r="B120" s="1347"/>
      <c r="C120" s="1348">
        <v>100</v>
      </c>
      <c r="D120" s="1348">
        <f t="shared" ref="D120:M120" si="26">C120-$K39</f>
        <v>100</v>
      </c>
      <c r="E120" s="1348">
        <f t="shared" si="26"/>
        <v>100</v>
      </c>
      <c r="F120" s="1348">
        <f t="shared" si="26"/>
        <v>100</v>
      </c>
      <c r="G120" s="1348">
        <f t="shared" si="26"/>
        <v>100</v>
      </c>
      <c r="H120" s="1348">
        <f t="shared" si="26"/>
        <v>100</v>
      </c>
      <c r="I120" s="1348">
        <f t="shared" si="26"/>
        <v>100</v>
      </c>
      <c r="J120" s="1348">
        <f t="shared" si="26"/>
        <v>100</v>
      </c>
      <c r="K120" s="1348">
        <f t="shared" si="26"/>
        <v>100</v>
      </c>
      <c r="L120" s="1348">
        <f t="shared" si="26"/>
        <v>100</v>
      </c>
      <c r="M120" s="1395">
        <f t="shared" si="26"/>
        <v>100</v>
      </c>
      <c r="N120" s="1393"/>
      <c r="O120" s="1393"/>
      <c r="P120" s="1391"/>
      <c r="Q120" s="1382"/>
    </row>
    <row r="121" ht="15.75" spans="1:17">
      <c r="A121" s="1372"/>
      <c r="B121" s="1345" t="s">
        <v>1516</v>
      </c>
      <c r="C121" s="1353"/>
      <c r="D121" s="1353"/>
      <c r="E121" s="1353"/>
      <c r="F121" s="1366"/>
      <c r="G121" s="1366"/>
      <c r="H121" s="1366"/>
      <c r="I121" s="1366"/>
      <c r="J121" s="1366"/>
      <c r="K121" s="1065"/>
      <c r="L121" s="1065"/>
      <c r="M121" s="1408"/>
      <c r="N121" s="1390"/>
      <c r="O121" s="1390"/>
      <c r="P121" s="1391"/>
      <c r="Q121" s="1382"/>
    </row>
    <row r="122" ht="15.75" spans="1:17">
      <c r="A122" s="1342"/>
      <c r="B122" s="1347"/>
      <c r="C122" s="1348">
        <v>100</v>
      </c>
      <c r="D122" s="1348">
        <f t="shared" ref="D122:M122" si="27">C122-$K40</f>
        <v>100</v>
      </c>
      <c r="E122" s="1348">
        <f t="shared" si="27"/>
        <v>100</v>
      </c>
      <c r="F122" s="1348">
        <f t="shared" si="27"/>
        <v>100</v>
      </c>
      <c r="G122" s="1348">
        <f t="shared" si="27"/>
        <v>100</v>
      </c>
      <c r="H122" s="1348">
        <f t="shared" si="27"/>
        <v>100</v>
      </c>
      <c r="I122" s="1348">
        <f t="shared" si="27"/>
        <v>100</v>
      </c>
      <c r="J122" s="1348">
        <f t="shared" si="27"/>
        <v>100</v>
      </c>
      <c r="K122" s="1348">
        <f t="shared" si="27"/>
        <v>100</v>
      </c>
      <c r="L122" s="1348">
        <f t="shared" si="27"/>
        <v>100</v>
      </c>
      <c r="M122" s="1395">
        <f t="shared" si="27"/>
        <v>100</v>
      </c>
      <c r="N122" s="1393"/>
      <c r="O122" s="1393"/>
      <c r="P122" s="1391"/>
      <c r="Q122" s="1382"/>
    </row>
    <row r="123" s="1082" customFormat="1" ht="15.75" spans="1:17">
      <c r="A123" s="1369"/>
      <c r="B123" s="1345" t="s">
        <v>1517</v>
      </c>
      <c r="C123" s="1353"/>
      <c r="D123" s="1353"/>
      <c r="E123" s="1353"/>
      <c r="F123" s="1353"/>
      <c r="G123" s="1353"/>
      <c r="H123" s="1366"/>
      <c r="I123" s="1366"/>
      <c r="J123" s="1366"/>
      <c r="K123" s="1065"/>
      <c r="L123" s="1065"/>
      <c r="M123" s="1408"/>
      <c r="N123" s="1398"/>
      <c r="O123" s="1398"/>
      <c r="P123" s="1399"/>
      <c r="Q123" s="1414"/>
    </row>
    <row r="124" s="1082" customFormat="1" ht="15.75" spans="1:17">
      <c r="A124" s="1352"/>
      <c r="B124" s="1347"/>
      <c r="C124" s="1348">
        <v>100</v>
      </c>
      <c r="D124" s="1348">
        <f>C124-$K41</f>
        <v>100</v>
      </c>
      <c r="E124" s="1348">
        <f t="shared" ref="E124:M124" si="28">D124-$K41</f>
        <v>100</v>
      </c>
      <c r="F124" s="1348">
        <f t="shared" si="28"/>
        <v>100</v>
      </c>
      <c r="G124" s="1348">
        <f t="shared" si="28"/>
        <v>100</v>
      </c>
      <c r="H124" s="1348">
        <f t="shared" si="28"/>
        <v>100</v>
      </c>
      <c r="I124" s="1348">
        <f t="shared" si="28"/>
        <v>100</v>
      </c>
      <c r="J124" s="1348">
        <f t="shared" si="28"/>
        <v>100</v>
      </c>
      <c r="K124" s="1348">
        <f t="shared" si="28"/>
        <v>100</v>
      </c>
      <c r="L124" s="1348">
        <f t="shared" si="28"/>
        <v>100</v>
      </c>
      <c r="M124" s="1395">
        <f t="shared" si="28"/>
        <v>100</v>
      </c>
      <c r="N124" s="1398"/>
      <c r="O124" s="1398"/>
      <c r="P124" s="1399"/>
      <c r="Q124" s="1414"/>
    </row>
    <row r="125" ht="15.75" spans="1:17">
      <c r="A125" s="1372"/>
      <c r="B125" s="1345" t="s">
        <v>1518</v>
      </c>
      <c r="C125" s="1353"/>
      <c r="D125" s="1353"/>
      <c r="E125" s="1366"/>
      <c r="F125" s="1366"/>
      <c r="G125" s="1366"/>
      <c r="H125" s="1366"/>
      <c r="I125" s="1366"/>
      <c r="J125" s="1366"/>
      <c r="K125" s="1065"/>
      <c r="L125" s="1065"/>
      <c r="M125" s="1408"/>
      <c r="N125" s="1390"/>
      <c r="O125" s="1390"/>
      <c r="P125" s="1391"/>
      <c r="Q125" s="1382"/>
    </row>
    <row r="126" ht="15.75" spans="1:17">
      <c r="A126" s="1342"/>
      <c r="B126" s="1347"/>
      <c r="C126" s="1348">
        <v>100</v>
      </c>
      <c r="D126" s="1348">
        <f t="shared" ref="D126:M126" si="29">C126-$K42</f>
        <v>100</v>
      </c>
      <c r="E126" s="1348">
        <f t="shared" si="29"/>
        <v>100</v>
      </c>
      <c r="F126" s="1348">
        <f t="shared" si="29"/>
        <v>100</v>
      </c>
      <c r="G126" s="1348">
        <f t="shared" si="29"/>
        <v>100</v>
      </c>
      <c r="H126" s="1348">
        <f t="shared" si="29"/>
        <v>100</v>
      </c>
      <c r="I126" s="1348">
        <f t="shared" si="29"/>
        <v>100</v>
      </c>
      <c r="J126" s="1348">
        <f t="shared" si="29"/>
        <v>100</v>
      </c>
      <c r="K126" s="1348">
        <f t="shared" si="29"/>
        <v>100</v>
      </c>
      <c r="L126" s="1348">
        <f t="shared" si="29"/>
        <v>100</v>
      </c>
      <c r="M126" s="1395">
        <f t="shared" si="29"/>
        <v>100</v>
      </c>
      <c r="N126" s="1393"/>
      <c r="O126" s="1393"/>
      <c r="P126" s="1391"/>
      <c r="Q126" s="1382"/>
    </row>
    <row r="127" ht="15.75" spans="1:17">
      <c r="A127" s="1372"/>
      <c r="B127" s="1345">
        <f>B43</f>
        <v>111</v>
      </c>
      <c r="C127" s="1353"/>
      <c r="D127" s="1353"/>
      <c r="E127" s="1353"/>
      <c r="F127" s="1353"/>
      <c r="G127" s="1353"/>
      <c r="H127" s="1366"/>
      <c r="I127" s="1366"/>
      <c r="J127" s="1366"/>
      <c r="K127" s="1065"/>
      <c r="L127" s="1065"/>
      <c r="M127" s="1408"/>
      <c r="N127" s="1390"/>
      <c r="O127" s="1390"/>
      <c r="P127" s="1391"/>
      <c r="Q127" s="1382"/>
    </row>
    <row r="128" ht="15.75" spans="1:17">
      <c r="A128" s="1342"/>
      <c r="B128" s="1347"/>
      <c r="C128" s="1354"/>
      <c r="D128" s="1354"/>
      <c r="E128" s="1354"/>
      <c r="F128" s="1354"/>
      <c r="G128" s="1344"/>
      <c r="H128" s="1344"/>
      <c r="I128" s="1344"/>
      <c r="J128" s="1344"/>
      <c r="K128" s="1344"/>
      <c r="L128" s="1344"/>
      <c r="M128" s="1392"/>
      <c r="N128" s="1393"/>
      <c r="O128" s="1393"/>
      <c r="P128" s="1391"/>
      <c r="Q128" s="1382"/>
    </row>
    <row r="129" ht="15.75" spans="1:17">
      <c r="A129" s="1372"/>
      <c r="B129" s="1345">
        <f>B44</f>
        <v>111</v>
      </c>
      <c r="C129" s="1026"/>
      <c r="D129" s="1026"/>
      <c r="E129" s="1026"/>
      <c r="F129" s="1026"/>
      <c r="G129" s="1366"/>
      <c r="H129" s="1366"/>
      <c r="I129" s="1366"/>
      <c r="J129" s="1366"/>
      <c r="K129" s="1065"/>
      <c r="L129" s="1065"/>
      <c r="M129" s="1408"/>
      <c r="N129" s="1390"/>
      <c r="O129" s="1390"/>
      <c r="P129" s="1391"/>
      <c r="Q129" s="1382"/>
    </row>
    <row r="130" ht="15.75" spans="1:17">
      <c r="A130" s="1342"/>
      <c r="B130" s="1347"/>
      <c r="C130" s="1358"/>
      <c r="D130" s="1358"/>
      <c r="E130" s="1358"/>
      <c r="F130" s="1358"/>
      <c r="G130" s="1344"/>
      <c r="H130" s="1344"/>
      <c r="I130" s="1344"/>
      <c r="J130" s="1344"/>
      <c r="K130" s="1344"/>
      <c r="L130" s="1344"/>
      <c r="M130" s="1392"/>
      <c r="N130" s="1393"/>
      <c r="O130" s="1393"/>
      <c r="P130" s="1391"/>
      <c r="Q130" s="1382"/>
    </row>
    <row r="131" s="1082" customFormat="1" ht="15.75" spans="1:17">
      <c r="A131" s="1369"/>
      <c r="B131" s="1345">
        <f>B45</f>
        <v>111</v>
      </c>
      <c r="C131" s="1026"/>
      <c r="D131" s="1026"/>
      <c r="E131" s="1026"/>
      <c r="F131" s="1026"/>
      <c r="G131" s="1045"/>
      <c r="H131" s="1045"/>
      <c r="I131" s="1045"/>
      <c r="J131" s="1045"/>
      <c r="K131" s="1045"/>
      <c r="L131" s="1045"/>
      <c r="M131" s="1397"/>
      <c r="N131" s="1398"/>
      <c r="O131" s="1398"/>
      <c r="P131" s="1399"/>
      <c r="Q131" s="1414"/>
    </row>
    <row r="132" s="1082" customFormat="1" ht="15.75" spans="1:17">
      <c r="A132" s="1356"/>
      <c r="B132" s="1416"/>
      <c r="C132" s="1358"/>
      <c r="D132" s="1358"/>
      <c r="E132" s="1358"/>
      <c r="F132" s="1358"/>
      <c r="G132" s="1368"/>
      <c r="H132" s="1368"/>
      <c r="I132" s="1368"/>
      <c r="J132" s="1368"/>
      <c r="K132" s="1368"/>
      <c r="L132" s="1368"/>
      <c r="M132" s="1410"/>
      <c r="N132" s="1398"/>
      <c r="O132" s="1398"/>
      <c r="P132" s="1399"/>
      <c r="Q132" s="1414"/>
    </row>
  </sheetData>
  <sheetProtection password="CEE9" sheet="1" formatCells="0" formatColumns="0" formatRows="0" objects="1" scenarios="1"/>
  <mergeCells count="40">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46:Q46"/>
    <mergeCell ref="R46:S46"/>
    <mergeCell ref="T46:U46"/>
    <mergeCell ref="V46:W46"/>
    <mergeCell ref="P47:Q47"/>
    <mergeCell ref="R47:S47"/>
    <mergeCell ref="T47:U47"/>
    <mergeCell ref="V47:W47"/>
    <mergeCell ref="P48:Q48"/>
    <mergeCell ref="R48:W48"/>
    <mergeCell ref="P9:P14"/>
    <mergeCell ref="P15:P35"/>
    <mergeCell ref="P36:P45"/>
    <mergeCell ref="Y9:Y14"/>
    <mergeCell ref="Y15:Y35"/>
    <mergeCell ref="Y36:Y45"/>
    <mergeCell ref="AA4:AA6"/>
    <mergeCell ref="AB4:AB6"/>
    <mergeCell ref="AC4:AC6"/>
    <mergeCell ref="Y4:Z6"/>
    <mergeCell ref="P4:Q6"/>
    <mergeCell ref="R4:S6"/>
    <mergeCell ref="T4:U6"/>
    <mergeCell ref="V4:W6"/>
  </mergeCells>
  <conditionalFormatting sqref="F47">
    <cfRule type="expression" dxfId="5" priority="4">
      <formula>$D$47="简单平均"</formula>
    </cfRule>
  </conditionalFormatting>
  <conditionalFormatting sqref="H47">
    <cfRule type="expression" dxfId="5" priority="3">
      <formula>$D$47="简单平均"</formula>
    </cfRule>
  </conditionalFormatting>
  <conditionalFormatting sqref="J47">
    <cfRule type="expression" dxfId="5" priority="2">
      <formula>$D$47="简单平均"</formula>
    </cfRule>
  </conditionalFormatting>
  <conditionalFormatting sqref="E51">
    <cfRule type="expression" dxfId="8" priority="13" stopIfTrue="1">
      <formula>$F$51="超过30%"</formula>
    </cfRule>
  </conditionalFormatting>
  <conditionalFormatting sqref="G51">
    <cfRule type="expression" dxfId="8" priority="9" stopIfTrue="1">
      <formula>$H$53+$H$51="超过30%"</formula>
    </cfRule>
  </conditionalFormatting>
  <conditionalFormatting sqref="I51">
    <cfRule type="expression" dxfId="8" priority="7" stopIfTrue="1">
      <formula>$J$51="超过30%"</formula>
    </cfRule>
  </conditionalFormatting>
  <conditionalFormatting sqref="E52">
    <cfRule type="expression" dxfId="8" priority="11" stopIfTrue="1">
      <formula>$F$52="超过20%"</formula>
    </cfRule>
  </conditionalFormatting>
  <conditionalFormatting sqref="G52">
    <cfRule type="expression" dxfId="8" priority="8" stopIfTrue="1">
      <formula>$H$52="超过20%"</formula>
    </cfRule>
  </conditionalFormatting>
  <conditionalFormatting sqref="I52">
    <cfRule type="expression" dxfId="8" priority="6" stopIfTrue="1">
      <formula>$J$52="超过20%"</formula>
    </cfRule>
  </conditionalFormatting>
  <conditionalFormatting sqref="E53">
    <cfRule type="expression" dxfId="8" priority="10" stopIfTrue="1">
      <formula>$F$53="超过30%"</formula>
    </cfRule>
  </conditionalFormatting>
  <conditionalFormatting sqref="F53">
    <cfRule type="containsText" dxfId="9" priority="15" stopIfTrue="1" operator="between" text="超过">
      <formula>NOT(ISERROR(SEARCH("超过",F53)))</formula>
    </cfRule>
  </conditionalFormatting>
  <conditionalFormatting sqref="G53">
    <cfRule type="expression" dxfId="8" priority="12" stopIfTrue="1">
      <formula>$H$53="超过30%"</formula>
    </cfRule>
  </conditionalFormatting>
  <conditionalFormatting sqref="H53">
    <cfRule type="containsText" dxfId="9" priority="16" stopIfTrue="1" operator="between" text="超过">
      <formula>NOT(ISERROR(SEARCH("超过",H53)))</formula>
    </cfRule>
  </conditionalFormatting>
  <conditionalFormatting sqref="I53">
    <cfRule type="expression" dxfId="8" priority="5" stopIfTrue="1">
      <formula>$J$53="超过30%"</formula>
    </cfRule>
  </conditionalFormatting>
  <conditionalFormatting sqref="J53">
    <cfRule type="containsText" dxfId="9" priority="17" stopIfTrue="1" operator="between" text="超过">
      <formula>NOT(ISERROR(SEARCH("超过",J53)))</formula>
    </cfRule>
  </conditionalFormatting>
  <conditionalFormatting sqref="F7:F45 H7:H45 J7:J45">
    <cfRule type="cellIs" dxfId="10" priority="1" operator="notEqual">
      <formula>100</formula>
    </cfRule>
  </conditionalFormatting>
  <conditionalFormatting sqref="F51 H51 J51">
    <cfRule type="containsText" dxfId="9" priority="18" stopIfTrue="1" operator="between" text="超过">
      <formula>NOT(ISERROR(SEARCH("超过",F51)))</formula>
    </cfRule>
  </conditionalFormatting>
  <conditionalFormatting sqref="F52 H52 J52">
    <cfRule type="containsText" dxfId="9" priority="14" stopIfTrue="1" operator="between" text="超过">
      <formula>NOT(ISERROR(SEARCH("超过",F52)))</formula>
    </cfRule>
  </conditionalFormatting>
  <dataValidations count="23">
    <dataValidation type="list" allowBlank="1" showInputMessage="1" showErrorMessage="1" sqref="C8 E8 G8 I8">
      <formula1>套综交易情况</formula1>
    </dataValidation>
    <dataValidation type="list" allowBlank="1" showInputMessage="1" showErrorMessage="1" sqref="C22 E22 G22 I22">
      <formula1>交通便捷度</formula1>
    </dataValidation>
    <dataValidation type="list" allowBlank="1" showInputMessage="1" showErrorMessage="1" sqref="C9 E9 G9 I9">
      <formula1>套综用途</formula1>
    </dataValidation>
    <dataValidation type="list" allowBlank="1" showInputMessage="1" showErrorMessage="1" sqref="C16 E16 G16 I16">
      <formula1>居住社区成熟度</formula1>
    </dataValidation>
    <dataValidation type="list" allowBlank="1" showInputMessage="1" showErrorMessage="1" sqref="C18 E18 G18 I18">
      <formula1>商业繁华度</formula1>
    </dataValidation>
    <dataValidation type="list" allowBlank="1" showInputMessage="1" showErrorMessage="1" sqref="C25">
      <formula1>住宅朝向</formula1>
    </dataValidation>
    <dataValidation type="list" allowBlank="1" showInputMessage="1" showErrorMessage="1" sqref="C20 E20 G20 I20">
      <formula1>办公集聚程度</formula1>
    </dataValidation>
    <dataValidation type="list" allowBlank="1" showInputMessage="1" showErrorMessage="1" sqref="C42 E42 G42 I42">
      <formula1>套综工程地质条件</formula1>
    </dataValidation>
    <dataValidation type="list" allowBlank="1" showInputMessage="1" showErrorMessage="1" sqref="C24 E24 G24 I24">
      <formula1>区域土地利用方向</formula1>
    </dataValidation>
    <dataValidation type="list" allowBlank="1" showInputMessage="1" showErrorMessage="1" sqref="C26 E26 G26 I26">
      <formula1>环境</formula1>
    </dataValidation>
    <dataValidation type="list" allowBlank="1" showInputMessage="1" showErrorMessage="1" sqref="C28 E28 G28 I28">
      <formula1>公共配套设施</formula1>
    </dataValidation>
    <dataValidation type="list" allowBlank="1" showInputMessage="1" showErrorMessage="1" sqref="C30 E30 G30 I30">
      <formula1>基础设施水平</formula1>
    </dataValidation>
    <dataValidation type="list" allowBlank="1" showInputMessage="1" showErrorMessage="1" sqref="C31 E31 G31 I31">
      <formula1>临街状况</formula1>
    </dataValidation>
    <dataValidation type="list" allowBlank="1" showInputMessage="1" showErrorMessage="1" sqref="C33 E33 G33 I33">
      <formula1>套综道路等级</formula1>
    </dataValidation>
    <dataValidation type="list" allowBlank="1" showInputMessage="1" showErrorMessage="1" sqref="C34 E34 G34 I34">
      <formula1>套综土地级别</formula1>
    </dataValidation>
    <dataValidation type="list" allowBlank="1" showInputMessage="1" showErrorMessage="1" sqref="C39 E39 G39 I39">
      <formula1>套综宗地形状</formula1>
    </dataValidation>
    <dataValidation type="list" allowBlank="1" showInputMessage="1" showErrorMessage="1" sqref="C40 E40 G40 I40">
      <formula1>套综临街宽度及深度</formula1>
    </dataValidation>
    <dataValidation type="list" allowBlank="1" showInputMessage="1" showErrorMessage="1" sqref="C41 E41 G41 I41">
      <formula1>套综宗地内开发程度</formula1>
    </dataValidation>
    <dataValidation type="list" allowBlank="1" showInputMessage="1" showErrorMessage="1" sqref="B46">
      <formula1>单价内涵</formula1>
    </dataValidation>
    <dataValidation type="list" allowBlank="1" showInputMessage="1" showErrorMessage="1" sqref="D47">
      <formula1>"简单平均,加权平均"</formula1>
    </dataValidation>
    <dataValidation type="list" allowBlank="1" showInputMessage="1" showErrorMessage="1" sqref="C55">
      <formula1>"北京市系数,其他省市系数"</formula1>
    </dataValidation>
    <dataValidation type="list" allowBlank="1" showInputMessage="1" showErrorMessage="1" sqref="A71">
      <formula1>"综合,商业,办公,住宅"</formula1>
    </dataValidation>
    <dataValidation type="list" allowBlank="1" showInputMessage="1" showErrorMessage="1" sqref="D57:D65">
      <formula1>"25%,1"</formula1>
    </dataValidation>
  </dataValidations>
  <pageMargins left="0.708661417322835" right="0.708661417322835" top="1.06299212598425" bottom="0.94488188976378" header="0.31496062992126" footer="0.31496062992126"/>
  <pageSetup paperSize="9" scale="49" orientation="portrait"/>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2060"/>
  </sheetPr>
  <dimension ref="A1:G18"/>
  <sheetViews>
    <sheetView view="pageLayout" zoomScale="80" zoomScaleNormal="100" topLeftCell="A10" workbookViewId="0">
      <selection activeCell="A12" sqref="A12"/>
    </sheetView>
  </sheetViews>
  <sheetFormatPr defaultColWidth="8.125" defaultRowHeight="14.25" outlineLevelCol="6"/>
  <cols>
    <col min="1" max="1" width="85.25" style="3462" customWidth="1"/>
    <col min="2" max="3" width="12.5" style="3462" customWidth="1"/>
    <col min="4" max="6" width="8.125" style="3462"/>
    <col min="7" max="7" width="17.5" style="3462" customWidth="1"/>
    <col min="8" max="16384" width="8.125" style="3462"/>
  </cols>
  <sheetData>
    <row r="1" ht="23.25" spans="1:7">
      <c r="A1" s="3541" t="s">
        <v>78</v>
      </c>
      <c r="B1" s="3542"/>
      <c r="C1" s="3542"/>
      <c r="D1" s="3542"/>
      <c r="E1" s="3542"/>
      <c r="F1" s="3542"/>
      <c r="G1" s="3542"/>
    </row>
    <row r="2" spans="1:1">
      <c r="A2" s="3543"/>
    </row>
    <row r="3" s="3539" customFormat="1" ht="18" spans="1:7">
      <c r="A3" s="3544" t="str">
        <f>IF(ISNUMBER(FIND("公司",项目基本情况!B4)),项目基本情况!B4&amp;"：",项目基本情况!B4&amp;"  先生/女士：")</f>
        <v>xx  先生/女士：</v>
      </c>
      <c r="B3" s="3545"/>
      <c r="C3" s="3545"/>
      <c r="D3" s="3545"/>
      <c r="E3" s="3545"/>
      <c r="F3" s="3545"/>
      <c r="G3" s="3545"/>
    </row>
    <row r="4" ht="18.75" spans="1:7">
      <c r="A4" s="3546" t="str">
        <f>IF(ISNUMBER(FIND("公司",A3)),"受贵公司委托，我公司对"&amp;项目基本情况!I1&amp;"进行了预评估。","受您的委托，我公司对"&amp;项目基本情况!I1&amp;"进行了预评估。")</f>
        <v>受您的委托，我公司对北京市房地产进行了预评估。</v>
      </c>
      <c r="B4" s="3546"/>
      <c r="C4" s="3546"/>
      <c r="D4" s="3546"/>
      <c r="E4" s="3546"/>
      <c r="F4" s="3546"/>
      <c r="G4" s="3546"/>
    </row>
    <row r="5" ht="18.75" spans="1:1">
      <c r="A5" s="3547" t="s">
        <v>79</v>
      </c>
    </row>
    <row r="6" s="3540" customFormat="1" ht="56.25" spans="1:7">
      <c r="A6" s="3546" t="str">
        <f>"估价对象为"&amp;项目基本情况!I1&amp;"，为"&amp;项目基本情况!D7&amp;"所有。"&amp;"根据《"&amp;项目基本情况!E12&amp;"》["&amp;IF(项目基本情况!E12="房屋所有权证",项目基本情况!B28,项目基本情况!E28)&amp;"]，估价对象建筑面积为"&amp;项目基本情况!C12&amp;"平方米"&amp;IF(项目基本情况!E13="无","。",IF(项目基本情况!F12="建筑与土地面积依据相同","，（分摊）出让国有建设用地使用权面积为"&amp;项目基本情况!C13&amp;"平方米。","。根据《"&amp;项目基本情况!E13&amp;"》["&amp;项目基本情况!G28&amp;"]，估价对象（分摊）出让国有建设用地使用权面积为"&amp;项目基本情况!C13&amp;"平方米。"))&amp;"估价对象用途为"&amp;项目基本情况!C14&amp;"。"</f>
        <v>估价对象为北京市房地产，为XX所有。根据《》[]，估价对象建筑面积为246.59平方米。根据《》[]，估价对象（分摊）出让国有建设用地使用权面积为平方米。估价对象用途为。</v>
      </c>
      <c r="B6" s="3546"/>
      <c r="C6" s="3546"/>
      <c r="D6" s="3546"/>
      <c r="E6" s="3546"/>
      <c r="F6" s="3546"/>
      <c r="G6" s="3546"/>
    </row>
    <row r="7" ht="18.75" spans="1:1">
      <c r="A7" s="3547" t="s">
        <v>80</v>
      </c>
    </row>
    <row r="8" ht="18.75" spans="1:7">
      <c r="A8" s="3548" t="str">
        <f>IF(项目基本情况!D4="抵押",IF(项目基本情况!B4=项目基本情况!B5,定义!C51,定义!B51),定义!D51)</f>
        <v>为估价委托人了解估价对象房地产市场价值提供参考依据。</v>
      </c>
      <c r="B8" s="3549"/>
      <c r="C8" s="3546"/>
      <c r="D8" s="3546"/>
      <c r="E8" s="3546"/>
      <c r="F8" s="3546"/>
      <c r="G8" s="3546"/>
    </row>
    <row r="9" ht="18.75" spans="1:2">
      <c r="A9" s="3545" t="s">
        <v>81</v>
      </c>
      <c r="B9" s="3550"/>
    </row>
    <row r="10" ht="18" spans="1:7">
      <c r="A10" s="3551" t="str">
        <f>TEXT(项目基本情况!D2,"yyyy年m月d日;;")&amp;IF(项目基本情况!B2=项目基本情况!D2,"（评估专业人员实地查勘之日）","")</f>
        <v>2022年1月6日</v>
      </c>
      <c r="B10" s="3552"/>
      <c r="C10" s="3552"/>
      <c r="D10" s="3552"/>
      <c r="E10" s="3552"/>
      <c r="F10" s="3552"/>
      <c r="G10" s="3552"/>
    </row>
    <row r="11" ht="18.75" spans="1:1">
      <c r="A11" s="3545" t="s">
        <v>82</v>
      </c>
    </row>
    <row r="12" ht="75" spans="1:7">
      <c r="A12" s="3546" t="s">
        <v>83</v>
      </c>
      <c r="B12" s="3546"/>
      <c r="C12" s="3546"/>
      <c r="D12" s="3546"/>
      <c r="E12" s="3546"/>
      <c r="F12" s="3546"/>
      <c r="G12" s="3546"/>
    </row>
    <row r="13" ht="37.5" spans="1:7">
      <c r="A13" s="3546" t="str">
        <f>"本次估价的“房地产价值”是指在正常市场情况下，在价值时点"&amp;TEXT(项目基本情况!D2,"yyyy年m月d日;;")&amp;"，估价对象规划用途为"&amp;项目基本情况!C14&amp;"，假定未设立法定优先受偿款下的房地产市场价值。"</f>
        <v>本次估价的“房地产价值”是指在正常市场情况下，在价值时点2022年1月6日，估价对象规划用途为，假定未设立法定优先受偿款下的房地产市场价值。</v>
      </c>
      <c r="B13" s="3546"/>
      <c r="C13" s="3546"/>
      <c r="D13" s="3546"/>
      <c r="E13" s="3546"/>
      <c r="F13" s="3546"/>
      <c r="G13" s="3546"/>
    </row>
    <row r="14" ht="75" spans="1:7">
      <c r="A14" s="3548" t="str">
        <f>IF(项目基本情况!D5="房地产市场价值","——",IF(项目基本情况!F5="房地产抵押价值",定义!C54,IF(项目基本情况!F5="已注销",定义!C55,定义!C56)))</f>
        <v>本次估价的“房地产抵押价值”是指估价对象在价值时点的“房地产价值”扣减估价师于价值时点所知悉的法定优先受偿款后的余额。本次估价的“抵押担保权已注销时的房地产抵押价值”是指估价对象在价值时点的“房地产价值”扣减估价师于价值时点所知悉的除抵押担保权以外的其他法定优先受偿款后的余额。</v>
      </c>
      <c r="B14" s="3553"/>
      <c r="C14" s="3553"/>
      <c r="D14" s="3553"/>
      <c r="E14" s="3553"/>
      <c r="F14" s="3553"/>
      <c r="G14" s="3553"/>
    </row>
    <row r="15" ht="56.25" spans="1:7">
      <c r="A15" s="3546" t="s">
        <v>84</v>
      </c>
      <c r="B15" s="3546"/>
      <c r="C15" s="3546"/>
      <c r="D15" s="3546"/>
      <c r="E15" s="3546"/>
      <c r="F15" s="3546"/>
      <c r="G15" s="3546"/>
    </row>
    <row r="16" ht="56.25" spans="1:7">
      <c r="A16" s="3549" t="str">
        <f>IF(项目基本情况!D5="房地产市场价值","——",IF(项目基本情况!G5="——","",定义!C57))</f>
        <v>本次估价的“抵押净值”是指估价对象“房地产抵押价值”减去估价对象在价值时点以“房地产销售收入”为基数计算的预计抵押权实现进行处置时需缴纳的各项费用、税金等相关费用后的价值。</v>
      </c>
      <c r="B16" s="3553"/>
      <c r="C16" s="3553"/>
      <c r="D16" s="3553"/>
      <c r="E16" s="3553"/>
      <c r="F16" s="3553"/>
      <c r="G16" s="3553"/>
    </row>
    <row r="17" ht="18.75" spans="1:1">
      <c r="A17" s="3545" t="s">
        <v>85</v>
      </c>
    </row>
    <row r="18" ht="18" spans="1:1">
      <c r="A18" s="3477" t="str">
        <f>"本次评估采用的主估价方法为"&amp;IF('数据-取费表'!E3="否",结果表!L4&amp;"和"&amp;结果表!M4,'结果表 (1修多)'!L4&amp;"和"&amp;'结果表 (1修多)'!M4)&amp;"。"</f>
        <v>本次评估采用的主估价方法为比较法和收益法。</v>
      </c>
    </row>
  </sheetData>
  <sheetProtection sheet="1" formatCells="0" formatRows="0" insertRows="0" deleteRows="0" objects="1" scenarios="1"/>
  <printOptions horizontalCentered="1"/>
  <pageMargins left="0.984251968503937" right="0.78740157480315" top="0.984251968503937" bottom="0.984251968503937" header="0.590551181102362" footer="0.590551181102362"/>
  <pageSetup paperSize="9" orientation="portrait"/>
  <headerFooter>
    <oddHeader>&amp;C&amp;G</oddHeader>
    <oddFooter>&amp;C&amp;P</oddFooter>
  </headerFooter>
  <legacyDrawingHF r:id="rId1"/>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6">
    <tabColor rgb="FF92D050"/>
    <pageSetUpPr fitToPage="1"/>
  </sheetPr>
  <dimension ref="A1:AC121"/>
  <sheetViews>
    <sheetView view="pageBreakPreview" zoomScale="70" zoomScaleNormal="60" workbookViewId="0">
      <selection activeCell="C13" sqref="C13:H13"/>
    </sheetView>
  </sheetViews>
  <sheetFormatPr defaultColWidth="9" defaultRowHeight="14.25"/>
  <cols>
    <col min="1" max="1" width="11.875" style="713" customWidth="1"/>
    <col min="2" max="2" width="15.75" style="713" customWidth="1"/>
    <col min="3" max="3" width="14.375" style="713" customWidth="1"/>
    <col min="4" max="4" width="12.25" style="713" customWidth="1"/>
    <col min="5" max="5" width="14.375" style="713" customWidth="1"/>
    <col min="6" max="6" width="12.25" style="713" customWidth="1"/>
    <col min="7" max="7" width="14.5" style="713" customWidth="1"/>
    <col min="8" max="8" width="12.25" style="713" customWidth="1"/>
    <col min="9" max="9" width="14.5" style="713" customWidth="1"/>
    <col min="10" max="10" width="12.25" style="713" customWidth="1"/>
    <col min="11" max="11" width="12.25" style="714" customWidth="1"/>
    <col min="12" max="12" width="12.25" style="715" customWidth="1"/>
    <col min="13" max="15" width="12.25" style="713" customWidth="1"/>
    <col min="16" max="16" width="4.75" style="713" customWidth="1"/>
    <col min="17" max="17" width="19.5" style="713" customWidth="1"/>
    <col min="18" max="22" width="6.125" style="713" customWidth="1"/>
    <col min="23" max="23" width="5.75" style="713" customWidth="1"/>
    <col min="24" max="24" width="4.25" style="713" customWidth="1"/>
    <col min="25" max="25" width="3.5" style="713" customWidth="1"/>
    <col min="26" max="26" width="19.75" style="713" customWidth="1"/>
    <col min="27" max="28" width="9.375" style="713" customWidth="1"/>
    <col min="29" max="16384" width="9" style="713"/>
  </cols>
  <sheetData>
    <row r="1" s="706" customFormat="1" ht="28.5" customHeight="1" spans="1:29">
      <c r="A1" s="716" t="s">
        <v>1508</v>
      </c>
      <c r="B1" s="717"/>
      <c r="C1" s="718" t="s">
        <v>1489</v>
      </c>
      <c r="D1" s="719"/>
      <c r="E1" s="719"/>
      <c r="F1" s="720" t="s">
        <v>1030</v>
      </c>
      <c r="G1" s="719"/>
      <c r="H1" s="719"/>
      <c r="I1" s="719"/>
      <c r="J1" s="719"/>
      <c r="K1" s="875"/>
      <c r="L1" s="876"/>
      <c r="M1" s="877"/>
      <c r="N1" s="877"/>
      <c r="O1" s="877"/>
      <c r="P1" s="878"/>
      <c r="Q1" s="878"/>
      <c r="R1" s="878"/>
      <c r="S1" s="878"/>
      <c r="T1" s="878"/>
      <c r="U1" s="878"/>
      <c r="V1" s="878"/>
      <c r="W1" s="878"/>
      <c r="X1" s="878"/>
      <c r="Y1" s="878"/>
      <c r="Z1" s="878"/>
      <c r="AA1" s="878"/>
      <c r="AB1" s="878"/>
      <c r="AC1" s="956"/>
    </row>
    <row r="2" s="706" customFormat="1" ht="28.5" customHeight="1" spans="1:29">
      <c r="A2" s="721" t="s">
        <v>868</v>
      </c>
      <c r="B2" s="722" t="e">
        <f>F61</f>
        <v>#DIV/0!</v>
      </c>
      <c r="C2" s="723" t="s">
        <v>1510</v>
      </c>
      <c r="D2" s="724"/>
      <c r="E2" s="724"/>
      <c r="F2" s="725"/>
      <c r="G2" s="724"/>
      <c r="H2" s="724"/>
      <c r="I2" s="724"/>
      <c r="J2" s="724"/>
      <c r="K2" s="879"/>
      <c r="L2" s="880"/>
      <c r="M2" s="881"/>
      <c r="N2" s="881"/>
      <c r="O2" s="881"/>
      <c r="P2" s="878"/>
      <c r="Q2" s="878"/>
      <c r="R2" s="878"/>
      <c r="S2" s="878"/>
      <c r="T2" s="878"/>
      <c r="U2" s="878"/>
      <c r="V2" s="878"/>
      <c r="W2" s="878"/>
      <c r="X2" s="878"/>
      <c r="Y2" s="878"/>
      <c r="Z2" s="878"/>
      <c r="AA2" s="878"/>
      <c r="AB2" s="878"/>
      <c r="AC2" s="956"/>
    </row>
    <row r="3" s="706" customFormat="1" ht="28.5" customHeight="1" spans="1:29">
      <c r="A3" s="726" t="s">
        <v>869</v>
      </c>
      <c r="B3" s="727" t="e">
        <f>ROUND(B2/'数据-取费表'!B5,0)</f>
        <v>#DIV/0!</v>
      </c>
      <c r="C3" s="723" t="s">
        <v>870</v>
      </c>
      <c r="D3" s="724"/>
      <c r="E3" s="724"/>
      <c r="F3" s="725"/>
      <c r="G3" s="724"/>
      <c r="H3" s="724"/>
      <c r="I3" s="724"/>
      <c r="J3" s="724"/>
      <c r="K3" s="879"/>
      <c r="L3" s="880"/>
      <c r="M3" s="881"/>
      <c r="N3" s="881"/>
      <c r="O3" s="881"/>
      <c r="P3" s="878"/>
      <c r="Q3" s="878"/>
      <c r="R3" s="878"/>
      <c r="S3" s="878"/>
      <c r="T3" s="878"/>
      <c r="U3" s="878"/>
      <c r="V3" s="878"/>
      <c r="W3" s="878"/>
      <c r="X3" s="878"/>
      <c r="Y3" s="878"/>
      <c r="Z3" s="878"/>
      <c r="AA3" s="878"/>
      <c r="AB3" s="957"/>
      <c r="AC3" s="958"/>
    </row>
    <row r="4" ht="15" spans="1:29">
      <c r="A4" s="728" t="s">
        <v>1032</v>
      </c>
      <c r="B4" s="729"/>
      <c r="C4" s="730" t="s">
        <v>1033</v>
      </c>
      <c r="D4" s="731"/>
      <c r="E4" s="732" t="s">
        <v>1034</v>
      </c>
      <c r="F4" s="733"/>
      <c r="G4" s="730" t="s">
        <v>1035</v>
      </c>
      <c r="H4" s="731"/>
      <c r="I4" s="730" t="s">
        <v>1036</v>
      </c>
      <c r="J4" s="731"/>
      <c r="K4" s="882" t="s">
        <v>1037</v>
      </c>
      <c r="L4" s="883"/>
      <c r="M4" s="884"/>
      <c r="N4" s="884"/>
      <c r="O4" s="884"/>
      <c r="P4" s="885" t="s">
        <v>1038</v>
      </c>
      <c r="Q4" s="931"/>
      <c r="R4" s="932" t="s">
        <v>1034</v>
      </c>
      <c r="S4" s="933"/>
      <c r="T4" s="932" t="s">
        <v>1035</v>
      </c>
      <c r="U4" s="933"/>
      <c r="V4" s="851" t="s">
        <v>1036</v>
      </c>
      <c r="W4" s="851"/>
      <c r="X4" s="934"/>
      <c r="Y4" s="932" t="s">
        <v>1038</v>
      </c>
      <c r="Z4" s="933"/>
      <c r="AA4" s="959" t="s">
        <v>1034</v>
      </c>
      <c r="AB4" s="934" t="s">
        <v>1035</v>
      </c>
      <c r="AC4" s="959" t="s">
        <v>1036</v>
      </c>
    </row>
    <row r="5" ht="15" spans="1:29">
      <c r="A5" s="734"/>
      <c r="B5" s="735"/>
      <c r="C5" s="736" t="s">
        <v>1039</v>
      </c>
      <c r="D5" s="737"/>
      <c r="E5" s="738" t="s">
        <v>1470</v>
      </c>
      <c r="F5" s="739"/>
      <c r="G5" s="736" t="s">
        <v>1471</v>
      </c>
      <c r="H5" s="737"/>
      <c r="I5" s="736" t="s">
        <v>1472</v>
      </c>
      <c r="J5" s="737"/>
      <c r="K5" s="882"/>
      <c r="L5" s="883"/>
      <c r="M5" s="884"/>
      <c r="N5" s="884"/>
      <c r="O5" s="884"/>
      <c r="P5" s="886"/>
      <c r="Q5" s="935"/>
      <c r="R5" s="936"/>
      <c r="S5" s="937"/>
      <c r="T5" s="936"/>
      <c r="U5" s="937"/>
      <c r="V5" s="851"/>
      <c r="W5" s="851"/>
      <c r="X5" s="934"/>
      <c r="Y5" s="936"/>
      <c r="Z5" s="937"/>
      <c r="AA5" s="934"/>
      <c r="AB5" s="934"/>
      <c r="AC5" s="934"/>
    </row>
    <row r="6" ht="15.75" spans="1:29">
      <c r="A6" s="740"/>
      <c r="B6" s="741"/>
      <c r="C6" s="742" t="s">
        <v>1041</v>
      </c>
      <c r="D6" s="743"/>
      <c r="E6" s="744" t="s">
        <v>1041</v>
      </c>
      <c r="F6" s="745"/>
      <c r="G6" s="742" t="s">
        <v>1041</v>
      </c>
      <c r="H6" s="743"/>
      <c r="I6" s="742" t="s">
        <v>1041</v>
      </c>
      <c r="J6" s="743"/>
      <c r="K6" s="882" t="s">
        <v>1042</v>
      </c>
      <c r="L6" s="883"/>
      <c r="M6" s="884"/>
      <c r="N6" s="884"/>
      <c r="O6" s="884"/>
      <c r="P6" s="887"/>
      <c r="Q6" s="938"/>
      <c r="R6" s="936"/>
      <c r="S6" s="937"/>
      <c r="T6" s="939"/>
      <c r="U6" s="940"/>
      <c r="V6" s="851"/>
      <c r="W6" s="851"/>
      <c r="X6" s="934"/>
      <c r="Y6" s="939"/>
      <c r="Z6" s="940"/>
      <c r="AA6" s="960"/>
      <c r="AB6" s="960"/>
      <c r="AC6" s="960"/>
    </row>
    <row r="7" s="707" customFormat="1" ht="15.75" spans="1:29">
      <c r="A7" s="746" t="s">
        <v>1043</v>
      </c>
      <c r="B7" s="747"/>
      <c r="C7" s="748">
        <f>'数据-取费表'!B2</f>
        <v>44567</v>
      </c>
      <c r="D7" s="749">
        <v>100</v>
      </c>
      <c r="E7" s="750"/>
      <c r="F7" s="751">
        <f>SUMIF(65:65,YEAR(E7)&amp;"-"&amp;INT((MONTH(E7)+2)/3),66:66)</f>
        <v>0</v>
      </c>
      <c r="G7" s="752"/>
      <c r="H7" s="749">
        <f>SUMIF(65:65,YEAR(G7)&amp;"-"&amp;INT((MONTH(G7)+2)/3),66:66)</f>
        <v>0</v>
      </c>
      <c r="I7" s="752"/>
      <c r="J7" s="749">
        <f>SUMIF(65:65,YEAR(I7)&amp;"-"&amp;INT((MONTH(I7)+2)/3),66:66)</f>
        <v>0</v>
      </c>
      <c r="K7" s="888"/>
      <c r="L7" s="889"/>
      <c r="M7" s="890"/>
      <c r="N7" s="890"/>
      <c r="O7" s="890"/>
      <c r="P7" s="891" t="s">
        <v>1044</v>
      </c>
      <c r="Q7" s="941"/>
      <c r="R7" s="942" t="s">
        <v>1045</v>
      </c>
      <c r="S7" s="943">
        <f t="shared" ref="S7:S15" si="0">F7</f>
        <v>0</v>
      </c>
      <c r="T7" s="942" t="s">
        <v>1045</v>
      </c>
      <c r="U7" s="943">
        <f t="shared" ref="U7:U15" si="1">H7</f>
        <v>0</v>
      </c>
      <c r="V7" s="942" t="s">
        <v>1045</v>
      </c>
      <c r="W7" s="943">
        <f t="shared" ref="W7:W15" si="2">J7</f>
        <v>0</v>
      </c>
      <c r="X7" s="944"/>
      <c r="Y7" s="891" t="s">
        <v>1044</v>
      </c>
      <c r="Z7" s="945"/>
      <c r="AA7" s="961" t="e">
        <f>D7/F7</f>
        <v>#DIV/0!</v>
      </c>
      <c r="AB7" s="961" t="e">
        <f>D7/H7</f>
        <v>#DIV/0!</v>
      </c>
      <c r="AC7" s="961" t="e">
        <f>D7/J7</f>
        <v>#DIV/0!</v>
      </c>
    </row>
    <row r="8" s="707" customFormat="1" ht="15.75" spans="1:29">
      <c r="A8" s="746" t="s">
        <v>1046</v>
      </c>
      <c r="B8" s="747"/>
      <c r="C8" s="753" t="s">
        <v>1047</v>
      </c>
      <c r="D8" s="749">
        <v>100</v>
      </c>
      <c r="E8" s="753"/>
      <c r="F8" s="751">
        <f>SUMIF(68:68,E8,69:69)-SUMIF(68:68,C8,69:69)+100</f>
        <v>0</v>
      </c>
      <c r="G8" s="753"/>
      <c r="H8" s="749">
        <f>SUMIF(68:68,G8,69:69)-SUMIF(68:68,C8,69:69)+100</f>
        <v>0</v>
      </c>
      <c r="I8" s="753"/>
      <c r="J8" s="749">
        <f>SUMIF(68:68,I8,69:69)-SUMIF(68:68,C8,69:69)+100</f>
        <v>0</v>
      </c>
      <c r="K8" s="888"/>
      <c r="L8" s="889"/>
      <c r="M8" s="890"/>
      <c r="N8" s="890"/>
      <c r="O8" s="890"/>
      <c r="P8" s="891" t="s">
        <v>1049</v>
      </c>
      <c r="Q8" s="945"/>
      <c r="R8" s="942" t="s">
        <v>1045</v>
      </c>
      <c r="S8" s="943">
        <f t="shared" si="0"/>
        <v>0</v>
      </c>
      <c r="T8" s="942" t="s">
        <v>1045</v>
      </c>
      <c r="U8" s="943">
        <f t="shared" si="1"/>
        <v>0</v>
      </c>
      <c r="V8" s="942" t="s">
        <v>1045</v>
      </c>
      <c r="W8" s="943">
        <f t="shared" si="2"/>
        <v>0</v>
      </c>
      <c r="X8" s="944"/>
      <c r="Y8" s="891" t="s">
        <v>1049</v>
      </c>
      <c r="Z8" s="945"/>
      <c r="AA8" s="961" t="e">
        <f t="shared" ref="AA8:AA40" si="3">D8/F8</f>
        <v>#DIV/0!</v>
      </c>
      <c r="AB8" s="961" t="e">
        <f t="shared" ref="AB8:AB40" si="4">D8/H8</f>
        <v>#DIV/0!</v>
      </c>
      <c r="AC8" s="961" t="e">
        <f t="shared" ref="AC8:AC40" si="5">D8/J8</f>
        <v>#DIV/0!</v>
      </c>
    </row>
    <row r="9" s="707" customFormat="1" spans="1:29">
      <c r="A9" s="754" t="s">
        <v>1050</v>
      </c>
      <c r="B9" s="755" t="s">
        <v>1051</v>
      </c>
      <c r="C9" s="756" t="s">
        <v>155</v>
      </c>
      <c r="D9" s="757">
        <v>100</v>
      </c>
      <c r="E9" s="756"/>
      <c r="F9" s="757">
        <f>SUMIF(70:70,E9,71:71)-SUMIF(70:70,C9,71:71)+100</f>
        <v>100</v>
      </c>
      <c r="G9" s="756"/>
      <c r="H9" s="757">
        <f>SUMIF(70:70,G9,71:71)-SUMIF(70:70,C9,71:71)+100</f>
        <v>100</v>
      </c>
      <c r="I9" s="756"/>
      <c r="J9" s="757">
        <f>SUMIF(70:70,I9,71:71)-SUMIF(70:70,C9,71:71)+100</f>
        <v>100</v>
      </c>
      <c r="K9" s="888"/>
      <c r="L9" s="889"/>
      <c r="M9" s="890"/>
      <c r="N9" s="890"/>
      <c r="O9" s="892"/>
      <c r="P9" s="893" t="s">
        <v>1052</v>
      </c>
      <c r="Q9" s="946" t="str">
        <f t="shared" ref="Q9:Q15" si="6">B9</f>
        <v>用途</v>
      </c>
      <c r="R9" s="942" t="s">
        <v>1045</v>
      </c>
      <c r="S9" s="943">
        <f t="shared" si="0"/>
        <v>100</v>
      </c>
      <c r="T9" s="942" t="s">
        <v>1045</v>
      </c>
      <c r="U9" s="943">
        <f t="shared" si="1"/>
        <v>100</v>
      </c>
      <c r="V9" s="942" t="s">
        <v>1045</v>
      </c>
      <c r="W9" s="943">
        <f t="shared" si="2"/>
        <v>100</v>
      </c>
      <c r="X9" s="944"/>
      <c r="Y9" s="946" t="s">
        <v>1053</v>
      </c>
      <c r="Z9" s="962" t="str">
        <f t="shared" ref="Z9:Z15" si="7">Q9</f>
        <v>用途</v>
      </c>
      <c r="AA9" s="961">
        <f t="shared" si="3"/>
        <v>1</v>
      </c>
      <c r="AB9" s="961">
        <f t="shared" si="4"/>
        <v>1</v>
      </c>
      <c r="AC9" s="961">
        <f t="shared" si="5"/>
        <v>1</v>
      </c>
    </row>
    <row r="10" s="708" customFormat="1" ht="27" spans="1:29">
      <c r="A10" s="758"/>
      <c r="B10" s="759" t="s">
        <v>1054</v>
      </c>
      <c r="C10" s="760"/>
      <c r="D10" s="761">
        <v>100</v>
      </c>
      <c r="E10" s="760"/>
      <c r="F10" s="761">
        <f>ROUND(100/'数据-取费表'!B14,0)</f>
        <v>109</v>
      </c>
      <c r="G10" s="760"/>
      <c r="H10" s="761">
        <f>ROUND(100/'数据-取费表'!B14,0)</f>
        <v>109</v>
      </c>
      <c r="I10" s="760"/>
      <c r="J10" s="761">
        <f>ROUND(100/'数据-取费表'!B14,0)</f>
        <v>109</v>
      </c>
      <c r="K10" s="894"/>
      <c r="L10" s="895"/>
      <c r="M10" s="896"/>
      <c r="N10" s="896"/>
      <c r="O10" s="897"/>
      <c r="P10" s="893"/>
      <c r="Q10" s="946" t="str">
        <f t="shared" si="6"/>
        <v>土地使用年限（年）</v>
      </c>
      <c r="R10" s="942" t="s">
        <v>1045</v>
      </c>
      <c r="S10" s="943">
        <f t="shared" si="0"/>
        <v>109</v>
      </c>
      <c r="T10" s="942" t="s">
        <v>1045</v>
      </c>
      <c r="U10" s="943">
        <f t="shared" si="1"/>
        <v>109</v>
      </c>
      <c r="V10" s="942" t="s">
        <v>1045</v>
      </c>
      <c r="W10" s="943">
        <f t="shared" si="2"/>
        <v>109</v>
      </c>
      <c r="X10" s="944"/>
      <c r="Y10" s="946"/>
      <c r="Z10" s="962" t="str">
        <f t="shared" si="7"/>
        <v>土地使用年限（年）</v>
      </c>
      <c r="AA10" s="961">
        <f t="shared" si="3"/>
        <v>0.917431192660551</v>
      </c>
      <c r="AB10" s="961">
        <f t="shared" si="4"/>
        <v>0.917431192660551</v>
      </c>
      <c r="AC10" s="961">
        <f t="shared" si="5"/>
        <v>0.917431192660551</v>
      </c>
    </row>
    <row r="11" ht="15" spans="1:29">
      <c r="A11" s="762"/>
      <c r="B11" s="759" t="s">
        <v>1056</v>
      </c>
      <c r="C11" s="763">
        <v>0.5</v>
      </c>
      <c r="D11" s="761">
        <v>100</v>
      </c>
      <c r="E11" s="763"/>
      <c r="F11" s="761" t="e">
        <f>LOOKUP(E11,75:75,76:76)-LOOKUP(C11,75:75,76:76)+100</f>
        <v>#N/A</v>
      </c>
      <c r="G11" s="764"/>
      <c r="H11" s="761" t="e">
        <f>LOOKUP(G11,75:75,76:76)-LOOKUP(C11,75:75,76:76)+100</f>
        <v>#N/A</v>
      </c>
      <c r="I11" s="763"/>
      <c r="J11" s="761" t="e">
        <f>LOOKUP(I11,75:75,76:76)-LOOKUP(C11,75:75,76:76)+100</f>
        <v>#N/A</v>
      </c>
      <c r="K11" s="898"/>
      <c r="L11" s="899"/>
      <c r="M11" s="884"/>
      <c r="N11" s="884"/>
      <c r="O11" s="900"/>
      <c r="P11" s="893"/>
      <c r="Q11" s="946" t="str">
        <f t="shared" si="6"/>
        <v>容积率</v>
      </c>
      <c r="R11" s="942" t="s">
        <v>1045</v>
      </c>
      <c r="S11" s="943" t="e">
        <f t="shared" si="0"/>
        <v>#N/A</v>
      </c>
      <c r="T11" s="942" t="s">
        <v>1045</v>
      </c>
      <c r="U11" s="943" t="e">
        <f t="shared" si="1"/>
        <v>#N/A</v>
      </c>
      <c r="V11" s="942" t="s">
        <v>1045</v>
      </c>
      <c r="W11" s="943" t="e">
        <f t="shared" si="2"/>
        <v>#N/A</v>
      </c>
      <c r="X11" s="944"/>
      <c r="Y11" s="946"/>
      <c r="Z11" s="962" t="str">
        <f t="shared" si="7"/>
        <v>容积率</v>
      </c>
      <c r="AA11" s="961" t="e">
        <f t="shared" si="3"/>
        <v>#N/A</v>
      </c>
      <c r="AB11" s="961" t="e">
        <f t="shared" si="4"/>
        <v>#N/A</v>
      </c>
      <c r="AC11" s="961" t="e">
        <f t="shared" si="5"/>
        <v>#N/A</v>
      </c>
    </row>
    <row r="12" s="707" customFormat="1" ht="15" spans="1:29">
      <c r="A12" s="765"/>
      <c r="B12" s="766">
        <v>111</v>
      </c>
      <c r="C12" s="760">
        <v>111</v>
      </c>
      <c r="D12" s="767">
        <v>100</v>
      </c>
      <c r="E12" s="768"/>
      <c r="F12" s="761">
        <f>SUMIF(77:77,E12,78:78)-SUMIF(77:77,C12,78:78)+100</f>
        <v>100</v>
      </c>
      <c r="G12" s="769"/>
      <c r="H12" s="761">
        <f>SUMIF(77:77,G12,78:78)-SUMIF(77:77,C12,78:78)+100</f>
        <v>100</v>
      </c>
      <c r="I12" s="768"/>
      <c r="J12" s="761">
        <f>SUMIF(77:77,I12,78:78)-SUMIF(77:77,C12,78:78)+100</f>
        <v>100</v>
      </c>
      <c r="K12" s="894"/>
      <c r="L12" s="889"/>
      <c r="M12" s="890"/>
      <c r="N12" s="890"/>
      <c r="O12" s="892"/>
      <c r="P12" s="893"/>
      <c r="Q12" s="946">
        <f t="shared" si="6"/>
        <v>111</v>
      </c>
      <c r="R12" s="942" t="s">
        <v>1045</v>
      </c>
      <c r="S12" s="943">
        <f t="shared" si="0"/>
        <v>100</v>
      </c>
      <c r="T12" s="942" t="s">
        <v>1045</v>
      </c>
      <c r="U12" s="943">
        <f t="shared" si="1"/>
        <v>100</v>
      </c>
      <c r="V12" s="942" t="s">
        <v>1045</v>
      </c>
      <c r="W12" s="943">
        <f t="shared" si="2"/>
        <v>100</v>
      </c>
      <c r="X12" s="944"/>
      <c r="Y12" s="946"/>
      <c r="Z12" s="962">
        <f t="shared" si="7"/>
        <v>111</v>
      </c>
      <c r="AA12" s="961">
        <f t="shared" si="3"/>
        <v>1</v>
      </c>
      <c r="AB12" s="961">
        <f t="shared" si="4"/>
        <v>1</v>
      </c>
      <c r="AC12" s="961">
        <f t="shared" si="5"/>
        <v>1</v>
      </c>
    </row>
    <row r="13" ht="15" spans="1:29">
      <c r="A13" s="762"/>
      <c r="B13" s="766">
        <v>111</v>
      </c>
      <c r="C13" s="770">
        <v>111</v>
      </c>
      <c r="D13" s="771">
        <v>100</v>
      </c>
      <c r="E13" s="768"/>
      <c r="F13" s="761">
        <f>SUMIF(79:79,E13,80:80)-SUMIF(79:79,C13,80:80)+100</f>
        <v>100</v>
      </c>
      <c r="G13" s="769"/>
      <c r="H13" s="771">
        <f>SUMIF(79:79,G13,80:80)-SUMIF(79:79,C13,80:80)+100</f>
        <v>100</v>
      </c>
      <c r="I13" s="768"/>
      <c r="J13" s="771">
        <f>SUMIF(79:79,I13,80:80)-SUMIF(79:79,C13,80:80)+100</f>
        <v>100</v>
      </c>
      <c r="K13" s="894"/>
      <c r="L13" s="901"/>
      <c r="M13" s="884"/>
      <c r="N13" s="884"/>
      <c r="O13" s="900"/>
      <c r="P13" s="893"/>
      <c r="Q13" s="946">
        <f t="shared" si="6"/>
        <v>111</v>
      </c>
      <c r="R13" s="942" t="s">
        <v>1045</v>
      </c>
      <c r="S13" s="943">
        <f t="shared" si="0"/>
        <v>100</v>
      </c>
      <c r="T13" s="942" t="s">
        <v>1045</v>
      </c>
      <c r="U13" s="943">
        <f t="shared" si="1"/>
        <v>100</v>
      </c>
      <c r="V13" s="942" t="s">
        <v>1045</v>
      </c>
      <c r="W13" s="943">
        <f t="shared" si="2"/>
        <v>100</v>
      </c>
      <c r="X13" s="944"/>
      <c r="Y13" s="946"/>
      <c r="Z13" s="962">
        <f t="shared" si="7"/>
        <v>111</v>
      </c>
      <c r="AA13" s="961">
        <f t="shared" si="3"/>
        <v>1</v>
      </c>
      <c r="AB13" s="961">
        <f t="shared" si="4"/>
        <v>1</v>
      </c>
      <c r="AC13" s="961">
        <f t="shared" si="5"/>
        <v>1</v>
      </c>
    </row>
    <row r="14" ht="15.75" spans="1:29">
      <c r="A14" s="772"/>
      <c r="B14" s="773">
        <v>111</v>
      </c>
      <c r="C14" s="774">
        <v>111</v>
      </c>
      <c r="D14" s="775">
        <v>100</v>
      </c>
      <c r="E14" s="768"/>
      <c r="F14" s="775">
        <f>SUMIF(81:81,E14,82:82)-SUMIF(81:81,C14,82:82)+100</f>
        <v>100</v>
      </c>
      <c r="G14" s="769"/>
      <c r="H14" s="775">
        <f>SUMIF(81:81,G14,82:82)-SUMIF(81:81,C14,82:82)+100</f>
        <v>100</v>
      </c>
      <c r="I14" s="768"/>
      <c r="J14" s="775">
        <f>SUMIF(81:81,I14,82:82)-SUMIF(81:81,C14,82:82)+100</f>
        <v>100</v>
      </c>
      <c r="K14" s="894"/>
      <c r="L14" s="901"/>
      <c r="M14" s="884"/>
      <c r="N14" s="884"/>
      <c r="O14" s="900"/>
      <c r="P14" s="893"/>
      <c r="Q14" s="946">
        <f t="shared" si="6"/>
        <v>111</v>
      </c>
      <c r="R14" s="942" t="s">
        <v>1045</v>
      </c>
      <c r="S14" s="943">
        <f t="shared" si="0"/>
        <v>100</v>
      </c>
      <c r="T14" s="942" t="s">
        <v>1045</v>
      </c>
      <c r="U14" s="943">
        <f t="shared" si="1"/>
        <v>100</v>
      </c>
      <c r="V14" s="942" t="s">
        <v>1045</v>
      </c>
      <c r="W14" s="943">
        <f t="shared" si="2"/>
        <v>100</v>
      </c>
      <c r="X14" s="944"/>
      <c r="Y14" s="946"/>
      <c r="Z14" s="962">
        <f t="shared" si="7"/>
        <v>111</v>
      </c>
      <c r="AA14" s="961">
        <f t="shared" si="3"/>
        <v>1</v>
      </c>
      <c r="AB14" s="961">
        <f t="shared" si="4"/>
        <v>1</v>
      </c>
      <c r="AC14" s="961">
        <f t="shared" si="5"/>
        <v>1</v>
      </c>
    </row>
    <row r="15" ht="56.25" spans="1:29">
      <c r="A15" s="776" t="s">
        <v>1057</v>
      </c>
      <c r="B15" s="777" t="s">
        <v>208</v>
      </c>
      <c r="C15" s="778" t="str">
        <f>估价对象房地状况!G15</f>
        <v>估价对象位于XX开发区，园区建设成熟度XX，产业集聚程度XX</v>
      </c>
      <c r="D15" s="779">
        <v>100</v>
      </c>
      <c r="E15" s="780"/>
      <c r="F15" s="779">
        <f>SUMIF(83:83,E16,84:84)-SUMIF(83:83,C16,84:84)+100</f>
        <v>100</v>
      </c>
      <c r="G15" s="780"/>
      <c r="H15" s="779">
        <f>SUMIF(83:83,G16,84:84)-SUMIF(83:83,C16,84:84)+100</f>
        <v>100</v>
      </c>
      <c r="I15" s="902"/>
      <c r="J15" s="779">
        <f>SUMIF(83:83,I16,84:84)-SUMIF(83:83,C16,84:84)+100</f>
        <v>100</v>
      </c>
      <c r="K15" s="898"/>
      <c r="L15" s="901"/>
      <c r="M15" s="884"/>
      <c r="N15" s="884"/>
      <c r="O15" s="900"/>
      <c r="P15" s="903" t="s">
        <v>1058</v>
      </c>
      <c r="Q15" s="893" t="str">
        <f t="shared" si="6"/>
        <v>产业集聚程度</v>
      </c>
      <c r="R15" s="947" t="s">
        <v>1045</v>
      </c>
      <c r="S15" s="948">
        <f t="shared" si="0"/>
        <v>100</v>
      </c>
      <c r="T15" s="947" t="s">
        <v>1045</v>
      </c>
      <c r="U15" s="948">
        <f t="shared" si="1"/>
        <v>100</v>
      </c>
      <c r="V15" s="947" t="s">
        <v>1045</v>
      </c>
      <c r="W15" s="948">
        <f t="shared" si="2"/>
        <v>100</v>
      </c>
      <c r="X15" s="934"/>
      <c r="Y15" s="903" t="s">
        <v>1058</v>
      </c>
      <c r="Z15" s="851" t="str">
        <f t="shared" si="7"/>
        <v>产业集聚程度</v>
      </c>
      <c r="AA15" s="963">
        <f t="shared" si="3"/>
        <v>1</v>
      </c>
      <c r="AB15" s="963">
        <f t="shared" si="4"/>
        <v>1</v>
      </c>
      <c r="AC15" s="963">
        <f t="shared" si="5"/>
        <v>1</v>
      </c>
    </row>
    <row r="16" ht="15" spans="1:29">
      <c r="A16" s="762"/>
      <c r="B16" s="781"/>
      <c r="C16" s="782"/>
      <c r="D16" s="783"/>
      <c r="E16" s="784"/>
      <c r="F16" s="783"/>
      <c r="G16" s="784"/>
      <c r="H16" s="785"/>
      <c r="I16" s="784"/>
      <c r="J16" s="783"/>
      <c r="K16" s="894"/>
      <c r="L16" s="901"/>
      <c r="M16" s="884"/>
      <c r="N16" s="884"/>
      <c r="O16" s="900"/>
      <c r="P16" s="904"/>
      <c r="Q16" s="893"/>
      <c r="R16" s="947"/>
      <c r="S16" s="948"/>
      <c r="T16" s="947"/>
      <c r="U16" s="948"/>
      <c r="V16" s="947"/>
      <c r="W16" s="948"/>
      <c r="X16" s="934"/>
      <c r="Y16" s="904"/>
      <c r="Z16" s="851"/>
      <c r="AA16" s="963">
        <v>1</v>
      </c>
      <c r="AB16" s="963">
        <v>1</v>
      </c>
      <c r="AC16" s="963">
        <v>1</v>
      </c>
    </row>
    <row r="17" ht="81" spans="1:29">
      <c r="A17" s="762"/>
      <c r="B17" s="786" t="s">
        <v>209</v>
      </c>
      <c r="C17" s="787" t="str">
        <f>估价对象房地状况!G16</f>
        <v>估价对象周边道路状况、公共交通通达情况、停车便捷程度，综合评价交通便捷度较好</v>
      </c>
      <c r="D17" s="785">
        <v>100</v>
      </c>
      <c r="E17" s="788"/>
      <c r="F17" s="789">
        <f>SUMIF(85:85,E18,86:86)-SUMIF(85:85,C18,86:86)+100</f>
        <v>100</v>
      </c>
      <c r="G17" s="788"/>
      <c r="H17" s="789">
        <f>SUMIF(85:85,G18,86:86)-SUMIF(85:85,C18,86:86)+100</f>
        <v>100</v>
      </c>
      <c r="I17" s="905"/>
      <c r="J17" s="785">
        <f>SUMIF(85:85,I18,86:86)-SUMIF(85:85,C18,86:86)+100</f>
        <v>100</v>
      </c>
      <c r="K17" s="898"/>
      <c r="L17" s="901"/>
      <c r="M17" s="884"/>
      <c r="N17" s="884"/>
      <c r="O17" s="900"/>
      <c r="P17" s="904"/>
      <c r="Q17" s="893" t="str">
        <f>B17</f>
        <v>交通便捷度</v>
      </c>
      <c r="R17" s="947" t="s">
        <v>1045</v>
      </c>
      <c r="S17" s="948">
        <f>F17</f>
        <v>100</v>
      </c>
      <c r="T17" s="947" t="s">
        <v>1045</v>
      </c>
      <c r="U17" s="948">
        <f>H17</f>
        <v>100</v>
      </c>
      <c r="V17" s="947" t="s">
        <v>1045</v>
      </c>
      <c r="W17" s="948">
        <f>J17</f>
        <v>100</v>
      </c>
      <c r="X17" s="934"/>
      <c r="Y17" s="904"/>
      <c r="Z17" s="851" t="str">
        <f>Q17</f>
        <v>交通便捷度</v>
      </c>
      <c r="AA17" s="963">
        <f t="shared" si="3"/>
        <v>1</v>
      </c>
      <c r="AB17" s="963">
        <f t="shared" si="4"/>
        <v>1</v>
      </c>
      <c r="AC17" s="963">
        <f t="shared" si="5"/>
        <v>1</v>
      </c>
    </row>
    <row r="18" ht="15" spans="1:29">
      <c r="A18" s="762"/>
      <c r="B18" s="790"/>
      <c r="C18" s="782"/>
      <c r="D18" s="783"/>
      <c r="E18" s="791"/>
      <c r="F18" s="783"/>
      <c r="G18" s="791"/>
      <c r="H18" s="783"/>
      <c r="I18" s="906"/>
      <c r="J18" s="783"/>
      <c r="K18" s="894"/>
      <c r="L18" s="901"/>
      <c r="M18" s="884"/>
      <c r="N18" s="884"/>
      <c r="O18" s="900"/>
      <c r="P18" s="904"/>
      <c r="Q18" s="893"/>
      <c r="R18" s="947"/>
      <c r="S18" s="948"/>
      <c r="T18" s="947"/>
      <c r="U18" s="948"/>
      <c r="V18" s="947"/>
      <c r="W18" s="948"/>
      <c r="X18" s="934"/>
      <c r="Y18" s="904"/>
      <c r="Z18" s="851"/>
      <c r="AA18" s="963">
        <v>1</v>
      </c>
      <c r="AB18" s="963">
        <v>1</v>
      </c>
      <c r="AC18" s="963">
        <v>1</v>
      </c>
    </row>
    <row r="19" ht="15" spans="1:29">
      <c r="A19" s="762"/>
      <c r="B19" s="786" t="s">
        <v>210</v>
      </c>
      <c r="C19" s="787">
        <f>估价对象房地状况!G17</f>
        <v>0</v>
      </c>
      <c r="D19" s="785">
        <v>100</v>
      </c>
      <c r="E19" s="788"/>
      <c r="F19" s="789">
        <f>SUMIF(87:87,E20,88:88)-SUMIF(87:87,C20,88:88)+100</f>
        <v>100</v>
      </c>
      <c r="G19" s="788"/>
      <c r="H19" s="789">
        <f>SUMIF(87:87,G20,88:88)-SUMIF(87:87,C20,88:88)+100</f>
        <v>100</v>
      </c>
      <c r="I19" s="788"/>
      <c r="J19" s="789">
        <f>SUMIF(87:87,I20,88:88)-SUMIF(87:87,C20,88:88)+100</f>
        <v>100</v>
      </c>
      <c r="K19" s="898"/>
      <c r="L19" s="901"/>
      <c r="M19" s="884"/>
      <c r="N19" s="884"/>
      <c r="O19" s="900"/>
      <c r="P19" s="904"/>
      <c r="Q19" s="893" t="str">
        <f t="shared" ref="Q19:Q34" si="8">B19</f>
        <v>区域土地利用方向</v>
      </c>
      <c r="R19" s="947" t="s">
        <v>1045</v>
      </c>
      <c r="S19" s="948">
        <f>F19</f>
        <v>100</v>
      </c>
      <c r="T19" s="947" t="s">
        <v>1045</v>
      </c>
      <c r="U19" s="948">
        <f>H19</f>
        <v>100</v>
      </c>
      <c r="V19" s="947" t="s">
        <v>1045</v>
      </c>
      <c r="W19" s="948">
        <f>J19</f>
        <v>100</v>
      </c>
      <c r="X19" s="934"/>
      <c r="Y19" s="904"/>
      <c r="Z19" s="851" t="str">
        <f>Q19</f>
        <v>区域土地利用方向</v>
      </c>
      <c r="AA19" s="963">
        <f t="shared" si="3"/>
        <v>1</v>
      </c>
      <c r="AB19" s="963">
        <f t="shared" si="4"/>
        <v>1</v>
      </c>
      <c r="AC19" s="963">
        <f t="shared" si="5"/>
        <v>1</v>
      </c>
    </row>
    <row r="20" ht="15" spans="1:29">
      <c r="A20" s="734"/>
      <c r="B20" s="790"/>
      <c r="C20" s="782"/>
      <c r="D20" s="783"/>
      <c r="E20" s="791"/>
      <c r="F20" s="783"/>
      <c r="G20" s="791"/>
      <c r="H20" s="783"/>
      <c r="I20" s="791"/>
      <c r="J20" s="783"/>
      <c r="K20" s="907"/>
      <c r="L20" s="901"/>
      <c r="M20" s="884"/>
      <c r="N20" s="884"/>
      <c r="O20" s="900"/>
      <c r="P20" s="904"/>
      <c r="Q20" s="893"/>
      <c r="R20" s="947"/>
      <c r="S20" s="948"/>
      <c r="T20" s="947"/>
      <c r="U20" s="948"/>
      <c r="V20" s="947"/>
      <c r="W20" s="948"/>
      <c r="X20" s="934"/>
      <c r="Y20" s="904"/>
      <c r="Z20" s="851"/>
      <c r="AA20" s="963"/>
      <c r="AB20" s="963"/>
      <c r="AC20" s="963"/>
    </row>
    <row r="21" ht="67.5" spans="1:29">
      <c r="A21" s="734"/>
      <c r="B21" s="786" t="s">
        <v>1545</v>
      </c>
      <c r="C21" s="787" t="str">
        <f>估价对象房地状况!G18</f>
        <v>该园区内是否有污染型企业，绿化情况，卫生条件，整体环境状况判断</v>
      </c>
      <c r="D21" s="785">
        <v>100</v>
      </c>
      <c r="E21" s="788"/>
      <c r="F21" s="785">
        <f>SUMIF(89:89,E22,90:90)-SUMIF(89:89,C22,90:90)+100</f>
        <v>100</v>
      </c>
      <c r="G21" s="788"/>
      <c r="H21" s="785">
        <f>SUMIF(89:89,G22,90:90)-SUMIF(89:89,C22,90:90)+100</f>
        <v>100</v>
      </c>
      <c r="I21" s="905"/>
      <c r="J21" s="785">
        <f>SUMIF(89:89,I22,90:90)-SUMIF(89:89,C22,90:90)+100</f>
        <v>100</v>
      </c>
      <c r="K21" s="898"/>
      <c r="L21" s="901"/>
      <c r="M21" s="884"/>
      <c r="N21" s="884"/>
      <c r="O21" s="900"/>
      <c r="P21" s="904"/>
      <c r="Q21" s="893" t="str">
        <f t="shared" si="8"/>
        <v>环境状况</v>
      </c>
      <c r="R21" s="947" t="s">
        <v>1045</v>
      </c>
      <c r="S21" s="948">
        <f>F21</f>
        <v>100</v>
      </c>
      <c r="T21" s="947" t="s">
        <v>1045</v>
      </c>
      <c r="U21" s="948">
        <f>H21</f>
        <v>100</v>
      </c>
      <c r="V21" s="947" t="s">
        <v>1045</v>
      </c>
      <c r="W21" s="948">
        <f>J21</f>
        <v>100</v>
      </c>
      <c r="X21" s="934"/>
      <c r="Y21" s="904"/>
      <c r="Z21" s="851" t="str">
        <f>Q21</f>
        <v>环境状况</v>
      </c>
      <c r="AA21" s="963">
        <f t="shared" si="3"/>
        <v>1</v>
      </c>
      <c r="AB21" s="963">
        <f t="shared" si="4"/>
        <v>1</v>
      </c>
      <c r="AC21" s="963">
        <f t="shared" si="5"/>
        <v>1</v>
      </c>
    </row>
    <row r="22" ht="15" spans="1:29">
      <c r="A22" s="734"/>
      <c r="B22" s="790"/>
      <c r="C22" s="782"/>
      <c r="D22" s="783"/>
      <c r="E22" s="784"/>
      <c r="F22" s="783"/>
      <c r="G22" s="784"/>
      <c r="H22" s="783"/>
      <c r="I22" s="782"/>
      <c r="J22" s="783"/>
      <c r="K22" s="894"/>
      <c r="L22" s="901"/>
      <c r="M22" s="884"/>
      <c r="N22" s="884"/>
      <c r="O22" s="900"/>
      <c r="P22" s="904"/>
      <c r="Q22" s="893"/>
      <c r="R22" s="947"/>
      <c r="S22" s="948"/>
      <c r="T22" s="947"/>
      <c r="U22" s="948"/>
      <c r="V22" s="947"/>
      <c r="W22" s="948"/>
      <c r="X22" s="934"/>
      <c r="Y22" s="904"/>
      <c r="Z22" s="851"/>
      <c r="AA22" s="963">
        <v>1</v>
      </c>
      <c r="AB22" s="963">
        <v>1</v>
      </c>
      <c r="AC22" s="963">
        <v>1</v>
      </c>
    </row>
    <row r="23" s="707" customFormat="1" ht="40.5" spans="1:29">
      <c r="A23" s="792"/>
      <c r="B23" s="786" t="s">
        <v>211</v>
      </c>
      <c r="C23" s="787" t="str">
        <f>估价对象房地状况!G19</f>
        <v>估价对象所在区域公共配套设施齐备情况</v>
      </c>
      <c r="D23" s="785">
        <v>100</v>
      </c>
      <c r="E23" s="788"/>
      <c r="F23" s="785">
        <f>SUMIF(91:91,E24,92:92)-SUMIF(91:91,C24,92:92)+100</f>
        <v>100</v>
      </c>
      <c r="G23" s="788"/>
      <c r="H23" s="785">
        <f>SUMIF(91:91,G24,92:92)-SUMIF(91:91,C24,92:92)+100</f>
        <v>100</v>
      </c>
      <c r="I23" s="905"/>
      <c r="J23" s="785">
        <f>SUMIF(91:91,I24,92:92)-SUMIF(91:91,C24,92:92)+100</f>
        <v>100</v>
      </c>
      <c r="K23" s="898"/>
      <c r="L23" s="889"/>
      <c r="M23" s="890"/>
      <c r="N23" s="890"/>
      <c r="O23" s="892"/>
      <c r="P23" s="904"/>
      <c r="Q23" s="946" t="str">
        <f t="shared" si="8"/>
        <v>公共配套设施</v>
      </c>
      <c r="R23" s="942" t="s">
        <v>1045</v>
      </c>
      <c r="S23" s="943">
        <f>F23</f>
        <v>100</v>
      </c>
      <c r="T23" s="942" t="s">
        <v>1045</v>
      </c>
      <c r="U23" s="943">
        <f>H23</f>
        <v>100</v>
      </c>
      <c r="V23" s="942" t="s">
        <v>1045</v>
      </c>
      <c r="W23" s="943">
        <f>J23</f>
        <v>100</v>
      </c>
      <c r="X23" s="944"/>
      <c r="Y23" s="904"/>
      <c r="Z23" s="962" t="str">
        <f>Q23</f>
        <v>公共配套设施</v>
      </c>
      <c r="AA23" s="963">
        <f>D23/F23</f>
        <v>1</v>
      </c>
      <c r="AB23" s="963">
        <f>D23/H23</f>
        <v>1</v>
      </c>
      <c r="AC23" s="963">
        <f>D23/J23</f>
        <v>1</v>
      </c>
    </row>
    <row r="24" s="707" customFormat="1" ht="15" spans="1:29">
      <c r="A24" s="792"/>
      <c r="B24" s="790"/>
      <c r="C24" s="793"/>
      <c r="D24" s="783"/>
      <c r="E24" s="784"/>
      <c r="F24" s="783"/>
      <c r="G24" s="784"/>
      <c r="H24" s="783"/>
      <c r="I24" s="782"/>
      <c r="J24" s="783"/>
      <c r="K24" s="894"/>
      <c r="L24" s="889"/>
      <c r="M24" s="890"/>
      <c r="N24" s="890"/>
      <c r="O24" s="892"/>
      <c r="P24" s="904"/>
      <c r="Q24" s="946"/>
      <c r="R24" s="942"/>
      <c r="S24" s="943"/>
      <c r="T24" s="942"/>
      <c r="U24" s="943"/>
      <c r="V24" s="942"/>
      <c r="W24" s="943"/>
      <c r="X24" s="944"/>
      <c r="Y24" s="904"/>
      <c r="Z24" s="962"/>
      <c r="AA24" s="961">
        <v>1</v>
      </c>
      <c r="AB24" s="961">
        <v>1</v>
      </c>
      <c r="AC24" s="961">
        <v>1</v>
      </c>
    </row>
    <row r="25" s="707" customFormat="1" ht="27" spans="1:29">
      <c r="A25" s="792"/>
      <c r="B25" s="794" t="s">
        <v>212</v>
      </c>
      <c r="C25" s="787" t="str">
        <f>估价对象房地状况!G20</f>
        <v>估价对象所在区域基础设施水平</v>
      </c>
      <c r="D25" s="785">
        <v>100</v>
      </c>
      <c r="E25" s="788"/>
      <c r="F25" s="785">
        <f>SUMIF(93:93,E26,94:94)-SUMIF(93:93,C26,94:94)+100</f>
        <v>100</v>
      </c>
      <c r="G25" s="788"/>
      <c r="H25" s="785">
        <f>SUMIF(93:93,G26,94:94)-SUMIF(93:93,C26,94:94)+100</f>
        <v>100</v>
      </c>
      <c r="I25" s="905"/>
      <c r="J25" s="785">
        <f>SUMIF(93:93,I26,94:94)-SUMIF(93:93,C26,94:94)+100</f>
        <v>100</v>
      </c>
      <c r="K25" s="898"/>
      <c r="L25" s="889"/>
      <c r="M25" s="890"/>
      <c r="N25" s="890"/>
      <c r="O25" s="892"/>
      <c r="P25" s="904"/>
      <c r="Q25" s="946" t="str">
        <f t="shared" ref="Q25" si="9">B25</f>
        <v>基础设施水平</v>
      </c>
      <c r="R25" s="942" t="s">
        <v>1045</v>
      </c>
      <c r="S25" s="943">
        <f>F25</f>
        <v>100</v>
      </c>
      <c r="T25" s="942" t="s">
        <v>1045</v>
      </c>
      <c r="U25" s="943">
        <f>H25</f>
        <v>100</v>
      </c>
      <c r="V25" s="942" t="s">
        <v>1045</v>
      </c>
      <c r="W25" s="943">
        <f>J25</f>
        <v>100</v>
      </c>
      <c r="X25" s="944"/>
      <c r="Y25" s="904"/>
      <c r="Z25" s="962" t="str">
        <f>Q25</f>
        <v>基础设施水平</v>
      </c>
      <c r="AA25" s="963">
        <f>D25/F25</f>
        <v>1</v>
      </c>
      <c r="AB25" s="963">
        <f>D25/H25</f>
        <v>1</v>
      </c>
      <c r="AC25" s="963">
        <f>D25/J25</f>
        <v>1</v>
      </c>
    </row>
    <row r="26" s="707" customFormat="1" ht="15" spans="1:29">
      <c r="A26" s="792"/>
      <c r="B26" s="790"/>
      <c r="C26" s="793"/>
      <c r="D26" s="783"/>
      <c r="E26" s="795"/>
      <c r="F26" s="783"/>
      <c r="G26" s="795"/>
      <c r="H26" s="783"/>
      <c r="I26" s="795"/>
      <c r="J26" s="783"/>
      <c r="K26" s="894"/>
      <c r="L26" s="889"/>
      <c r="M26" s="890"/>
      <c r="N26" s="890"/>
      <c r="O26" s="892"/>
      <c r="P26" s="904"/>
      <c r="Q26" s="946"/>
      <c r="R26" s="942"/>
      <c r="S26" s="943"/>
      <c r="T26" s="942"/>
      <c r="U26" s="943"/>
      <c r="V26" s="942"/>
      <c r="W26" s="943"/>
      <c r="X26" s="944"/>
      <c r="Y26" s="904"/>
      <c r="Z26" s="962"/>
      <c r="AA26" s="961">
        <v>1</v>
      </c>
      <c r="AB26" s="961">
        <v>1</v>
      </c>
      <c r="AC26" s="961">
        <v>1</v>
      </c>
    </row>
    <row r="27" ht="15" spans="1:29">
      <c r="A27" s="762"/>
      <c r="B27" s="790" t="s">
        <v>214</v>
      </c>
      <c r="C27" s="796"/>
      <c r="D27" s="771">
        <v>100</v>
      </c>
      <c r="E27" s="797"/>
      <c r="F27" s="771">
        <f>SUMIF(95:95,E27,96:96)-SUMIF(95:95,C27,96:96)+100</f>
        <v>100</v>
      </c>
      <c r="G27" s="797"/>
      <c r="H27" s="771">
        <f>SUMIF(95:95,G27,96:96)-SUMIF(95:95,C27,96:96)+100</f>
        <v>100</v>
      </c>
      <c r="I27" s="797"/>
      <c r="J27" s="771">
        <f>SUMIF(95:95,I27,96:96)-SUMIF(95:95,C27,96:96)+100</f>
        <v>100</v>
      </c>
      <c r="K27" s="898"/>
      <c r="L27" s="901"/>
      <c r="M27" s="884"/>
      <c r="N27" s="884"/>
      <c r="O27" s="900"/>
      <c r="P27" s="904"/>
      <c r="Q27" s="893" t="str">
        <f t="shared" si="8"/>
        <v>临街状况</v>
      </c>
      <c r="R27" s="947" t="s">
        <v>1045</v>
      </c>
      <c r="S27" s="948">
        <f t="shared" ref="S27:S40" si="10">F27</f>
        <v>100</v>
      </c>
      <c r="T27" s="947" t="s">
        <v>1045</v>
      </c>
      <c r="U27" s="948">
        <f t="shared" ref="U27:U40" si="11">H27</f>
        <v>100</v>
      </c>
      <c r="V27" s="947" t="s">
        <v>1045</v>
      </c>
      <c r="W27" s="948">
        <f t="shared" ref="W27:W40" si="12">J27</f>
        <v>100</v>
      </c>
      <c r="X27" s="934"/>
      <c r="Y27" s="904"/>
      <c r="Z27" s="851" t="str">
        <f t="shared" ref="Z27:Z40" si="13">Q27</f>
        <v>临街状况</v>
      </c>
      <c r="AA27" s="963">
        <f t="shared" si="3"/>
        <v>1</v>
      </c>
      <c r="AB27" s="963">
        <f t="shared" si="4"/>
        <v>1</v>
      </c>
      <c r="AC27" s="963">
        <f t="shared" si="5"/>
        <v>1</v>
      </c>
    </row>
    <row r="28" ht="27" spans="1:29">
      <c r="A28" s="762"/>
      <c r="B28" s="794" t="s">
        <v>1485</v>
      </c>
      <c r="C28" s="798">
        <f>估价对象房地状况!G22</f>
        <v>0</v>
      </c>
      <c r="D28" s="785">
        <v>100</v>
      </c>
      <c r="E28" s="788"/>
      <c r="F28" s="785">
        <f>SUMIF(97:97,E29,98:98)-SUMIF(97:97,C29,98:98)+100</f>
        <v>100</v>
      </c>
      <c r="G28" s="788"/>
      <c r="H28" s="785">
        <f>SUMIF(97:97,G29,98:98)-SUMIF(97:97,C29,98:98)+100</f>
        <v>100</v>
      </c>
      <c r="I28" s="905"/>
      <c r="J28" s="785">
        <f>SUMIF(97:97,I29,98:98)-SUMIF(97:97,C29,98:98)+100</f>
        <v>100</v>
      </c>
      <c r="K28" s="898"/>
      <c r="L28" s="901"/>
      <c r="M28" s="884"/>
      <c r="N28" s="884"/>
      <c r="O28" s="900"/>
      <c r="P28" s="904"/>
      <c r="Q28" s="893" t="str">
        <f t="shared" si="8"/>
        <v>毗邻道路的类型与等级</v>
      </c>
      <c r="R28" s="947" t="s">
        <v>1045</v>
      </c>
      <c r="S28" s="948">
        <f t="shared" si="10"/>
        <v>100</v>
      </c>
      <c r="T28" s="947" t="s">
        <v>1045</v>
      </c>
      <c r="U28" s="948">
        <f t="shared" si="11"/>
        <v>100</v>
      </c>
      <c r="V28" s="947" t="s">
        <v>1045</v>
      </c>
      <c r="W28" s="948">
        <f t="shared" si="12"/>
        <v>100</v>
      </c>
      <c r="X28" s="934"/>
      <c r="Y28" s="904"/>
      <c r="Z28" s="851" t="str">
        <f t="shared" si="13"/>
        <v>毗邻道路的类型与等级</v>
      </c>
      <c r="AA28" s="963">
        <f t="shared" si="3"/>
        <v>1</v>
      </c>
      <c r="AB28" s="963">
        <f t="shared" si="4"/>
        <v>1</v>
      </c>
      <c r="AC28" s="963">
        <f t="shared" si="5"/>
        <v>1</v>
      </c>
    </row>
    <row r="29" ht="15" spans="1:29">
      <c r="A29" s="762"/>
      <c r="B29" s="790"/>
      <c r="C29" s="782"/>
      <c r="D29" s="783"/>
      <c r="E29" s="784"/>
      <c r="F29" s="783"/>
      <c r="G29" s="784"/>
      <c r="H29" s="783"/>
      <c r="I29" s="784"/>
      <c r="J29" s="783"/>
      <c r="K29" s="908"/>
      <c r="L29" s="901"/>
      <c r="M29" s="884"/>
      <c r="N29" s="884"/>
      <c r="O29" s="900"/>
      <c r="P29" s="904"/>
      <c r="Q29" s="893"/>
      <c r="R29" s="947"/>
      <c r="S29" s="948"/>
      <c r="T29" s="947"/>
      <c r="U29" s="948"/>
      <c r="V29" s="947"/>
      <c r="W29" s="948"/>
      <c r="X29" s="934"/>
      <c r="Y29" s="904"/>
      <c r="Z29" s="851"/>
      <c r="AA29" s="963">
        <v>1</v>
      </c>
      <c r="AB29" s="963">
        <v>1</v>
      </c>
      <c r="AC29" s="963">
        <v>1</v>
      </c>
    </row>
    <row r="30" ht="15" spans="1:29">
      <c r="A30" s="762"/>
      <c r="B30" s="799" t="s">
        <v>1513</v>
      </c>
      <c r="C30" s="800">
        <f>估价对象房地状况!G23</f>
        <v>0</v>
      </c>
      <c r="D30" s="771">
        <v>100</v>
      </c>
      <c r="E30" s="797"/>
      <c r="F30" s="771">
        <f>SUMIF(99:99,E30,100:100)-SUMIF(99:99,C30,100:100)+100</f>
        <v>100</v>
      </c>
      <c r="G30" s="797"/>
      <c r="H30" s="771">
        <f>SUMIF(99:99,G30,100:100)-SUMIF(99:99,C30,100:100)+100</f>
        <v>100</v>
      </c>
      <c r="I30" s="797"/>
      <c r="J30" s="771">
        <f>SUMIF(99:99,I30,100:100)-SUMIF(99:99,C30,100:100)+100</f>
        <v>100</v>
      </c>
      <c r="K30" s="909"/>
      <c r="L30" s="901"/>
      <c r="M30" s="884"/>
      <c r="N30" s="884"/>
      <c r="O30" s="900"/>
      <c r="P30" s="904"/>
      <c r="Q30" s="893" t="str">
        <f t="shared" si="8"/>
        <v>土地级别</v>
      </c>
      <c r="R30" s="947" t="s">
        <v>1045</v>
      </c>
      <c r="S30" s="948">
        <f t="shared" si="10"/>
        <v>100</v>
      </c>
      <c r="T30" s="947" t="s">
        <v>1045</v>
      </c>
      <c r="U30" s="948">
        <f t="shared" si="11"/>
        <v>100</v>
      </c>
      <c r="V30" s="947" t="s">
        <v>1045</v>
      </c>
      <c r="W30" s="948">
        <f t="shared" si="12"/>
        <v>100</v>
      </c>
      <c r="X30" s="934"/>
      <c r="Y30" s="904"/>
      <c r="Z30" s="851" t="str">
        <f t="shared" si="13"/>
        <v>土地级别</v>
      </c>
      <c r="AA30" s="963">
        <f t="shared" si="3"/>
        <v>1</v>
      </c>
      <c r="AB30" s="963">
        <f t="shared" si="4"/>
        <v>1</v>
      </c>
      <c r="AC30" s="963">
        <f t="shared" si="5"/>
        <v>1</v>
      </c>
    </row>
    <row r="31" ht="15" spans="1:29">
      <c r="A31" s="734"/>
      <c r="B31" s="801">
        <v>111</v>
      </c>
      <c r="C31" s="769"/>
      <c r="D31" s="771">
        <v>100</v>
      </c>
      <c r="E31" s="802"/>
      <c r="F31" s="771">
        <f>SUMIF(101:101,E31,102:102)-SUMIF(101:101,C31,102:102)+100</f>
        <v>100</v>
      </c>
      <c r="G31" s="802"/>
      <c r="H31" s="771">
        <f>SUMIF(101:101,G31,102:102)-SUMIF(101:101,C31,102:102)+100</f>
        <v>100</v>
      </c>
      <c r="I31" s="768"/>
      <c r="J31" s="771">
        <f>SUMIF(101:101,I31,102:102)-SUMIF(101:101,C31,102:102)+100</f>
        <v>100</v>
      </c>
      <c r="K31" s="908"/>
      <c r="L31" s="901"/>
      <c r="M31" s="884"/>
      <c r="N31" s="884"/>
      <c r="O31" s="900"/>
      <c r="P31" s="904"/>
      <c r="Q31" s="893">
        <f t="shared" si="8"/>
        <v>111</v>
      </c>
      <c r="R31" s="947" t="s">
        <v>1045</v>
      </c>
      <c r="S31" s="948">
        <f t="shared" si="10"/>
        <v>100</v>
      </c>
      <c r="T31" s="947" t="s">
        <v>1045</v>
      </c>
      <c r="U31" s="948">
        <f t="shared" si="11"/>
        <v>100</v>
      </c>
      <c r="V31" s="947" t="s">
        <v>1045</v>
      </c>
      <c r="W31" s="948">
        <f t="shared" si="12"/>
        <v>100</v>
      </c>
      <c r="X31" s="934"/>
      <c r="Y31" s="904"/>
      <c r="Z31" s="851">
        <f t="shared" si="13"/>
        <v>111</v>
      </c>
      <c r="AA31" s="963">
        <f t="shared" si="3"/>
        <v>1</v>
      </c>
      <c r="AB31" s="963">
        <f t="shared" si="4"/>
        <v>1</v>
      </c>
      <c r="AC31" s="963">
        <f t="shared" si="5"/>
        <v>1</v>
      </c>
    </row>
    <row r="32" ht="15" spans="1:29">
      <c r="A32" s="803"/>
      <c r="B32" s="804">
        <v>111</v>
      </c>
      <c r="C32" s="769"/>
      <c r="D32" s="771">
        <v>100</v>
      </c>
      <c r="E32" s="802"/>
      <c r="F32" s="771">
        <f>SUMIF(103:103,E33,104:104)-SUMIF(103:103,C33,104:104)+100</f>
        <v>100</v>
      </c>
      <c r="G32" s="802"/>
      <c r="H32" s="771">
        <f>SUMIF(103:103,G32,104:104)-SUMIF(103:103,C32,104:104)+100</f>
        <v>100</v>
      </c>
      <c r="I32" s="769"/>
      <c r="J32" s="771">
        <f>SUMIF(103:103,I32,104:104)-SUMIF(103:103,C32,104:104)+100</f>
        <v>100</v>
      </c>
      <c r="K32" s="908"/>
      <c r="L32" s="901"/>
      <c r="M32" s="884"/>
      <c r="N32" s="884"/>
      <c r="O32" s="900"/>
      <c r="P32" s="910" t="s">
        <v>1073</v>
      </c>
      <c r="Q32" s="893">
        <f t="shared" si="8"/>
        <v>111</v>
      </c>
      <c r="R32" s="947" t="s">
        <v>1045</v>
      </c>
      <c r="S32" s="948">
        <f t="shared" si="10"/>
        <v>100</v>
      </c>
      <c r="T32" s="947" t="s">
        <v>1045</v>
      </c>
      <c r="U32" s="948">
        <f t="shared" si="11"/>
        <v>100</v>
      </c>
      <c r="V32" s="947" t="s">
        <v>1045</v>
      </c>
      <c r="W32" s="948">
        <f t="shared" si="12"/>
        <v>100</v>
      </c>
      <c r="X32" s="934"/>
      <c r="Y32" s="913" t="s">
        <v>1073</v>
      </c>
      <c r="Z32" s="851">
        <f t="shared" si="13"/>
        <v>111</v>
      </c>
      <c r="AA32" s="963">
        <f t="shared" si="3"/>
        <v>1</v>
      </c>
      <c r="AB32" s="963">
        <f t="shared" si="4"/>
        <v>1</v>
      </c>
      <c r="AC32" s="963">
        <f t="shared" si="5"/>
        <v>1</v>
      </c>
    </row>
    <row r="33" s="709" customFormat="1" ht="15.75" spans="1:29">
      <c r="A33" s="805"/>
      <c r="B33" s="806">
        <v>111</v>
      </c>
      <c r="C33" s="807"/>
      <c r="D33" s="808">
        <v>100</v>
      </c>
      <c r="E33" s="809"/>
      <c r="F33" s="775">
        <f>SUMIF(105:105,E33,106:106)-SUMIF(105:105,C33,106:106)+100</f>
        <v>100</v>
      </c>
      <c r="G33" s="809"/>
      <c r="H33" s="775">
        <f>SUMIF(105:105,G33,106:106)-SUMIF(105:105,C33,106:106)+100</f>
        <v>100</v>
      </c>
      <c r="I33" s="807"/>
      <c r="J33" s="775">
        <f>SUMIF(105:105,I33,106:106)-SUMIF(105:105,C33,106:106)+100</f>
        <v>100</v>
      </c>
      <c r="K33" s="908"/>
      <c r="L33" s="899"/>
      <c r="M33" s="911"/>
      <c r="N33" s="911"/>
      <c r="O33" s="912"/>
      <c r="P33" s="913"/>
      <c r="Q33" s="893">
        <f t="shared" si="8"/>
        <v>111</v>
      </c>
      <c r="R33" s="949" t="s">
        <v>1045</v>
      </c>
      <c r="S33" s="950">
        <f t="shared" si="10"/>
        <v>100</v>
      </c>
      <c r="T33" s="949" t="s">
        <v>1045</v>
      </c>
      <c r="U33" s="950">
        <f t="shared" si="11"/>
        <v>100</v>
      </c>
      <c r="V33" s="949" t="s">
        <v>1045</v>
      </c>
      <c r="W33" s="950">
        <f t="shared" si="12"/>
        <v>100</v>
      </c>
      <c r="X33" s="951"/>
      <c r="Y33" s="913"/>
      <c r="Z33" s="964">
        <f t="shared" si="13"/>
        <v>111</v>
      </c>
      <c r="AA33" s="963">
        <f t="shared" si="3"/>
        <v>1</v>
      </c>
      <c r="AB33" s="963">
        <f t="shared" si="4"/>
        <v>1</v>
      </c>
      <c r="AC33" s="963">
        <f t="shared" si="5"/>
        <v>1</v>
      </c>
    </row>
    <row r="34" ht="15" spans="1:29">
      <c r="A34" s="810" t="s">
        <v>1070</v>
      </c>
      <c r="B34" s="811" t="s">
        <v>1514</v>
      </c>
      <c r="C34" s="812"/>
      <c r="D34" s="813">
        <v>100</v>
      </c>
      <c r="E34" s="812"/>
      <c r="F34" s="813" t="e">
        <f>LOOKUP(E34,108:108,109:109)-LOOKUP(C34,108:108,109:109)+100</f>
        <v>#N/A</v>
      </c>
      <c r="G34" s="812"/>
      <c r="H34" s="813" t="e">
        <f>LOOKUP(G34,108:108,109:109)-LOOKUP(C34,108:108,109:109)+100</f>
        <v>#N/A</v>
      </c>
      <c r="I34" s="914"/>
      <c r="J34" s="813" t="e">
        <f>LOOKUP(I34,108:108,109:109)-LOOKUP(C34,108:108,109:109)+100</f>
        <v>#N/A</v>
      </c>
      <c r="K34" s="908"/>
      <c r="L34" s="901"/>
      <c r="M34" s="884"/>
      <c r="N34" s="884"/>
      <c r="O34" s="900"/>
      <c r="P34" s="913"/>
      <c r="Q34" s="893" t="str">
        <f t="shared" si="8"/>
        <v>宗地面积</v>
      </c>
      <c r="R34" s="947" t="s">
        <v>1045</v>
      </c>
      <c r="S34" s="948" t="e">
        <f t="shared" si="10"/>
        <v>#N/A</v>
      </c>
      <c r="T34" s="947" t="s">
        <v>1045</v>
      </c>
      <c r="U34" s="948" t="e">
        <f t="shared" si="11"/>
        <v>#N/A</v>
      </c>
      <c r="V34" s="947" t="s">
        <v>1045</v>
      </c>
      <c r="W34" s="948" t="e">
        <f t="shared" si="12"/>
        <v>#N/A</v>
      </c>
      <c r="X34" s="934"/>
      <c r="Y34" s="913"/>
      <c r="Z34" s="851" t="str">
        <f t="shared" si="13"/>
        <v>宗地面积</v>
      </c>
      <c r="AA34" s="963" t="e">
        <f t="shared" si="3"/>
        <v>#N/A</v>
      </c>
      <c r="AB34" s="963" t="e">
        <f t="shared" si="4"/>
        <v>#N/A</v>
      </c>
      <c r="AC34" s="963" t="e">
        <f t="shared" si="5"/>
        <v>#N/A</v>
      </c>
    </row>
    <row r="35" ht="15" spans="1:29">
      <c r="A35" s="810"/>
      <c r="B35" s="759" t="s">
        <v>1515</v>
      </c>
      <c r="C35" s="814"/>
      <c r="D35" s="771">
        <v>100</v>
      </c>
      <c r="E35" s="814"/>
      <c r="F35" s="771">
        <f>SUMIF(110:110,E35,111:111)-SUMIF(110:110,C35,111:111)+100</f>
        <v>100</v>
      </c>
      <c r="G35" s="814"/>
      <c r="H35" s="771">
        <f>SUMIF(110:110,G35,111:111)-SUMIF(110:110,C35,111:111)+100</f>
        <v>100</v>
      </c>
      <c r="I35" s="814"/>
      <c r="J35" s="771">
        <f>SUMIF(110:110,I35,111:111)-SUMIF(110:110,C35,111:111)+100</f>
        <v>100</v>
      </c>
      <c r="K35" s="909"/>
      <c r="L35" s="901"/>
      <c r="M35" s="884"/>
      <c r="N35" s="884"/>
      <c r="O35" s="900"/>
      <c r="P35" s="913"/>
      <c r="Q35" s="893" t="str">
        <f t="shared" ref="Q35:Q40" si="14">B35</f>
        <v>宗地形状</v>
      </c>
      <c r="R35" s="947" t="s">
        <v>1045</v>
      </c>
      <c r="S35" s="948">
        <f t="shared" si="10"/>
        <v>100</v>
      </c>
      <c r="T35" s="947" t="s">
        <v>1045</v>
      </c>
      <c r="U35" s="948">
        <f t="shared" si="11"/>
        <v>100</v>
      </c>
      <c r="V35" s="947" t="s">
        <v>1045</v>
      </c>
      <c r="W35" s="948">
        <f t="shared" si="12"/>
        <v>100</v>
      </c>
      <c r="X35" s="934"/>
      <c r="Y35" s="913"/>
      <c r="Z35" s="851" t="str">
        <f t="shared" si="13"/>
        <v>宗地形状</v>
      </c>
      <c r="AA35" s="963">
        <f t="shared" si="3"/>
        <v>1</v>
      </c>
      <c r="AB35" s="963">
        <f t="shared" si="4"/>
        <v>1</v>
      </c>
      <c r="AC35" s="963">
        <f t="shared" si="5"/>
        <v>1</v>
      </c>
    </row>
    <row r="36" s="707" customFormat="1" ht="15" spans="1:29">
      <c r="A36" s="815"/>
      <c r="B36" s="759" t="s">
        <v>1517</v>
      </c>
      <c r="C36" s="816"/>
      <c r="D36" s="761">
        <v>100</v>
      </c>
      <c r="E36" s="816"/>
      <c r="F36" s="771">
        <f>SUMIF(112:112,E36,113:113)-SUMIF(112:112,C36,113:113)+100</f>
        <v>100</v>
      </c>
      <c r="G36" s="816"/>
      <c r="H36" s="771">
        <f>SUMIF(112:112,G36,113:113)-SUMIF(112:112,C36,113:113)+100</f>
        <v>100</v>
      </c>
      <c r="I36" s="816"/>
      <c r="J36" s="771">
        <f>SUMIF(112:112,I36,113:113)-SUMIF(112:112,C36,113:113)+100</f>
        <v>100</v>
      </c>
      <c r="K36" s="909"/>
      <c r="L36" s="889"/>
      <c r="M36" s="890"/>
      <c r="N36" s="890"/>
      <c r="O36" s="892"/>
      <c r="P36" s="913"/>
      <c r="Q36" s="893" t="str">
        <f t="shared" si="14"/>
        <v>宗地开发程度</v>
      </c>
      <c r="R36" s="942" t="s">
        <v>1045</v>
      </c>
      <c r="S36" s="943">
        <f t="shared" si="10"/>
        <v>100</v>
      </c>
      <c r="T36" s="942" t="s">
        <v>1045</v>
      </c>
      <c r="U36" s="943">
        <f t="shared" si="11"/>
        <v>100</v>
      </c>
      <c r="V36" s="942" t="s">
        <v>1045</v>
      </c>
      <c r="W36" s="943">
        <f t="shared" si="12"/>
        <v>100</v>
      </c>
      <c r="X36" s="944"/>
      <c r="Y36" s="913"/>
      <c r="Z36" s="962" t="str">
        <f t="shared" si="13"/>
        <v>宗地开发程度</v>
      </c>
      <c r="AA36" s="961">
        <f t="shared" si="3"/>
        <v>1</v>
      </c>
      <c r="AB36" s="961">
        <f t="shared" si="4"/>
        <v>1</v>
      </c>
      <c r="AC36" s="961">
        <f t="shared" si="5"/>
        <v>1</v>
      </c>
    </row>
    <row r="37" ht="15" spans="1:29">
      <c r="A37" s="810"/>
      <c r="B37" s="759" t="s">
        <v>1518</v>
      </c>
      <c r="C37" s="814"/>
      <c r="D37" s="771">
        <v>100</v>
      </c>
      <c r="E37" s="814"/>
      <c r="F37" s="771">
        <f>SUMIF(114:114,E37,115:115)-SUMIF(114:114,C37,115:115)+100</f>
        <v>100</v>
      </c>
      <c r="G37" s="814"/>
      <c r="H37" s="771">
        <f>SUMIF(114:114,G37,115:115)-SUMIF(114:114,C37,115:115)+100</f>
        <v>100</v>
      </c>
      <c r="I37" s="814"/>
      <c r="J37" s="771">
        <f>SUMIF(114:114,I37,115:115)-SUMIF(114:114,C37,115:115)+100</f>
        <v>100</v>
      </c>
      <c r="K37" s="909"/>
      <c r="L37" s="901"/>
      <c r="M37" s="884"/>
      <c r="N37" s="884"/>
      <c r="O37" s="900"/>
      <c r="P37" s="913" t="s">
        <v>1073</v>
      </c>
      <c r="Q37" s="893" t="str">
        <f t="shared" si="14"/>
        <v>工程地质条件</v>
      </c>
      <c r="R37" s="947" t="s">
        <v>1045</v>
      </c>
      <c r="S37" s="948">
        <f t="shared" si="10"/>
        <v>100</v>
      </c>
      <c r="T37" s="947" t="s">
        <v>1045</v>
      </c>
      <c r="U37" s="948">
        <f t="shared" si="11"/>
        <v>100</v>
      </c>
      <c r="V37" s="947" t="s">
        <v>1045</v>
      </c>
      <c r="W37" s="948">
        <f t="shared" si="12"/>
        <v>100</v>
      </c>
      <c r="X37" s="934"/>
      <c r="Y37" s="913" t="s">
        <v>1073</v>
      </c>
      <c r="Z37" s="851" t="str">
        <f t="shared" si="13"/>
        <v>工程地质条件</v>
      </c>
      <c r="AA37" s="963">
        <f t="shared" si="3"/>
        <v>1</v>
      </c>
      <c r="AB37" s="963">
        <f t="shared" si="4"/>
        <v>1</v>
      </c>
      <c r="AC37" s="963">
        <f t="shared" si="5"/>
        <v>1</v>
      </c>
    </row>
    <row r="38" ht="15" spans="1:29">
      <c r="A38" s="810"/>
      <c r="B38" s="817">
        <v>111</v>
      </c>
      <c r="C38" s="769"/>
      <c r="D38" s="771">
        <v>100</v>
      </c>
      <c r="E38" s="769"/>
      <c r="F38" s="771">
        <f>SUMIF(116:116,E38,117:117)-SUMIF(116:116,C38,117:117)+100</f>
        <v>100</v>
      </c>
      <c r="G38" s="769"/>
      <c r="H38" s="771">
        <f>SUMIF(116:116,G38,117:117)-SUMIF(116:116,C38,117:117)+100</f>
        <v>100</v>
      </c>
      <c r="I38" s="768"/>
      <c r="J38" s="771">
        <f>SUMIF(116:116,I38,117:117)-SUMIF(116:116,C38,117:117)+100</f>
        <v>100</v>
      </c>
      <c r="K38" s="908"/>
      <c r="L38" s="901"/>
      <c r="M38" s="884"/>
      <c r="N38" s="884"/>
      <c r="O38" s="900"/>
      <c r="P38" s="913"/>
      <c r="Q38" s="893">
        <f t="shared" si="14"/>
        <v>111</v>
      </c>
      <c r="R38" s="947" t="s">
        <v>1045</v>
      </c>
      <c r="S38" s="948">
        <f t="shared" si="10"/>
        <v>100</v>
      </c>
      <c r="T38" s="947" t="s">
        <v>1045</v>
      </c>
      <c r="U38" s="948">
        <f t="shared" si="11"/>
        <v>100</v>
      </c>
      <c r="V38" s="947" t="s">
        <v>1045</v>
      </c>
      <c r="W38" s="948">
        <f t="shared" si="12"/>
        <v>100</v>
      </c>
      <c r="X38" s="934"/>
      <c r="Y38" s="913"/>
      <c r="Z38" s="851">
        <f t="shared" si="13"/>
        <v>111</v>
      </c>
      <c r="AA38" s="963">
        <f t="shared" si="3"/>
        <v>1</v>
      </c>
      <c r="AB38" s="963">
        <f t="shared" si="4"/>
        <v>1</v>
      </c>
      <c r="AC38" s="963">
        <f t="shared" si="5"/>
        <v>1</v>
      </c>
    </row>
    <row r="39" ht="15" spans="1:29">
      <c r="A39" s="810"/>
      <c r="B39" s="817">
        <v>111</v>
      </c>
      <c r="C39" s="769"/>
      <c r="D39" s="771">
        <v>100</v>
      </c>
      <c r="E39" s="769"/>
      <c r="F39" s="771">
        <f>SUMIF(118:118,E39,119:119)-SUMIF(118:118,C39,119:119)+100</f>
        <v>100</v>
      </c>
      <c r="G39" s="769"/>
      <c r="H39" s="771">
        <f>SUMIF(118:118,G39,119:119)-SUMIF(118:118,C39,119:119)+100</f>
        <v>100</v>
      </c>
      <c r="I39" s="768"/>
      <c r="J39" s="771">
        <f>SUMIF(118:118,I39,119:119)-SUMIF(118:118,C39,119:119)+100</f>
        <v>100</v>
      </c>
      <c r="K39" s="908"/>
      <c r="L39" s="901"/>
      <c r="M39" s="884"/>
      <c r="N39" s="884"/>
      <c r="O39" s="900"/>
      <c r="P39" s="913"/>
      <c r="Q39" s="893">
        <f t="shared" si="14"/>
        <v>111</v>
      </c>
      <c r="R39" s="947" t="s">
        <v>1045</v>
      </c>
      <c r="S39" s="948">
        <f t="shared" si="10"/>
        <v>100</v>
      </c>
      <c r="T39" s="947" t="s">
        <v>1045</v>
      </c>
      <c r="U39" s="948">
        <f t="shared" si="11"/>
        <v>100</v>
      </c>
      <c r="V39" s="947" t="s">
        <v>1045</v>
      </c>
      <c r="W39" s="948">
        <f t="shared" si="12"/>
        <v>100</v>
      </c>
      <c r="X39" s="934"/>
      <c r="Y39" s="913"/>
      <c r="Z39" s="851">
        <f t="shared" si="13"/>
        <v>111</v>
      </c>
      <c r="AA39" s="963">
        <f t="shared" si="3"/>
        <v>1</v>
      </c>
      <c r="AB39" s="963">
        <f t="shared" si="4"/>
        <v>1</v>
      </c>
      <c r="AC39" s="963">
        <f t="shared" si="5"/>
        <v>1</v>
      </c>
    </row>
    <row r="40" s="709" customFormat="1" ht="15.75" spans="1:29">
      <c r="A40" s="818"/>
      <c r="B40" s="817">
        <v>111</v>
      </c>
      <c r="C40" s="819"/>
      <c r="D40" s="808">
        <v>100</v>
      </c>
      <c r="E40" s="769"/>
      <c r="F40" s="775">
        <f>SUMIF(120:120,E40,121:121)-SUMIF(120:120,C40,121:121)+100</f>
        <v>100</v>
      </c>
      <c r="G40" s="769"/>
      <c r="H40" s="775">
        <f>SUMIF(120:120,G40,121:121)-SUMIF(120:120,C40,121:121)+100</f>
        <v>100</v>
      </c>
      <c r="I40" s="768"/>
      <c r="J40" s="775">
        <f>SUMIF(120:120,I40,121:121)-SUMIF(120:120,C40,121:121)+100</f>
        <v>100</v>
      </c>
      <c r="K40" s="915"/>
      <c r="L40" s="899"/>
      <c r="M40" s="911"/>
      <c r="N40" s="911"/>
      <c r="O40" s="912"/>
      <c r="P40" s="913"/>
      <c r="Q40" s="893">
        <f t="shared" si="14"/>
        <v>111</v>
      </c>
      <c r="R40" s="949" t="s">
        <v>1045</v>
      </c>
      <c r="S40" s="950">
        <f t="shared" si="10"/>
        <v>100</v>
      </c>
      <c r="T40" s="949" t="s">
        <v>1045</v>
      </c>
      <c r="U40" s="950">
        <f t="shared" si="11"/>
        <v>100</v>
      </c>
      <c r="V40" s="949" t="s">
        <v>1045</v>
      </c>
      <c r="W40" s="950">
        <f t="shared" si="12"/>
        <v>100</v>
      </c>
      <c r="X40" s="951"/>
      <c r="Y40" s="913"/>
      <c r="Z40" s="964">
        <f t="shared" si="13"/>
        <v>111</v>
      </c>
      <c r="AA40" s="963">
        <f t="shared" si="3"/>
        <v>1</v>
      </c>
      <c r="AB40" s="963">
        <f t="shared" si="4"/>
        <v>1</v>
      </c>
      <c r="AC40" s="963">
        <f t="shared" si="5"/>
        <v>1</v>
      </c>
    </row>
    <row r="41" ht="15" spans="1:29">
      <c r="A41" s="820" t="s">
        <v>1501</v>
      </c>
      <c r="B41" s="821" t="s">
        <v>1546</v>
      </c>
      <c r="C41" s="822" t="s">
        <v>121</v>
      </c>
      <c r="D41" s="823"/>
      <c r="E41" s="824"/>
      <c r="F41" s="825"/>
      <c r="G41" s="826"/>
      <c r="H41" s="827"/>
      <c r="I41" s="824"/>
      <c r="J41" s="827"/>
      <c r="K41" s="916"/>
      <c r="L41" s="917"/>
      <c r="M41" s="884"/>
      <c r="N41" s="884"/>
      <c r="P41" s="893" t="str">
        <f>A41</f>
        <v>成交单价</v>
      </c>
      <c r="Q41" s="893"/>
      <c r="R41" s="851">
        <f>E41</f>
        <v>0</v>
      </c>
      <c r="S41" s="851"/>
      <c r="T41" s="851">
        <f>G41</f>
        <v>0</v>
      </c>
      <c r="U41" s="851"/>
      <c r="V41" s="851">
        <f>I41</f>
        <v>0</v>
      </c>
      <c r="W41" s="851"/>
      <c r="X41" s="872"/>
      <c r="Y41" s="965"/>
      <c r="Z41" s="872"/>
      <c r="AA41" s="872"/>
      <c r="AB41" s="872"/>
      <c r="AC41" s="872"/>
    </row>
    <row r="42" ht="15.75" spans="1:29">
      <c r="A42" s="828" t="s">
        <v>1088</v>
      </c>
      <c r="B42" s="829"/>
      <c r="C42" s="830" t="e">
        <f>R43</f>
        <v>#DIV/0!</v>
      </c>
      <c r="D42" s="831" t="s">
        <v>1089</v>
      </c>
      <c r="E42" s="830" t="e">
        <f>R42</f>
        <v>#DIV/0!</v>
      </c>
      <c r="F42" s="832"/>
      <c r="G42" s="833" t="e">
        <f>T42</f>
        <v>#DIV/0!</v>
      </c>
      <c r="H42" s="832"/>
      <c r="I42" s="830" t="e">
        <f>V42</f>
        <v>#DIV/0!</v>
      </c>
      <c r="J42" s="832"/>
      <c r="K42" s="918">
        <f>F42+H42+J42</f>
        <v>0</v>
      </c>
      <c r="L42" s="917"/>
      <c r="M42" s="884"/>
      <c r="N42" s="884"/>
      <c r="P42" s="893" t="str">
        <f>A42</f>
        <v>比较价值（元/平方米）</v>
      </c>
      <c r="Q42" s="893"/>
      <c r="R42" s="952" t="e">
        <f>ROUND(PRODUCT(R41,AA7:AA40),0)</f>
        <v>#DIV/0!</v>
      </c>
      <c r="S42" s="952"/>
      <c r="T42" s="952" t="e">
        <f>ROUND(PRODUCT(T41,AB7:AB40),0)</f>
        <v>#DIV/0!</v>
      </c>
      <c r="U42" s="952"/>
      <c r="V42" s="952" t="e">
        <f>ROUND(PRODUCT(V41,AC7:AC40),0)</f>
        <v>#DIV/0!</v>
      </c>
      <c r="W42" s="952"/>
      <c r="X42" s="872"/>
      <c r="Y42" s="872"/>
      <c r="Z42" s="872"/>
      <c r="AA42" s="872"/>
      <c r="AB42" s="872"/>
      <c r="AC42" s="872"/>
    </row>
    <row r="43" ht="15.75" spans="1:29">
      <c r="A43" s="834" t="s">
        <v>1090</v>
      </c>
      <c r="B43" s="835"/>
      <c r="C43" s="836" t="e">
        <f>R43</f>
        <v>#DIV/0!</v>
      </c>
      <c r="D43" s="836"/>
      <c r="E43" s="836"/>
      <c r="F43" s="836"/>
      <c r="G43" s="836"/>
      <c r="H43" s="836"/>
      <c r="I43" s="836"/>
      <c r="J43" s="836"/>
      <c r="K43" s="919"/>
      <c r="L43" s="917"/>
      <c r="M43" s="884"/>
      <c r="N43" s="884"/>
      <c r="P43" s="920" t="str">
        <f>A43</f>
        <v>估价对象XX用房的比较价值（楼面单价，元/平方米）</v>
      </c>
      <c r="Q43" s="953"/>
      <c r="R43" s="954" t="e">
        <f>ROUND(IF(D42="简单平均",AVERAGE(R42:W42),R42*F42+T42*H42+V42*J42),0)</f>
        <v>#DIV/0!</v>
      </c>
      <c r="S43" s="954"/>
      <c r="T43" s="954"/>
      <c r="U43" s="954"/>
      <c r="V43" s="954"/>
      <c r="W43" s="954"/>
      <c r="X43" s="872"/>
      <c r="Y43" s="872"/>
      <c r="Z43" s="872"/>
      <c r="AA43" s="872"/>
      <c r="AB43" s="872"/>
      <c r="AC43" s="872"/>
    </row>
    <row r="44" spans="7:14">
      <c r="G44" s="837"/>
      <c r="M44" s="884"/>
      <c r="N44" s="884"/>
    </row>
    <row r="45" spans="13:14">
      <c r="M45" s="884"/>
      <c r="N45" s="884"/>
    </row>
    <row r="46" ht="13.5" customHeight="1" spans="3:14">
      <c r="C46" s="838" t="s">
        <v>1091</v>
      </c>
      <c r="D46" s="839"/>
      <c r="E46" s="840" t="e">
        <f>IF(E41&lt;E42,E42/E41-1,E41/E42-1)</f>
        <v>#DIV/0!</v>
      </c>
      <c r="F46" s="841" t="e">
        <f>IF(OR(E46&gt;=0.3,E46&lt;=-0.3),"超过30%","")</f>
        <v>#DIV/0!</v>
      </c>
      <c r="G46" s="840" t="e">
        <f>IF(G41&lt;G42,G42/G41-1,G41/G42-1)</f>
        <v>#DIV/0!</v>
      </c>
      <c r="H46" s="841" t="e">
        <f>IF(OR(G46&gt;=0.3,G46&lt;=-0.3),"超过30%","")</f>
        <v>#DIV/0!</v>
      </c>
      <c r="I46" s="840" t="e">
        <f>IF(I41&lt;I42,I42/I41-1,I41/I42-1)</f>
        <v>#DIV/0!</v>
      </c>
      <c r="J46" s="841" t="e">
        <f>IF(OR(I46&gt;=0.3,I46&lt;=-0.3),"超过30%","")</f>
        <v>#DIV/0!</v>
      </c>
      <c r="M46" s="884"/>
      <c r="N46" s="884"/>
    </row>
    <row r="47" ht="13.5" customHeight="1" spans="3:10">
      <c r="C47" s="838" t="s">
        <v>1092</v>
      </c>
      <c r="D47" s="842"/>
      <c r="E47" s="840" t="e">
        <f>IF(E42&lt;G42,G42/E42-1,E42/G42-1)</f>
        <v>#DIV/0!</v>
      </c>
      <c r="F47" s="841" t="e">
        <f>IF(OR(E47&gt;=0.2,E47&lt;=-0.2),"超过20%","")</f>
        <v>#DIV/0!</v>
      </c>
      <c r="G47" s="840" t="e">
        <f>IF(G42&lt;I42,I42/G42-1,G42/I42-1)</f>
        <v>#DIV/0!</v>
      </c>
      <c r="H47" s="841" t="e">
        <f>IF(OR(G47&gt;=0.2,G47&lt;=-0.2),"超过20%","")</f>
        <v>#DIV/0!</v>
      </c>
      <c r="I47" s="840" t="e">
        <f>IF(I42&lt;E42,E42/I42-1,I42/E42-1)</f>
        <v>#DIV/0!</v>
      </c>
      <c r="J47" s="841" t="e">
        <f>IF(OR(I47&gt;=0.2,I47&lt;=-0.2),"超过20%","")</f>
        <v>#DIV/0!</v>
      </c>
    </row>
    <row r="48" s="710" customFormat="1" ht="13.5" customHeight="1" spans="3:12">
      <c r="C48" s="838" t="s">
        <v>1093</v>
      </c>
      <c r="D48" s="842"/>
      <c r="E48" s="840" t="e">
        <f>IF(E41&lt;G41,G41/E41-1,E41/G41-1)</f>
        <v>#DIV/0!</v>
      </c>
      <c r="F48" s="841" t="e">
        <f>IF(OR(E48&gt;=0.3,E48&lt;=-0.3),"超过30%","")</f>
        <v>#DIV/0!</v>
      </c>
      <c r="G48" s="840" t="e">
        <f>IF(G41&lt;I41,I41/G41-1,G41/I41-1)</f>
        <v>#DIV/0!</v>
      </c>
      <c r="H48" s="841" t="e">
        <f>IF(OR(G48&gt;=0.3,G48&lt;=-0.3),"超过30%","")</f>
        <v>#DIV/0!</v>
      </c>
      <c r="I48" s="840" t="e">
        <f>IF(I41&lt;E41,E41/I41-1,I41/E41-1)</f>
        <v>#DIV/0!</v>
      </c>
      <c r="J48" s="841" t="e">
        <f>IF(OR(I48&gt;=0.3,I48&lt;=-0.3),"超过30%","")</f>
        <v>#DIV/0!</v>
      </c>
      <c r="K48" s="921"/>
      <c r="L48" s="922"/>
    </row>
    <row r="49" s="710" customFormat="1" ht="15" spans="2:12">
      <c r="B49" s="843"/>
      <c r="C49" s="844"/>
      <c r="K49" s="921"/>
      <c r="L49" s="922"/>
    </row>
    <row r="50" ht="27" spans="1:11">
      <c r="A50" s="845" t="s">
        <v>1520</v>
      </c>
      <c r="B50" s="846" t="s">
        <v>1521</v>
      </c>
      <c r="C50" s="847" t="s">
        <v>1522</v>
      </c>
      <c r="D50" s="848" t="s">
        <v>1523</v>
      </c>
      <c r="E50" s="849" t="s">
        <v>1524</v>
      </c>
      <c r="F50" s="850" t="s">
        <v>1525</v>
      </c>
      <c r="G50" s="851" t="s">
        <v>1547</v>
      </c>
      <c r="H50" s="851" t="str">
        <f>项目基本情况!G8</f>
        <v>XX</v>
      </c>
      <c r="I50" s="923" t="s">
        <v>1527</v>
      </c>
      <c r="J50" s="924"/>
      <c r="K50" s="925"/>
    </row>
    <row r="51" s="711" customFormat="1" spans="1:15">
      <c r="A51" s="852" t="s">
        <v>1528</v>
      </c>
      <c r="B51" s="853" t="e">
        <f>C43</f>
        <v>#DIV/0!</v>
      </c>
      <c r="C51" s="854">
        <v>1</v>
      </c>
      <c r="D51" s="854">
        <v>1</v>
      </c>
      <c r="E51" s="855">
        <v>120</v>
      </c>
      <c r="F51" s="856" t="e">
        <f t="shared" ref="F51:F60" si="15">ROUND(B51*E51,0)</f>
        <v>#DIV/0!</v>
      </c>
      <c r="G51" s="857">
        <v>1</v>
      </c>
      <c r="H51" s="857">
        <v>1</v>
      </c>
      <c r="I51" s="710"/>
      <c r="J51" s="714"/>
      <c r="K51" s="715"/>
      <c r="L51" s="715"/>
      <c r="M51" s="713"/>
      <c r="N51" s="713"/>
      <c r="O51" s="713"/>
    </row>
    <row r="52" s="711" customFormat="1" spans="1:15">
      <c r="A52" s="858" t="s">
        <v>1529</v>
      </c>
      <c r="B52" s="859" t="e">
        <f>ROUND($C$43*C52*D52,0)</f>
        <v>#DIV/0!</v>
      </c>
      <c r="C52" s="860">
        <f>IF($C$50="北京市系数",G52,H52)</f>
        <v>0</v>
      </c>
      <c r="D52" s="861">
        <v>0.25</v>
      </c>
      <c r="E52" s="855">
        <v>0</v>
      </c>
      <c r="F52" s="856" t="e">
        <f t="shared" si="15"/>
        <v>#DIV/0!</v>
      </c>
      <c r="G52" s="857">
        <f>SUMIF(修正!$A$45:$A$56,项目基本情况!$F$9,修正!B45:B56)</f>
        <v>0</v>
      </c>
      <c r="H52" s="862"/>
      <c r="I52" s="713"/>
      <c r="J52" s="714"/>
      <c r="K52" s="715"/>
      <c r="L52" s="715"/>
      <c r="M52" s="713"/>
      <c r="N52" s="713"/>
      <c r="O52" s="713"/>
    </row>
    <row r="53" s="711" customFormat="1" spans="1:15">
      <c r="A53" s="858" t="s">
        <v>1530</v>
      </c>
      <c r="B53" s="859" t="e">
        <f t="shared" ref="B53:B60" si="16">ROUND($C$43*C53*D53,0)</f>
        <v>#DIV/0!</v>
      </c>
      <c r="C53" s="860">
        <f t="shared" ref="C53:C60" si="17">IF($C$50="北京市系数",G53,H53)</f>
        <v>0</v>
      </c>
      <c r="D53" s="861">
        <v>0.25</v>
      </c>
      <c r="E53" s="855">
        <v>0</v>
      </c>
      <c r="F53" s="856" t="e">
        <f t="shared" si="15"/>
        <v>#DIV/0!</v>
      </c>
      <c r="G53" s="857">
        <f>SUMIF(修正!$A$45:$A$56,项目基本情况!$F$9,修正!C45:C56)</f>
        <v>0</v>
      </c>
      <c r="H53" s="862"/>
      <c r="I53" s="710"/>
      <c r="J53" s="714"/>
      <c r="K53" s="715"/>
      <c r="L53" s="715"/>
      <c r="M53" s="713"/>
      <c r="N53" s="713"/>
      <c r="O53" s="713"/>
    </row>
    <row r="54" s="711" customFormat="1" spans="1:15">
      <c r="A54" s="858" t="s">
        <v>1531</v>
      </c>
      <c r="B54" s="859" t="e">
        <f t="shared" si="16"/>
        <v>#DIV/0!</v>
      </c>
      <c r="C54" s="860">
        <f t="shared" si="17"/>
        <v>0</v>
      </c>
      <c r="D54" s="861">
        <v>0.25</v>
      </c>
      <c r="E54" s="855">
        <v>0</v>
      </c>
      <c r="F54" s="856" t="e">
        <f t="shared" si="15"/>
        <v>#DIV/0!</v>
      </c>
      <c r="G54" s="857">
        <f>SUMIF(修正!$A$45:$A$56,项目基本情况!$F$9,修正!D45:D56)</f>
        <v>0</v>
      </c>
      <c r="H54" s="862"/>
      <c r="I54" s="713"/>
      <c r="J54" s="714"/>
      <c r="K54" s="715"/>
      <c r="L54" s="715"/>
      <c r="M54" s="713"/>
      <c r="N54" s="713"/>
      <c r="O54" s="713"/>
    </row>
    <row r="55" s="711" customFormat="1" spans="1:15">
      <c r="A55" s="858" t="s">
        <v>1532</v>
      </c>
      <c r="B55" s="859" t="e">
        <f t="shared" si="16"/>
        <v>#DIV/0!</v>
      </c>
      <c r="C55" s="860">
        <f t="shared" si="17"/>
        <v>0</v>
      </c>
      <c r="D55" s="861">
        <v>0.25</v>
      </c>
      <c r="E55" s="855">
        <v>0</v>
      </c>
      <c r="F55" s="856" t="e">
        <f t="shared" si="15"/>
        <v>#DIV/0!</v>
      </c>
      <c r="G55" s="857">
        <f>SUMIF(修正!$A$45:$A$56,项目基本情况!$F$9,修正!E45:E56)</f>
        <v>0</v>
      </c>
      <c r="H55" s="862"/>
      <c r="I55" s="710"/>
      <c r="J55" s="714"/>
      <c r="K55" s="715"/>
      <c r="L55" s="715"/>
      <c r="M55" s="713"/>
      <c r="N55" s="713"/>
      <c r="O55" s="713"/>
    </row>
    <row r="56" s="711" customFormat="1" spans="1:15">
      <c r="A56" s="858" t="s">
        <v>1533</v>
      </c>
      <c r="B56" s="859" t="e">
        <f t="shared" si="16"/>
        <v>#DIV/0!</v>
      </c>
      <c r="C56" s="860">
        <f t="shared" si="17"/>
        <v>0</v>
      </c>
      <c r="D56" s="861">
        <v>0.25</v>
      </c>
      <c r="E56" s="855">
        <v>0</v>
      </c>
      <c r="F56" s="856" t="e">
        <f t="shared" si="15"/>
        <v>#DIV/0!</v>
      </c>
      <c r="G56" s="857">
        <f>SUMIF(修正!A40:A51,项目基本情况!F9,修正!F45:F56)</f>
        <v>0</v>
      </c>
      <c r="H56" s="862"/>
      <c r="I56" s="713"/>
      <c r="J56" s="714"/>
      <c r="K56" s="715"/>
      <c r="L56" s="715"/>
      <c r="M56" s="713"/>
      <c r="N56" s="713"/>
      <c r="O56" s="713"/>
    </row>
    <row r="57" s="711" customFormat="1" spans="1:15">
      <c r="A57" s="858" t="s">
        <v>1534</v>
      </c>
      <c r="B57" s="859" t="e">
        <f t="shared" si="16"/>
        <v>#DIV/0!</v>
      </c>
      <c r="C57" s="860">
        <f t="shared" si="17"/>
        <v>0</v>
      </c>
      <c r="D57" s="861">
        <v>0.25</v>
      </c>
      <c r="E57" s="855">
        <v>0</v>
      </c>
      <c r="F57" s="856" t="e">
        <f t="shared" si="15"/>
        <v>#DIV/0!</v>
      </c>
      <c r="G57" s="857">
        <f>SUMIF(修正!A40:A51,项目基本情况!F9,修正!G45:G56)</f>
        <v>0</v>
      </c>
      <c r="H57" s="862"/>
      <c r="I57" s="710"/>
      <c r="J57" s="714"/>
      <c r="K57" s="715"/>
      <c r="L57" s="715"/>
      <c r="M57" s="713"/>
      <c r="N57" s="713"/>
      <c r="O57" s="713"/>
    </row>
    <row r="58" s="711" customFormat="1" spans="1:15">
      <c r="A58" s="858" t="s">
        <v>1535</v>
      </c>
      <c r="B58" s="859" t="e">
        <f t="shared" si="16"/>
        <v>#DIV/0!</v>
      </c>
      <c r="C58" s="860">
        <f t="shared" si="17"/>
        <v>0</v>
      </c>
      <c r="D58" s="861">
        <v>0.25</v>
      </c>
      <c r="E58" s="855">
        <v>0</v>
      </c>
      <c r="F58" s="856" t="e">
        <f t="shared" si="15"/>
        <v>#DIV/0!</v>
      </c>
      <c r="G58" s="857">
        <f>SUMIF(修正!A40:A51,项目基本情况!F9,修正!H45:H56)</f>
        <v>0</v>
      </c>
      <c r="H58" s="862"/>
      <c r="I58" s="713"/>
      <c r="J58" s="714"/>
      <c r="K58" s="715"/>
      <c r="L58" s="715"/>
      <c r="M58" s="713"/>
      <c r="N58" s="713"/>
      <c r="O58" s="713"/>
    </row>
    <row r="59" s="711" customFormat="1" spans="1:15">
      <c r="A59" s="858" t="s">
        <v>1536</v>
      </c>
      <c r="B59" s="859" t="e">
        <f t="shared" si="16"/>
        <v>#DIV/0!</v>
      </c>
      <c r="C59" s="860">
        <f t="shared" si="17"/>
        <v>0</v>
      </c>
      <c r="D59" s="861">
        <v>0.25</v>
      </c>
      <c r="E59" s="855">
        <v>0</v>
      </c>
      <c r="F59" s="856" t="e">
        <f t="shared" si="15"/>
        <v>#DIV/0!</v>
      </c>
      <c r="G59" s="857">
        <f>G58</f>
        <v>0</v>
      </c>
      <c r="H59" s="862"/>
      <c r="I59" s="710"/>
      <c r="J59" s="714"/>
      <c r="K59" s="715"/>
      <c r="L59" s="715"/>
      <c r="M59" s="713"/>
      <c r="N59" s="713"/>
      <c r="O59" s="713"/>
    </row>
    <row r="60" s="711" customFormat="1" spans="1:15">
      <c r="A60" s="858" t="s">
        <v>1537</v>
      </c>
      <c r="B60" s="859" t="e">
        <f t="shared" si="16"/>
        <v>#DIV/0!</v>
      </c>
      <c r="C60" s="860">
        <f t="shared" si="17"/>
        <v>0</v>
      </c>
      <c r="D60" s="861">
        <v>0.25</v>
      </c>
      <c r="E60" s="855">
        <v>0</v>
      </c>
      <c r="F60" s="856" t="e">
        <f t="shared" si="15"/>
        <v>#DIV/0!</v>
      </c>
      <c r="G60" s="857">
        <f>G58</f>
        <v>0</v>
      </c>
      <c r="H60" s="862"/>
      <c r="I60" s="713"/>
      <c r="J60" s="714"/>
      <c r="K60" s="715"/>
      <c r="L60" s="715"/>
      <c r="M60" s="713"/>
      <c r="N60" s="713"/>
      <c r="O60" s="713"/>
    </row>
    <row r="61" s="711" customFormat="1" ht="15" spans="1:15">
      <c r="A61" s="863" t="s">
        <v>1538</v>
      </c>
      <c r="B61" s="864" t="s">
        <v>1482</v>
      </c>
      <c r="C61" s="864" t="s">
        <v>1482</v>
      </c>
      <c r="D61" s="864" t="s">
        <v>1482</v>
      </c>
      <c r="E61" s="864">
        <f>SUM(E51:E60)</f>
        <v>120</v>
      </c>
      <c r="F61" s="865" t="e">
        <f>SUM(F51:F60)</f>
        <v>#DIV/0!</v>
      </c>
      <c r="G61" s="866"/>
      <c r="H61" s="866"/>
      <c r="I61" s="926"/>
      <c r="J61" s="714"/>
      <c r="K61" s="715"/>
      <c r="L61" s="715"/>
      <c r="M61" s="713"/>
      <c r="N61" s="713"/>
      <c r="O61" s="713"/>
    </row>
    <row r="62" spans="1:15">
      <c r="A62" s="867"/>
      <c r="B62" s="868"/>
      <c r="C62" s="869"/>
      <c r="D62" s="867"/>
      <c r="E62" s="867"/>
      <c r="F62" s="867"/>
      <c r="G62" s="867"/>
      <c r="H62" s="867"/>
      <c r="I62" s="867"/>
      <c r="J62" s="867"/>
      <c r="K62" s="924"/>
      <c r="L62" s="925"/>
      <c r="M62" s="867"/>
      <c r="N62" s="867"/>
      <c r="O62" s="867"/>
    </row>
    <row r="63" spans="1:15">
      <c r="A63" s="867"/>
      <c r="B63" s="868"/>
      <c r="C63" s="870" t="str">
        <f>YEAR(C7)&amp;"-"&amp;MONTH(C7)&amp;"-1"</f>
        <v>2022-1-1</v>
      </c>
      <c r="D63" s="870">
        <f>EDATE(C63,-3)</f>
        <v>44470</v>
      </c>
      <c r="E63" s="870">
        <f t="shared" ref="E63:O63" si="18">EDATE(D63,-3)</f>
        <v>44378</v>
      </c>
      <c r="F63" s="870">
        <f t="shared" si="18"/>
        <v>44287</v>
      </c>
      <c r="G63" s="870">
        <f t="shared" si="18"/>
        <v>44197</v>
      </c>
      <c r="H63" s="870">
        <f t="shared" si="18"/>
        <v>44105</v>
      </c>
      <c r="I63" s="870">
        <f t="shared" si="18"/>
        <v>44013</v>
      </c>
      <c r="J63" s="870">
        <f t="shared" si="18"/>
        <v>43922</v>
      </c>
      <c r="K63" s="870">
        <f t="shared" si="18"/>
        <v>43831</v>
      </c>
      <c r="L63" s="870">
        <f t="shared" si="18"/>
        <v>43739</v>
      </c>
      <c r="M63" s="870">
        <f t="shared" si="18"/>
        <v>43647</v>
      </c>
      <c r="N63" s="870">
        <f t="shared" si="18"/>
        <v>43556</v>
      </c>
      <c r="O63" s="870">
        <f t="shared" si="18"/>
        <v>43466</v>
      </c>
    </row>
    <row r="64" ht="21" spans="1:17">
      <c r="A64" s="871" t="s">
        <v>1094</v>
      </c>
      <c r="B64" s="872"/>
      <c r="C64" s="873"/>
      <c r="D64" s="873"/>
      <c r="E64" s="873"/>
      <c r="F64" s="874"/>
      <c r="G64" s="874"/>
      <c r="H64" s="873"/>
      <c r="I64" s="927"/>
      <c r="J64" s="927"/>
      <c r="K64" s="928"/>
      <c r="L64" s="929"/>
      <c r="M64" s="927"/>
      <c r="N64" s="927"/>
      <c r="O64" s="927"/>
      <c r="P64" s="930"/>
      <c r="Q64" s="955"/>
    </row>
    <row r="65" s="712" customFormat="1" ht="15" spans="1:16">
      <c r="A65" s="966" t="s">
        <v>1539</v>
      </c>
      <c r="B65" s="967"/>
      <c r="C65" s="968" t="str">
        <f>YEAR(C63)&amp;"-"&amp;ROUNDUP(MONTH(C63)/3,0)</f>
        <v>2022-1</v>
      </c>
      <c r="D65" s="968" t="str">
        <f t="shared" ref="D65:O65" si="19">YEAR(D63)&amp;"-"&amp;ROUNDUP(MONTH(D63)/3,0)</f>
        <v>2021-4</v>
      </c>
      <c r="E65" s="968" t="str">
        <f t="shared" si="19"/>
        <v>2021-3</v>
      </c>
      <c r="F65" s="968" t="str">
        <f t="shared" si="19"/>
        <v>2021-2</v>
      </c>
      <c r="G65" s="968" t="str">
        <f t="shared" si="19"/>
        <v>2021-1</v>
      </c>
      <c r="H65" s="968" t="str">
        <f t="shared" si="19"/>
        <v>2020-4</v>
      </c>
      <c r="I65" s="968" t="str">
        <f t="shared" si="19"/>
        <v>2020-3</v>
      </c>
      <c r="J65" s="968" t="str">
        <f t="shared" si="19"/>
        <v>2020-2</v>
      </c>
      <c r="K65" s="968" t="str">
        <f t="shared" si="19"/>
        <v>2020-1</v>
      </c>
      <c r="L65" s="968" t="str">
        <f t="shared" si="19"/>
        <v>2019-4</v>
      </c>
      <c r="M65" s="968" t="str">
        <f t="shared" si="19"/>
        <v>2019-3</v>
      </c>
      <c r="N65" s="968" t="str">
        <f t="shared" si="19"/>
        <v>2019-2</v>
      </c>
      <c r="O65" s="968" t="str">
        <f t="shared" si="19"/>
        <v>2019-1</v>
      </c>
      <c r="P65" s="1021"/>
    </row>
    <row r="66" s="707" customFormat="1" ht="33.75" customHeight="1" spans="1:16">
      <c r="A66" s="969" t="s">
        <v>1548</v>
      </c>
      <c r="B66" s="970" t="str">
        <f>"北京市平均增长率"&amp;TEXT(基准地价修正!P24,"0.00%")</f>
        <v>北京市平均增长率0.00%</v>
      </c>
      <c r="C66" s="369">
        <v>100</v>
      </c>
      <c r="D66" s="971"/>
      <c r="E66" s="971"/>
      <c r="F66" s="971"/>
      <c r="G66" s="971"/>
      <c r="H66" s="971"/>
      <c r="I66" s="971"/>
      <c r="J66" s="971"/>
      <c r="K66" s="971"/>
      <c r="L66" s="971"/>
      <c r="M66" s="1022"/>
      <c r="N66" s="971"/>
      <c r="O66" s="1023"/>
      <c r="P66" s="955"/>
    </row>
    <row r="67" s="707" customFormat="1" ht="15.75" spans="1:17">
      <c r="A67" s="972" t="s">
        <v>1095</v>
      </c>
      <c r="B67" s="973"/>
      <c r="C67" s="974"/>
      <c r="D67" s="975"/>
      <c r="E67" s="975"/>
      <c r="F67" s="975"/>
      <c r="G67" s="975"/>
      <c r="H67" s="975"/>
      <c r="I67" s="975"/>
      <c r="J67" s="975"/>
      <c r="K67" s="975"/>
      <c r="L67" s="975"/>
      <c r="M67" s="1024"/>
      <c r="N67" s="975"/>
      <c r="O67" s="1025"/>
      <c r="P67" s="955"/>
      <c r="Q67" s="955"/>
    </row>
    <row r="68" s="707" customFormat="1" ht="15" spans="1:17">
      <c r="A68" s="976" t="s">
        <v>1046</v>
      </c>
      <c r="B68" s="977"/>
      <c r="C68" s="978" t="s">
        <v>1047</v>
      </c>
      <c r="D68" s="979"/>
      <c r="E68" s="979"/>
      <c r="F68" s="979"/>
      <c r="G68" s="979"/>
      <c r="H68" s="979"/>
      <c r="I68" s="979"/>
      <c r="J68" s="979"/>
      <c r="K68" s="979"/>
      <c r="L68" s="1026"/>
      <c r="M68" s="1027"/>
      <c r="N68" s="1028"/>
      <c r="O68" s="1028"/>
      <c r="P68" s="1029"/>
      <c r="Q68" s="955"/>
    </row>
    <row r="69" s="707" customFormat="1" ht="15.75" spans="1:17">
      <c r="A69" s="976"/>
      <c r="B69" s="977"/>
      <c r="C69" s="980">
        <v>100</v>
      </c>
      <c r="D69" s="981"/>
      <c r="E69" s="981"/>
      <c r="F69" s="981"/>
      <c r="G69" s="981"/>
      <c r="H69" s="981"/>
      <c r="I69" s="981"/>
      <c r="J69" s="981"/>
      <c r="K69" s="981"/>
      <c r="L69" s="981"/>
      <c r="M69" s="1030"/>
      <c r="N69" s="1028"/>
      <c r="O69" s="1028"/>
      <c r="P69" s="955"/>
      <c r="Q69" s="955"/>
    </row>
    <row r="70" spans="1:17">
      <c r="A70" s="982" t="s">
        <v>1096</v>
      </c>
      <c r="B70" s="983" t="s">
        <v>1051</v>
      </c>
      <c r="C70" s="914"/>
      <c r="D70" s="914"/>
      <c r="E70" s="914"/>
      <c r="F70" s="914"/>
      <c r="G70" s="914"/>
      <c r="H70" s="914"/>
      <c r="I70" s="914"/>
      <c r="J70" s="914"/>
      <c r="K70" s="1031"/>
      <c r="L70" s="1032"/>
      <c r="M70" s="1033"/>
      <c r="N70" s="1034"/>
      <c r="O70" s="1034"/>
      <c r="P70" s="1035"/>
      <c r="Q70" s="955"/>
    </row>
    <row r="71" ht="15.75" spans="1:17">
      <c r="A71" s="984"/>
      <c r="B71" s="985"/>
      <c r="C71" s="986"/>
      <c r="D71" s="986"/>
      <c r="E71" s="986"/>
      <c r="F71" s="986"/>
      <c r="G71" s="986"/>
      <c r="H71" s="986"/>
      <c r="I71" s="986"/>
      <c r="J71" s="986"/>
      <c r="K71" s="986"/>
      <c r="L71" s="986"/>
      <c r="M71" s="1036"/>
      <c r="N71" s="1037"/>
      <c r="O71" s="1037"/>
      <c r="P71" s="1035"/>
      <c r="Q71" s="955"/>
    </row>
    <row r="72" ht="27.75" spans="1:17">
      <c r="A72" s="984"/>
      <c r="B72" s="987" t="s">
        <v>1054</v>
      </c>
      <c r="C72" s="988"/>
      <c r="D72" s="988"/>
      <c r="E72" s="988"/>
      <c r="F72" s="988"/>
      <c r="G72" s="988"/>
      <c r="H72" s="988"/>
      <c r="I72" s="988"/>
      <c r="J72" s="988"/>
      <c r="K72" s="1038"/>
      <c r="L72" s="1039"/>
      <c r="M72" s="1040"/>
      <c r="N72" s="1034"/>
      <c r="O72" s="1034"/>
      <c r="P72" s="1035"/>
      <c r="Q72" s="955"/>
    </row>
    <row r="73" ht="15.75" spans="1:17">
      <c r="A73" s="984"/>
      <c r="B73" s="989"/>
      <c r="C73" s="990"/>
      <c r="D73" s="990"/>
      <c r="E73" s="990"/>
      <c r="F73" s="990"/>
      <c r="G73" s="990"/>
      <c r="H73" s="990"/>
      <c r="I73" s="990"/>
      <c r="J73" s="990"/>
      <c r="K73" s="990"/>
      <c r="L73" s="990"/>
      <c r="M73" s="1041"/>
      <c r="N73" s="1037"/>
      <c r="O73" s="1037"/>
      <c r="P73" s="1035"/>
      <c r="Q73" s="955"/>
    </row>
    <row r="74" ht="15.75" spans="1:17">
      <c r="A74" s="984"/>
      <c r="B74" s="991" t="s">
        <v>1056</v>
      </c>
      <c r="C74" s="992" t="str">
        <f>C75&amp;"（含）"&amp;"-"&amp;D75</f>
        <v>（含）-</v>
      </c>
      <c r="D74" s="992" t="str">
        <f t="shared" ref="D74:L74" si="20">D75&amp;"（含）"&amp;"-"&amp;E75</f>
        <v>（含）-</v>
      </c>
      <c r="E74" s="992" t="str">
        <f t="shared" si="20"/>
        <v>（含）-</v>
      </c>
      <c r="F74" s="992" t="str">
        <f t="shared" si="20"/>
        <v>（含）-</v>
      </c>
      <c r="G74" s="992" t="str">
        <f t="shared" si="20"/>
        <v>（含）-</v>
      </c>
      <c r="H74" s="992" t="str">
        <f t="shared" si="20"/>
        <v>（含）-</v>
      </c>
      <c r="I74" s="992" t="str">
        <f t="shared" si="20"/>
        <v>（含）-</v>
      </c>
      <c r="J74" s="992" t="str">
        <f t="shared" si="20"/>
        <v>（含）-</v>
      </c>
      <c r="K74" s="992" t="str">
        <f t="shared" si="20"/>
        <v>（含）-</v>
      </c>
      <c r="L74" s="992" t="str">
        <f t="shared" si="20"/>
        <v>（含）-</v>
      </c>
      <c r="M74" s="783" t="str">
        <f>M75&amp;"（含）"&amp;"-"&amp;P75</f>
        <v>（含）-</v>
      </c>
      <c r="N74" s="1037"/>
      <c r="O74" s="1037"/>
      <c r="P74" s="1035"/>
      <c r="Q74" s="955"/>
    </row>
    <row r="75" ht="15" spans="1:17">
      <c r="A75" s="984"/>
      <c r="B75" s="993"/>
      <c r="C75" s="768"/>
      <c r="D75" s="768"/>
      <c r="E75" s="768"/>
      <c r="F75" s="768"/>
      <c r="G75" s="768"/>
      <c r="H75" s="768"/>
      <c r="I75" s="768"/>
      <c r="J75" s="768"/>
      <c r="K75" s="1042"/>
      <c r="L75" s="1043"/>
      <c r="M75" s="1044"/>
      <c r="N75" s="1034"/>
      <c r="O75" s="1034"/>
      <c r="P75" s="1035"/>
      <c r="Q75" s="955"/>
    </row>
    <row r="76" ht="15.75" spans="1:17">
      <c r="A76" s="984"/>
      <c r="B76" s="985"/>
      <c r="C76" s="990">
        <v>100</v>
      </c>
      <c r="D76" s="990">
        <f>IF($B$41="单位面积地价",C76+$K11,C76-$K11)</f>
        <v>100</v>
      </c>
      <c r="E76" s="990">
        <f t="shared" ref="E76:M76" si="21">IF($B$41="单位面积地价",D76+$K11,D76-$K11)</f>
        <v>100</v>
      </c>
      <c r="F76" s="990">
        <f t="shared" si="21"/>
        <v>100</v>
      </c>
      <c r="G76" s="990">
        <f t="shared" si="21"/>
        <v>100</v>
      </c>
      <c r="H76" s="990">
        <f t="shared" si="21"/>
        <v>100</v>
      </c>
      <c r="I76" s="990">
        <f t="shared" si="21"/>
        <v>100</v>
      </c>
      <c r="J76" s="990">
        <f t="shared" si="21"/>
        <v>100</v>
      </c>
      <c r="K76" s="990">
        <f t="shared" si="21"/>
        <v>100</v>
      </c>
      <c r="L76" s="990">
        <f t="shared" si="21"/>
        <v>100</v>
      </c>
      <c r="M76" s="990">
        <f t="shared" si="21"/>
        <v>100</v>
      </c>
      <c r="N76" s="1037"/>
      <c r="O76" s="1037"/>
      <c r="P76" s="1035"/>
      <c r="Q76" s="955"/>
    </row>
    <row r="77" s="709" customFormat="1" ht="15.75" spans="1:17">
      <c r="A77" s="994"/>
      <c r="B77" s="987">
        <f>B12</f>
        <v>111</v>
      </c>
      <c r="C77" s="995"/>
      <c r="D77" s="995"/>
      <c r="E77" s="995"/>
      <c r="F77" s="995"/>
      <c r="G77" s="995"/>
      <c r="H77" s="996"/>
      <c r="I77" s="996"/>
      <c r="J77" s="996"/>
      <c r="K77" s="996"/>
      <c r="L77" s="1045"/>
      <c r="M77" s="1046"/>
      <c r="N77" s="1047"/>
      <c r="O77" s="1047"/>
      <c r="P77" s="1048"/>
      <c r="Q77" s="1077"/>
    </row>
    <row r="78" s="709" customFormat="1" ht="15.75" spans="1:17">
      <c r="A78" s="994"/>
      <c r="B78" s="989"/>
      <c r="C78" s="997"/>
      <c r="D78" s="986"/>
      <c r="E78" s="986"/>
      <c r="F78" s="986"/>
      <c r="G78" s="986"/>
      <c r="H78" s="986"/>
      <c r="I78" s="986"/>
      <c r="J78" s="986"/>
      <c r="K78" s="986"/>
      <c r="L78" s="986"/>
      <c r="M78" s="1036"/>
      <c r="N78" s="1037"/>
      <c r="O78" s="1037"/>
      <c r="P78" s="1048"/>
      <c r="Q78" s="1077"/>
    </row>
    <row r="79" s="709" customFormat="1" ht="15.75" spans="1:17">
      <c r="A79" s="994"/>
      <c r="B79" s="987">
        <f>B13</f>
        <v>111</v>
      </c>
      <c r="C79" s="995"/>
      <c r="D79" s="995"/>
      <c r="E79" s="995"/>
      <c r="F79" s="995"/>
      <c r="G79" s="995"/>
      <c r="H79" s="996"/>
      <c r="I79" s="996"/>
      <c r="J79" s="996"/>
      <c r="K79" s="996"/>
      <c r="L79" s="1045"/>
      <c r="M79" s="1046"/>
      <c r="N79" s="1047"/>
      <c r="O79" s="1047"/>
      <c r="P79" s="911"/>
      <c r="Q79" s="1078"/>
    </row>
    <row r="80" s="709" customFormat="1" ht="15.75" spans="1:17">
      <c r="A80" s="994"/>
      <c r="B80" s="989"/>
      <c r="C80" s="997"/>
      <c r="D80" s="997"/>
      <c r="E80" s="997"/>
      <c r="F80" s="997"/>
      <c r="G80" s="997"/>
      <c r="H80" s="998"/>
      <c r="I80" s="998"/>
      <c r="J80" s="998"/>
      <c r="K80" s="998"/>
      <c r="L80" s="998"/>
      <c r="M80" s="1049"/>
      <c r="N80" s="1047"/>
      <c r="O80" s="1047"/>
      <c r="P80" s="1048"/>
      <c r="Q80" s="1077"/>
    </row>
    <row r="81" s="709" customFormat="1" ht="15.75" spans="1:17">
      <c r="A81" s="994"/>
      <c r="B81" s="991">
        <f>B14</f>
        <v>111</v>
      </c>
      <c r="C81" s="979"/>
      <c r="D81" s="979"/>
      <c r="E81" s="979"/>
      <c r="F81" s="979"/>
      <c r="G81" s="979"/>
      <c r="H81" s="999"/>
      <c r="I81" s="999"/>
      <c r="J81" s="999"/>
      <c r="K81" s="999"/>
      <c r="L81" s="1050"/>
      <c r="M81" s="1051"/>
      <c r="N81" s="1047"/>
      <c r="O81" s="1047"/>
      <c r="P81" s="1052"/>
      <c r="Q81" s="1077"/>
    </row>
    <row r="82" s="709" customFormat="1" ht="15.75" spans="1:17">
      <c r="A82" s="1000"/>
      <c r="B82" s="1001"/>
      <c r="C82" s="1002"/>
      <c r="D82" s="1002"/>
      <c r="E82" s="1002"/>
      <c r="F82" s="1002"/>
      <c r="G82" s="1002"/>
      <c r="H82" s="1003"/>
      <c r="I82" s="1003"/>
      <c r="J82" s="1003"/>
      <c r="K82" s="1003"/>
      <c r="L82" s="1003"/>
      <c r="M82" s="1053"/>
      <c r="N82" s="1047"/>
      <c r="O82" s="1047"/>
      <c r="P82" s="1048"/>
      <c r="Q82" s="1077"/>
    </row>
    <row r="83" spans="1:17">
      <c r="A83" s="982" t="s">
        <v>1057</v>
      </c>
      <c r="B83" s="983" t="s">
        <v>208</v>
      </c>
      <c r="C83" s="1004" t="s">
        <v>226</v>
      </c>
      <c r="D83" s="1004" t="s">
        <v>238</v>
      </c>
      <c r="E83" s="1004" t="s">
        <v>249</v>
      </c>
      <c r="F83" s="1004" t="s">
        <v>259</v>
      </c>
      <c r="G83" s="1004" t="s">
        <v>266</v>
      </c>
      <c r="H83" s="1005"/>
      <c r="I83" s="1005"/>
      <c r="J83" s="1005"/>
      <c r="K83" s="1054"/>
      <c r="L83" s="1055"/>
      <c r="M83" s="1056"/>
      <c r="N83" s="1034"/>
      <c r="O83" s="1034"/>
      <c r="P83" s="1057"/>
      <c r="Q83" s="955"/>
    </row>
    <row r="84" ht="15.75" spans="1:17">
      <c r="A84" s="984"/>
      <c r="B84" s="989"/>
      <c r="C84" s="990">
        <v>100</v>
      </c>
      <c r="D84" s="990">
        <f>C84-$K15</f>
        <v>100</v>
      </c>
      <c r="E84" s="990">
        <f>D84-$K15</f>
        <v>100</v>
      </c>
      <c r="F84" s="990">
        <f>E84-$K15</f>
        <v>100</v>
      </c>
      <c r="G84" s="990">
        <f>F84-$K15</f>
        <v>100</v>
      </c>
      <c r="H84" s="990"/>
      <c r="I84" s="990"/>
      <c r="J84" s="990"/>
      <c r="K84" s="990"/>
      <c r="L84" s="990"/>
      <c r="M84" s="1041"/>
      <c r="N84" s="1037"/>
      <c r="O84" s="1037"/>
      <c r="P84" s="1035"/>
      <c r="Q84" s="955"/>
    </row>
    <row r="85" ht="15.75" spans="1:17">
      <c r="A85" s="984"/>
      <c r="B85" s="987" t="s">
        <v>209</v>
      </c>
      <c r="C85" s="1006" t="s">
        <v>226</v>
      </c>
      <c r="D85" s="1006" t="s">
        <v>238</v>
      </c>
      <c r="E85" s="1006" t="s">
        <v>249</v>
      </c>
      <c r="F85" s="1006" t="s">
        <v>259</v>
      </c>
      <c r="G85" s="1006" t="s">
        <v>266</v>
      </c>
      <c r="H85" s="988"/>
      <c r="I85" s="988"/>
      <c r="J85" s="988"/>
      <c r="K85" s="1038"/>
      <c r="L85" s="1039"/>
      <c r="M85" s="1040"/>
      <c r="N85" s="1034"/>
      <c r="O85" s="1034"/>
      <c r="P85" s="1035"/>
      <c r="Q85" s="955"/>
    </row>
    <row r="86" ht="15.75" spans="1:17">
      <c r="A86" s="984"/>
      <c r="B86" s="989"/>
      <c r="C86" s="990">
        <v>100</v>
      </c>
      <c r="D86" s="990">
        <f>C86-$K17</f>
        <v>100</v>
      </c>
      <c r="E86" s="990">
        <f>D86-$K17</f>
        <v>100</v>
      </c>
      <c r="F86" s="990">
        <f>E86-$K17</f>
        <v>100</v>
      </c>
      <c r="G86" s="990">
        <f>F86-$K17</f>
        <v>100</v>
      </c>
      <c r="H86" s="990"/>
      <c r="I86" s="990"/>
      <c r="J86" s="990"/>
      <c r="K86" s="990"/>
      <c r="L86" s="990"/>
      <c r="M86" s="1041"/>
      <c r="N86" s="1037"/>
      <c r="O86" s="1037"/>
      <c r="P86" s="1035"/>
      <c r="Q86" s="955"/>
    </row>
    <row r="87" s="707" customFormat="1" ht="15.75" spans="1:17">
      <c r="A87" s="1007"/>
      <c r="B87" s="987" t="s">
        <v>210</v>
      </c>
      <c r="C87" s="1004" t="s">
        <v>226</v>
      </c>
      <c r="D87" s="1004" t="s">
        <v>238</v>
      </c>
      <c r="E87" s="1004" t="s">
        <v>249</v>
      </c>
      <c r="F87" s="1004" t="s">
        <v>259</v>
      </c>
      <c r="G87" s="1004" t="s">
        <v>266</v>
      </c>
      <c r="H87" s="1006"/>
      <c r="I87" s="1006"/>
      <c r="J87" s="1006"/>
      <c r="K87" s="1006"/>
      <c r="L87" s="1058"/>
      <c r="M87" s="1059"/>
      <c r="N87" s="1028"/>
      <c r="O87" s="1028"/>
      <c r="P87" s="1035"/>
      <c r="Q87" s="955"/>
    </row>
    <row r="88" s="707" customFormat="1" ht="15.75" spans="1:17">
      <c r="A88" s="1007"/>
      <c r="B88" s="989"/>
      <c r="C88" s="1008">
        <v>100</v>
      </c>
      <c r="D88" s="990">
        <f>C88-$K19</f>
        <v>100</v>
      </c>
      <c r="E88" s="990">
        <f>D88-$K19</f>
        <v>100</v>
      </c>
      <c r="F88" s="990">
        <f>E88-$K19</f>
        <v>100</v>
      </c>
      <c r="G88" s="990">
        <f>F88-$K19</f>
        <v>100</v>
      </c>
      <c r="H88" s="990"/>
      <c r="I88" s="990"/>
      <c r="J88" s="990"/>
      <c r="K88" s="990"/>
      <c r="L88" s="990"/>
      <c r="M88" s="1041"/>
      <c r="N88" s="1037"/>
      <c r="O88" s="1037"/>
      <c r="P88" s="1035"/>
      <c r="Q88" s="955"/>
    </row>
    <row r="89" s="707" customFormat="1" ht="27.75" spans="1:17">
      <c r="A89" s="1007"/>
      <c r="B89" s="987" t="s">
        <v>1512</v>
      </c>
      <c r="C89" s="1004" t="s">
        <v>226</v>
      </c>
      <c r="D89" s="1004" t="s">
        <v>238</v>
      </c>
      <c r="E89" s="1004" t="s">
        <v>249</v>
      </c>
      <c r="F89" s="1004" t="s">
        <v>259</v>
      </c>
      <c r="G89" s="1004" t="s">
        <v>266</v>
      </c>
      <c r="H89" s="1006"/>
      <c r="I89" s="1006"/>
      <c r="J89" s="1006"/>
      <c r="K89" s="1006"/>
      <c r="L89" s="1006"/>
      <c r="M89" s="1059"/>
      <c r="N89" s="1028"/>
      <c r="O89" s="1028"/>
      <c r="P89" s="1035"/>
      <c r="Q89" s="955"/>
    </row>
    <row r="90" s="707" customFormat="1" ht="15.75" spans="1:17">
      <c r="A90" s="1007"/>
      <c r="B90" s="989"/>
      <c r="C90" s="990">
        <v>100</v>
      </c>
      <c r="D90" s="990">
        <f>C90-$K21</f>
        <v>100</v>
      </c>
      <c r="E90" s="990">
        <f>D90-$K21</f>
        <v>100</v>
      </c>
      <c r="F90" s="990">
        <f>E90-$K21</f>
        <v>100</v>
      </c>
      <c r="G90" s="990">
        <f>F90-$K21</f>
        <v>100</v>
      </c>
      <c r="H90" s="990"/>
      <c r="I90" s="990"/>
      <c r="J90" s="990"/>
      <c r="K90" s="990"/>
      <c r="L90" s="990"/>
      <c r="M90" s="1041"/>
      <c r="N90" s="1037"/>
      <c r="O90" s="1037"/>
      <c r="P90" s="1035"/>
      <c r="Q90" s="955"/>
    </row>
    <row r="91" s="709" customFormat="1" ht="15.75" spans="1:17">
      <c r="A91" s="994"/>
      <c r="B91" s="991" t="s">
        <v>211</v>
      </c>
      <c r="C91" s="1004" t="s">
        <v>226</v>
      </c>
      <c r="D91" s="1004" t="s">
        <v>238</v>
      </c>
      <c r="E91" s="1004" t="s">
        <v>249</v>
      </c>
      <c r="F91" s="1004" t="s">
        <v>259</v>
      </c>
      <c r="G91" s="1004" t="s">
        <v>266</v>
      </c>
      <c r="H91" s="1009"/>
      <c r="I91" s="1009"/>
      <c r="J91" s="1009"/>
      <c r="K91" s="1009"/>
      <c r="L91" s="1060"/>
      <c r="M91" s="1061"/>
      <c r="N91" s="1047"/>
      <c r="O91" s="1047"/>
      <c r="P91" s="1048"/>
      <c r="Q91" s="1077"/>
    </row>
    <row r="92" s="709" customFormat="1" ht="15.75" spans="1:17">
      <c r="A92" s="994"/>
      <c r="B92" s="991"/>
      <c r="C92" s="990">
        <v>100</v>
      </c>
      <c r="D92" s="990">
        <f>C92-$K23</f>
        <v>100</v>
      </c>
      <c r="E92" s="990">
        <f>D92-$K23</f>
        <v>100</v>
      </c>
      <c r="F92" s="990">
        <f>E92-$K23</f>
        <v>100</v>
      </c>
      <c r="G92" s="990">
        <f>F92-$K23</f>
        <v>100</v>
      </c>
      <c r="H92" s="1010"/>
      <c r="I92" s="1010"/>
      <c r="J92" s="1010"/>
      <c r="K92" s="1010"/>
      <c r="L92" s="1010"/>
      <c r="M92" s="1062"/>
      <c r="N92" s="1047"/>
      <c r="O92" s="1047"/>
      <c r="P92" s="1048"/>
      <c r="Q92" s="1077"/>
    </row>
    <row r="93" s="709" customFormat="1" ht="15.75" spans="1:17">
      <c r="A93" s="994"/>
      <c r="B93" s="987" t="s">
        <v>212</v>
      </c>
      <c r="C93" s="988" t="s">
        <v>1104</v>
      </c>
      <c r="D93" s="988" t="s">
        <v>1105</v>
      </c>
      <c r="E93" s="988" t="s">
        <v>1106</v>
      </c>
      <c r="F93" s="988" t="s">
        <v>1107</v>
      </c>
      <c r="G93" s="988" t="s">
        <v>1108</v>
      </c>
      <c r="H93" s="1009"/>
      <c r="I93" s="1009"/>
      <c r="J93" s="1009"/>
      <c r="K93" s="1009"/>
      <c r="L93" s="1009"/>
      <c r="M93" s="1061"/>
      <c r="N93" s="1047"/>
      <c r="O93" s="1047"/>
      <c r="P93" s="1048"/>
      <c r="Q93" s="1077"/>
    </row>
    <row r="94" s="709" customFormat="1" ht="15.75" spans="1:17">
      <c r="A94" s="994"/>
      <c r="B94" s="989"/>
      <c r="C94" s="990">
        <v>100</v>
      </c>
      <c r="D94" s="990">
        <f>C94-$K25</f>
        <v>100</v>
      </c>
      <c r="E94" s="990">
        <f>D94-$K25</f>
        <v>100</v>
      </c>
      <c r="F94" s="990">
        <f>E94-$K25</f>
        <v>100</v>
      </c>
      <c r="G94" s="990">
        <f>F94-$K25</f>
        <v>100</v>
      </c>
      <c r="H94" s="993"/>
      <c r="I94" s="993"/>
      <c r="J94" s="993"/>
      <c r="K94" s="993"/>
      <c r="L94" s="993"/>
      <c r="M94" s="1063"/>
      <c r="N94" s="1047"/>
      <c r="O94" s="1047"/>
      <c r="P94" s="1048"/>
      <c r="Q94" s="1077"/>
    </row>
    <row r="95" ht="15.75" spans="1:17">
      <c r="A95" s="984"/>
      <c r="B95" s="987" t="str">
        <f>B27</f>
        <v>临街状况</v>
      </c>
      <c r="C95" s="988" t="s">
        <v>1541</v>
      </c>
      <c r="D95" s="988" t="s">
        <v>1542</v>
      </c>
      <c r="E95" s="988" t="s">
        <v>1543</v>
      </c>
      <c r="F95" s="988" t="s">
        <v>1544</v>
      </c>
      <c r="G95" s="988"/>
      <c r="H95" s="988"/>
      <c r="I95" s="988"/>
      <c r="J95" s="988"/>
      <c r="K95" s="1038"/>
      <c r="L95" s="1039"/>
      <c r="M95" s="1040"/>
      <c r="N95" s="1034"/>
      <c r="O95" s="1034"/>
      <c r="P95" s="1035"/>
      <c r="Q95" s="955"/>
    </row>
    <row r="96" ht="15.75" spans="1:17">
      <c r="A96" s="984"/>
      <c r="B96" s="989"/>
      <c r="C96" s="990">
        <v>100</v>
      </c>
      <c r="D96" s="990">
        <f t="shared" ref="D96:M96" si="22">C96-$K27</f>
        <v>100</v>
      </c>
      <c r="E96" s="990">
        <f t="shared" si="22"/>
        <v>100</v>
      </c>
      <c r="F96" s="990">
        <f t="shared" si="22"/>
        <v>100</v>
      </c>
      <c r="G96" s="990">
        <f t="shared" si="22"/>
        <v>100</v>
      </c>
      <c r="H96" s="990">
        <f t="shared" si="22"/>
        <v>100</v>
      </c>
      <c r="I96" s="990">
        <f t="shared" si="22"/>
        <v>100</v>
      </c>
      <c r="J96" s="990">
        <f t="shared" si="22"/>
        <v>100</v>
      </c>
      <c r="K96" s="990">
        <f t="shared" si="22"/>
        <v>100</v>
      </c>
      <c r="L96" s="990">
        <f t="shared" si="22"/>
        <v>100</v>
      </c>
      <c r="M96" s="990">
        <f t="shared" si="22"/>
        <v>100</v>
      </c>
      <c r="N96" s="1037"/>
      <c r="O96" s="1037"/>
      <c r="P96" s="1035"/>
      <c r="Q96" s="955"/>
    </row>
    <row r="97" ht="27.75" spans="1:17">
      <c r="A97" s="984"/>
      <c r="B97" s="987" t="s">
        <v>1485</v>
      </c>
      <c r="C97" s="995"/>
      <c r="D97" s="995"/>
      <c r="E97" s="995"/>
      <c r="F97" s="995"/>
      <c r="G97" s="995"/>
      <c r="H97" s="1011"/>
      <c r="I97" s="1011"/>
      <c r="J97" s="1011"/>
      <c r="K97" s="1064"/>
      <c r="L97" s="1065"/>
      <c r="M97" s="1066"/>
      <c r="N97" s="1034"/>
      <c r="O97" s="1034"/>
      <c r="P97" s="1035"/>
      <c r="Q97" s="955"/>
    </row>
    <row r="98" ht="15.75" spans="1:17">
      <c r="A98" s="984"/>
      <c r="B98" s="989"/>
      <c r="C98" s="990">
        <v>100</v>
      </c>
      <c r="D98" s="990">
        <f t="shared" ref="D98:M98" si="23">C98-$K28</f>
        <v>100</v>
      </c>
      <c r="E98" s="990">
        <f t="shared" si="23"/>
        <v>100</v>
      </c>
      <c r="F98" s="990">
        <f t="shared" si="23"/>
        <v>100</v>
      </c>
      <c r="G98" s="990">
        <f t="shared" si="23"/>
        <v>100</v>
      </c>
      <c r="H98" s="990">
        <f t="shared" si="23"/>
        <v>100</v>
      </c>
      <c r="I98" s="990">
        <f t="shared" si="23"/>
        <v>100</v>
      </c>
      <c r="J98" s="990">
        <f t="shared" si="23"/>
        <v>100</v>
      </c>
      <c r="K98" s="990">
        <f t="shared" si="23"/>
        <v>100</v>
      </c>
      <c r="L98" s="990">
        <f t="shared" si="23"/>
        <v>100</v>
      </c>
      <c r="M98" s="990">
        <f t="shared" si="23"/>
        <v>100</v>
      </c>
      <c r="N98" s="1037"/>
      <c r="O98" s="1037"/>
      <c r="P98" s="1035"/>
      <c r="Q98" s="955"/>
    </row>
    <row r="99" ht="15.75" spans="1:17">
      <c r="A99" s="984"/>
      <c r="B99" s="987" t="s">
        <v>1513</v>
      </c>
      <c r="C99" s="1011"/>
      <c r="D99" s="1011"/>
      <c r="E99" s="1011"/>
      <c r="F99" s="1011"/>
      <c r="G99" s="1011"/>
      <c r="H99" s="1011"/>
      <c r="I99" s="1011"/>
      <c r="J99" s="1011"/>
      <c r="K99" s="1064"/>
      <c r="L99" s="1065"/>
      <c r="M99" s="1066"/>
      <c r="N99" s="1034"/>
      <c r="O99" s="1034"/>
      <c r="P99" s="1035"/>
      <c r="Q99" s="955"/>
    </row>
    <row r="100" ht="15.75" spans="1:17">
      <c r="A100" s="984"/>
      <c r="B100" s="989"/>
      <c r="C100" s="990">
        <v>100</v>
      </c>
      <c r="D100" s="990">
        <f t="shared" ref="D100:M100" si="24">C100-$K30</f>
        <v>100</v>
      </c>
      <c r="E100" s="990">
        <f t="shared" si="24"/>
        <v>100</v>
      </c>
      <c r="F100" s="990">
        <f t="shared" si="24"/>
        <v>100</v>
      </c>
      <c r="G100" s="990">
        <f t="shared" si="24"/>
        <v>100</v>
      </c>
      <c r="H100" s="990">
        <f t="shared" si="24"/>
        <v>100</v>
      </c>
      <c r="I100" s="990">
        <f t="shared" si="24"/>
        <v>100</v>
      </c>
      <c r="J100" s="990">
        <f t="shared" si="24"/>
        <v>100</v>
      </c>
      <c r="K100" s="990">
        <f t="shared" si="24"/>
        <v>100</v>
      </c>
      <c r="L100" s="990">
        <f t="shared" si="24"/>
        <v>100</v>
      </c>
      <c r="M100" s="990">
        <f t="shared" si="24"/>
        <v>100</v>
      </c>
      <c r="N100" s="1037"/>
      <c r="O100" s="1037"/>
      <c r="P100" s="1035"/>
      <c r="Q100" s="955"/>
    </row>
    <row r="101" ht="15.75" spans="1:17">
      <c r="A101" s="984"/>
      <c r="B101" s="991">
        <f>B31</f>
        <v>111</v>
      </c>
      <c r="C101" s="995"/>
      <c r="D101" s="995"/>
      <c r="E101" s="995"/>
      <c r="F101" s="995"/>
      <c r="G101" s="1012"/>
      <c r="H101" s="1012"/>
      <c r="I101" s="1012"/>
      <c r="J101" s="1012"/>
      <c r="K101" s="1067"/>
      <c r="L101" s="1068"/>
      <c r="M101" s="1069"/>
      <c r="N101" s="1034"/>
      <c r="O101" s="1034"/>
      <c r="P101" s="1035"/>
      <c r="Q101" s="955"/>
    </row>
    <row r="102" ht="15.75" spans="1:17">
      <c r="A102" s="984"/>
      <c r="B102" s="1001"/>
      <c r="C102" s="997"/>
      <c r="D102" s="986"/>
      <c r="E102" s="986"/>
      <c r="F102" s="986"/>
      <c r="G102" s="1013"/>
      <c r="H102" s="1013"/>
      <c r="I102" s="1013"/>
      <c r="J102" s="1013"/>
      <c r="K102" s="1013"/>
      <c r="L102" s="1013"/>
      <c r="M102" s="1070"/>
      <c r="N102" s="1037"/>
      <c r="O102" s="1037"/>
      <c r="P102" s="1035"/>
      <c r="Q102" s="955"/>
    </row>
    <row r="103" ht="15" spans="1:17">
      <c r="A103" s="803"/>
      <c r="B103" s="987">
        <f>B32</f>
        <v>111</v>
      </c>
      <c r="C103" s="995"/>
      <c r="D103" s="995"/>
      <c r="E103" s="995"/>
      <c r="F103" s="995"/>
      <c r="G103" s="1011"/>
      <c r="H103" s="1011"/>
      <c r="I103" s="1011"/>
      <c r="J103" s="1011"/>
      <c r="K103" s="1064"/>
      <c r="L103" s="1065"/>
      <c r="M103" s="1066"/>
      <c r="N103" s="1034"/>
      <c r="O103" s="1034"/>
      <c r="P103" s="1035"/>
      <c r="Q103" s="955"/>
    </row>
    <row r="104" ht="15.75" spans="1:17">
      <c r="A104" s="984"/>
      <c r="B104" s="989"/>
      <c r="C104" s="997"/>
      <c r="D104" s="997"/>
      <c r="E104" s="997"/>
      <c r="F104" s="997"/>
      <c r="G104" s="986"/>
      <c r="H104" s="986"/>
      <c r="I104" s="986"/>
      <c r="J104" s="986"/>
      <c r="K104" s="986"/>
      <c r="L104" s="986"/>
      <c r="M104" s="1036"/>
      <c r="N104" s="1037"/>
      <c r="O104" s="1037"/>
      <c r="P104" s="1035"/>
      <c r="Q104" s="955"/>
    </row>
    <row r="105" s="709" customFormat="1" ht="15.75" spans="1:17">
      <c r="A105" s="1014"/>
      <c r="B105" s="1015">
        <f>B33</f>
        <v>111</v>
      </c>
      <c r="C105" s="979"/>
      <c r="D105" s="979"/>
      <c r="E105" s="979"/>
      <c r="F105" s="979"/>
      <c r="G105" s="971"/>
      <c r="H105" s="971"/>
      <c r="I105" s="971"/>
      <c r="J105" s="1071"/>
      <c r="K105" s="1071"/>
      <c r="L105" s="1072"/>
      <c r="M105" s="1073"/>
      <c r="N105" s="1047"/>
      <c r="O105" s="1047"/>
      <c r="P105" s="1048"/>
      <c r="Q105" s="1077"/>
    </row>
    <row r="106" s="709" customFormat="1" ht="15.75" spans="1:17">
      <c r="A106" s="994"/>
      <c r="B106" s="991"/>
      <c r="C106" s="1002"/>
      <c r="D106" s="1002"/>
      <c r="E106" s="1002"/>
      <c r="F106" s="1002"/>
      <c r="G106" s="1016"/>
      <c r="H106" s="1016"/>
      <c r="I106" s="1016"/>
      <c r="J106" s="1016"/>
      <c r="K106" s="1016"/>
      <c r="L106" s="1016"/>
      <c r="M106" s="1074"/>
      <c r="N106" s="1037"/>
      <c r="O106" s="1037"/>
      <c r="P106" s="1048"/>
      <c r="Q106" s="1077"/>
    </row>
    <row r="107" spans="1:17">
      <c r="A107" s="982" t="s">
        <v>1070</v>
      </c>
      <c r="B107" s="983" t="s">
        <v>1514</v>
      </c>
      <c r="C107" s="1017" t="str">
        <f t="shared" ref="C107:L107" si="25">C108&amp;"(含)"&amp;"-"&amp;D108</f>
        <v>(含)-</v>
      </c>
      <c r="D107" s="1017" t="str">
        <f t="shared" si="25"/>
        <v>(含)-</v>
      </c>
      <c r="E107" s="1017" t="str">
        <f t="shared" si="25"/>
        <v>(含)-</v>
      </c>
      <c r="F107" s="1017" t="str">
        <f t="shared" si="25"/>
        <v>(含)-</v>
      </c>
      <c r="G107" s="1017" t="str">
        <f t="shared" si="25"/>
        <v>(含)-</v>
      </c>
      <c r="H107" s="1017" t="str">
        <f t="shared" si="25"/>
        <v>(含)-</v>
      </c>
      <c r="I107" s="1017" t="str">
        <f t="shared" si="25"/>
        <v>(含)-</v>
      </c>
      <c r="J107" s="1017" t="str">
        <f t="shared" si="25"/>
        <v>(含)-</v>
      </c>
      <c r="K107" s="1017" t="str">
        <f t="shared" si="25"/>
        <v>(含)-</v>
      </c>
      <c r="L107" s="1075" t="str">
        <f t="shared" si="25"/>
        <v>(含)-</v>
      </c>
      <c r="M107" s="1076" t="str">
        <f>M108&amp;"(含)"&amp;"-"&amp;P108</f>
        <v>(含)-</v>
      </c>
      <c r="N107" s="1034"/>
      <c r="O107" s="1034"/>
      <c r="P107" s="1035"/>
      <c r="Q107" s="955"/>
    </row>
    <row r="108" ht="15" spans="1:17">
      <c r="A108" s="984"/>
      <c r="B108" s="991"/>
      <c r="C108" s="971"/>
      <c r="D108" s="971"/>
      <c r="E108" s="971"/>
      <c r="F108" s="971"/>
      <c r="G108" s="971"/>
      <c r="H108" s="971"/>
      <c r="I108" s="971"/>
      <c r="J108" s="1071"/>
      <c r="K108" s="1071"/>
      <c r="L108" s="1072"/>
      <c r="M108" s="1073"/>
      <c r="N108" s="1034"/>
      <c r="O108" s="1034"/>
      <c r="P108" s="1035"/>
      <c r="Q108" s="955"/>
    </row>
    <row r="109" ht="15.75" spans="1:17">
      <c r="A109" s="984"/>
      <c r="B109" s="989"/>
      <c r="C109" s="1002"/>
      <c r="D109" s="1013"/>
      <c r="E109" s="1013"/>
      <c r="F109" s="1013"/>
      <c r="G109" s="1013"/>
      <c r="H109" s="1013"/>
      <c r="I109" s="1013"/>
      <c r="J109" s="1013"/>
      <c r="K109" s="1013"/>
      <c r="L109" s="1013"/>
      <c r="M109" s="1070"/>
      <c r="N109" s="1037"/>
      <c r="O109" s="1037"/>
      <c r="P109" s="1035"/>
      <c r="Q109" s="955"/>
    </row>
    <row r="110" ht="15.75" spans="1:17">
      <c r="A110" s="1018"/>
      <c r="B110" s="987" t="s">
        <v>1515</v>
      </c>
      <c r="C110" s="1011"/>
      <c r="D110" s="1011"/>
      <c r="E110" s="1011"/>
      <c r="F110" s="1011"/>
      <c r="G110" s="1011"/>
      <c r="H110" s="1011"/>
      <c r="I110" s="1011"/>
      <c r="J110" s="1011"/>
      <c r="K110" s="1064"/>
      <c r="L110" s="1065"/>
      <c r="M110" s="1066"/>
      <c r="N110" s="1034"/>
      <c r="O110" s="1034"/>
      <c r="P110" s="1035"/>
      <c r="Q110" s="955"/>
    </row>
    <row r="111" ht="15.75" spans="1:17">
      <c r="A111" s="984"/>
      <c r="B111" s="989"/>
      <c r="C111" s="990">
        <v>100</v>
      </c>
      <c r="D111" s="990">
        <f t="shared" ref="D111:M111" si="26">C111-$K35</f>
        <v>100</v>
      </c>
      <c r="E111" s="990">
        <f t="shared" si="26"/>
        <v>100</v>
      </c>
      <c r="F111" s="990">
        <f t="shared" si="26"/>
        <v>100</v>
      </c>
      <c r="G111" s="990">
        <f t="shared" si="26"/>
        <v>100</v>
      </c>
      <c r="H111" s="990">
        <f t="shared" si="26"/>
        <v>100</v>
      </c>
      <c r="I111" s="990">
        <f t="shared" si="26"/>
        <v>100</v>
      </c>
      <c r="J111" s="990">
        <f t="shared" si="26"/>
        <v>100</v>
      </c>
      <c r="K111" s="990">
        <f t="shared" si="26"/>
        <v>100</v>
      </c>
      <c r="L111" s="990">
        <f t="shared" si="26"/>
        <v>100</v>
      </c>
      <c r="M111" s="1041">
        <f t="shared" si="26"/>
        <v>100</v>
      </c>
      <c r="N111" s="1037"/>
      <c r="O111" s="1037"/>
      <c r="P111" s="1035"/>
      <c r="Q111" s="955"/>
    </row>
    <row r="112" s="709" customFormat="1" ht="15.75" spans="1:17">
      <c r="A112" s="1014"/>
      <c r="B112" s="987" t="s">
        <v>1517</v>
      </c>
      <c r="C112" s="995"/>
      <c r="D112" s="995"/>
      <c r="E112" s="995"/>
      <c r="F112" s="995"/>
      <c r="G112" s="995"/>
      <c r="H112" s="1011"/>
      <c r="I112" s="1011"/>
      <c r="J112" s="1011"/>
      <c r="K112" s="1064"/>
      <c r="L112" s="1065"/>
      <c r="M112" s="1066"/>
      <c r="N112" s="1047"/>
      <c r="O112" s="1047"/>
      <c r="P112" s="1048"/>
      <c r="Q112" s="1077"/>
    </row>
    <row r="113" s="709" customFormat="1" ht="15.75" spans="1:17">
      <c r="A113" s="994"/>
      <c r="B113" s="989"/>
      <c r="C113" s="990">
        <v>100</v>
      </c>
      <c r="D113" s="990">
        <f t="shared" ref="D113:M113" si="27">C113-$K36</f>
        <v>100</v>
      </c>
      <c r="E113" s="990">
        <f t="shared" si="27"/>
        <v>100</v>
      </c>
      <c r="F113" s="990">
        <f t="shared" si="27"/>
        <v>100</v>
      </c>
      <c r="G113" s="990">
        <f t="shared" si="27"/>
        <v>100</v>
      </c>
      <c r="H113" s="990">
        <f t="shared" si="27"/>
        <v>100</v>
      </c>
      <c r="I113" s="990">
        <f t="shared" si="27"/>
        <v>100</v>
      </c>
      <c r="J113" s="990">
        <f t="shared" si="27"/>
        <v>100</v>
      </c>
      <c r="K113" s="990">
        <f t="shared" si="27"/>
        <v>100</v>
      </c>
      <c r="L113" s="990">
        <f t="shared" si="27"/>
        <v>100</v>
      </c>
      <c r="M113" s="1041">
        <f t="shared" si="27"/>
        <v>100</v>
      </c>
      <c r="N113" s="1047"/>
      <c r="O113" s="1047"/>
      <c r="P113" s="1048"/>
      <c r="Q113" s="1077"/>
    </row>
    <row r="114" ht="15.75" spans="1:17">
      <c r="A114" s="1018"/>
      <c r="B114" s="987" t="s">
        <v>1518</v>
      </c>
      <c r="C114" s="995"/>
      <c r="D114" s="995"/>
      <c r="E114" s="1011"/>
      <c r="F114" s="1011"/>
      <c r="G114" s="1011"/>
      <c r="H114" s="1011"/>
      <c r="I114" s="1011"/>
      <c r="J114" s="1011"/>
      <c r="K114" s="1064"/>
      <c r="L114" s="1065"/>
      <c r="M114" s="1066"/>
      <c r="N114" s="1034"/>
      <c r="O114" s="1034"/>
      <c r="P114" s="1035"/>
      <c r="Q114" s="955"/>
    </row>
    <row r="115" ht="15.75" spans="1:17">
      <c r="A115" s="984"/>
      <c r="B115" s="989"/>
      <c r="C115" s="990">
        <v>100</v>
      </c>
      <c r="D115" s="990">
        <f t="shared" ref="D115:M115" si="28">C115-$K37</f>
        <v>100</v>
      </c>
      <c r="E115" s="990">
        <f t="shared" si="28"/>
        <v>100</v>
      </c>
      <c r="F115" s="990">
        <f t="shared" si="28"/>
        <v>100</v>
      </c>
      <c r="G115" s="990">
        <f t="shared" si="28"/>
        <v>100</v>
      </c>
      <c r="H115" s="990">
        <f t="shared" si="28"/>
        <v>100</v>
      </c>
      <c r="I115" s="990">
        <f t="shared" si="28"/>
        <v>100</v>
      </c>
      <c r="J115" s="990">
        <f t="shared" si="28"/>
        <v>100</v>
      </c>
      <c r="K115" s="990">
        <f t="shared" si="28"/>
        <v>100</v>
      </c>
      <c r="L115" s="990">
        <f t="shared" si="28"/>
        <v>100</v>
      </c>
      <c r="M115" s="1041">
        <f t="shared" si="28"/>
        <v>100</v>
      </c>
      <c r="N115" s="1037"/>
      <c r="O115" s="1037"/>
      <c r="P115" s="1035"/>
      <c r="Q115" s="955"/>
    </row>
    <row r="116" ht="15.75" spans="1:17">
      <c r="A116" s="1018"/>
      <c r="B116" s="987">
        <f>B38</f>
        <v>111</v>
      </c>
      <c r="C116" s="995"/>
      <c r="D116" s="995"/>
      <c r="E116" s="995"/>
      <c r="F116" s="995"/>
      <c r="G116" s="995"/>
      <c r="H116" s="1011"/>
      <c r="I116" s="1011"/>
      <c r="J116" s="1011"/>
      <c r="K116" s="1064"/>
      <c r="L116" s="1065"/>
      <c r="M116" s="1066"/>
      <c r="N116" s="1034"/>
      <c r="O116" s="1034"/>
      <c r="P116" s="1035"/>
      <c r="Q116" s="955"/>
    </row>
    <row r="117" ht="15.75" spans="1:17">
      <c r="A117" s="984"/>
      <c r="B117" s="989"/>
      <c r="C117" s="997"/>
      <c r="D117" s="986"/>
      <c r="E117" s="986"/>
      <c r="F117" s="986"/>
      <c r="G117" s="986"/>
      <c r="H117" s="986"/>
      <c r="I117" s="986"/>
      <c r="J117" s="986"/>
      <c r="K117" s="986"/>
      <c r="L117" s="986"/>
      <c r="M117" s="1036"/>
      <c r="N117" s="1037"/>
      <c r="O117" s="1037"/>
      <c r="P117" s="1035"/>
      <c r="Q117" s="955"/>
    </row>
    <row r="118" ht="15.75" spans="1:17">
      <c r="A118" s="1018"/>
      <c r="B118" s="987">
        <f>B39</f>
        <v>111</v>
      </c>
      <c r="C118" s="995"/>
      <c r="D118" s="995"/>
      <c r="E118" s="995"/>
      <c r="F118" s="995"/>
      <c r="G118" s="1011"/>
      <c r="H118" s="1011"/>
      <c r="I118" s="1011"/>
      <c r="J118" s="1011"/>
      <c r="K118" s="1064"/>
      <c r="L118" s="1065"/>
      <c r="M118" s="1066"/>
      <c r="N118" s="1034"/>
      <c r="O118" s="1034"/>
      <c r="P118" s="1035"/>
      <c r="Q118" s="955"/>
    </row>
    <row r="119" ht="15.75" spans="1:17">
      <c r="A119" s="984"/>
      <c r="B119" s="989"/>
      <c r="C119" s="997"/>
      <c r="D119" s="997"/>
      <c r="E119" s="997"/>
      <c r="F119" s="997"/>
      <c r="G119" s="986"/>
      <c r="H119" s="986"/>
      <c r="I119" s="986"/>
      <c r="J119" s="986"/>
      <c r="K119" s="986"/>
      <c r="L119" s="986"/>
      <c r="M119" s="1036"/>
      <c r="N119" s="1037"/>
      <c r="O119" s="1037"/>
      <c r="P119" s="1035"/>
      <c r="Q119" s="955"/>
    </row>
    <row r="120" s="709" customFormat="1" ht="15.75" spans="1:17">
      <c r="A120" s="1014"/>
      <c r="B120" s="987">
        <f>B40</f>
        <v>111</v>
      </c>
      <c r="C120" s="979"/>
      <c r="D120" s="979"/>
      <c r="E120" s="979"/>
      <c r="F120" s="979"/>
      <c r="G120" s="996"/>
      <c r="H120" s="996"/>
      <c r="I120" s="996"/>
      <c r="J120" s="996"/>
      <c r="K120" s="996"/>
      <c r="L120" s="1045"/>
      <c r="M120" s="1046"/>
      <c r="N120" s="1047"/>
      <c r="O120" s="1047"/>
      <c r="P120" s="1048"/>
      <c r="Q120" s="1077"/>
    </row>
    <row r="121" s="709" customFormat="1" ht="15.75" spans="1:17">
      <c r="A121" s="1019"/>
      <c r="B121" s="1020"/>
      <c r="C121" s="1002"/>
      <c r="D121" s="1002"/>
      <c r="E121" s="1002"/>
      <c r="F121" s="1002"/>
      <c r="G121" s="1013"/>
      <c r="H121" s="1013"/>
      <c r="I121" s="1013"/>
      <c r="J121" s="1013"/>
      <c r="K121" s="1013"/>
      <c r="L121" s="1013"/>
      <c r="M121" s="1070"/>
      <c r="N121" s="1047"/>
      <c r="O121" s="1047"/>
      <c r="P121" s="1048"/>
      <c r="Q121" s="1077"/>
    </row>
  </sheetData>
  <sheetProtection password="CEE9" sheet="1" formatCells="0" formatColumns="0" formatRows="0" objects="1" scenarios="1"/>
  <mergeCells count="40">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41:Q41"/>
    <mergeCell ref="R41:S41"/>
    <mergeCell ref="T41:U41"/>
    <mergeCell ref="V41:W41"/>
    <mergeCell ref="P42:Q42"/>
    <mergeCell ref="R42:S42"/>
    <mergeCell ref="T42:U42"/>
    <mergeCell ref="V42:W42"/>
    <mergeCell ref="P43:Q43"/>
    <mergeCell ref="R43:W43"/>
    <mergeCell ref="P9:P14"/>
    <mergeCell ref="P15:P31"/>
    <mergeCell ref="P32:P40"/>
    <mergeCell ref="Y9:Y14"/>
    <mergeCell ref="Y15:Y31"/>
    <mergeCell ref="Y32:Y40"/>
    <mergeCell ref="AA4:AA6"/>
    <mergeCell ref="AB4:AB6"/>
    <mergeCell ref="AC4:AC6"/>
    <mergeCell ref="P4:Q6"/>
    <mergeCell ref="R4:S6"/>
    <mergeCell ref="T4:U6"/>
    <mergeCell ref="V4:W6"/>
    <mergeCell ref="Y4:Z6"/>
  </mergeCells>
  <conditionalFormatting sqref="F42">
    <cfRule type="expression" dxfId="5" priority="4">
      <formula>$D$42="简单平均"</formula>
    </cfRule>
  </conditionalFormatting>
  <conditionalFormatting sqref="H42">
    <cfRule type="expression" dxfId="5" priority="3">
      <formula>$D$42="简单平均"</formula>
    </cfRule>
  </conditionalFormatting>
  <conditionalFormatting sqref="J42">
    <cfRule type="expression" dxfId="5" priority="2">
      <formula>$D$42="简单平均"</formula>
    </cfRule>
  </conditionalFormatting>
  <conditionalFormatting sqref="E46">
    <cfRule type="expression" dxfId="8" priority="13" stopIfTrue="1">
      <formula>$F$46="超过30%"</formula>
    </cfRule>
  </conditionalFormatting>
  <conditionalFormatting sqref="G46">
    <cfRule type="expression" dxfId="8" priority="9" stopIfTrue="1">
      <formula>$H$46="超过30%"</formula>
    </cfRule>
  </conditionalFormatting>
  <conditionalFormatting sqref="I46">
    <cfRule type="expression" dxfId="8" priority="7" stopIfTrue="1">
      <formula>$J$46="超过30%"</formula>
    </cfRule>
  </conditionalFormatting>
  <conditionalFormatting sqref="E47">
    <cfRule type="expression" dxfId="8" priority="27" stopIfTrue="1">
      <formula>$J$54+$F$47="超过20%"</formula>
    </cfRule>
  </conditionalFormatting>
  <conditionalFormatting sqref="G47">
    <cfRule type="expression" dxfId="8" priority="8" stopIfTrue="1">
      <formula>$H$47="超过20%"</formula>
    </cfRule>
  </conditionalFormatting>
  <conditionalFormatting sqref="I47">
    <cfRule type="expression" dxfId="8" priority="6" stopIfTrue="1">
      <formula>$J$47="超过20%"</formula>
    </cfRule>
  </conditionalFormatting>
  <conditionalFormatting sqref="E48">
    <cfRule type="expression" dxfId="8" priority="10" stopIfTrue="1">
      <formula>$F$48="超过30%"</formula>
    </cfRule>
  </conditionalFormatting>
  <conditionalFormatting sqref="F48">
    <cfRule type="containsText" dxfId="9" priority="15" stopIfTrue="1" operator="between" text="超过">
      <formula>NOT(ISERROR(SEARCH("超过",F48)))</formula>
    </cfRule>
  </conditionalFormatting>
  <conditionalFormatting sqref="G48">
    <cfRule type="expression" dxfId="8" priority="12" stopIfTrue="1">
      <formula>$H$48="超过30%"</formula>
    </cfRule>
  </conditionalFormatting>
  <conditionalFormatting sqref="H48">
    <cfRule type="containsText" dxfId="9" priority="16" stopIfTrue="1" operator="between" text="超过">
      <formula>NOT(ISERROR(SEARCH("超过",H48)))</formula>
    </cfRule>
  </conditionalFormatting>
  <conditionalFormatting sqref="I48">
    <cfRule type="expression" dxfId="8" priority="5" stopIfTrue="1">
      <formula>$J$48="超过30%"</formula>
    </cfRule>
  </conditionalFormatting>
  <conditionalFormatting sqref="J48">
    <cfRule type="containsText" dxfId="9" priority="17" stopIfTrue="1" operator="between" text="超过">
      <formula>NOT(ISERROR(SEARCH("超过",J48)))</formula>
    </cfRule>
  </conditionalFormatting>
  <conditionalFormatting sqref="F7:F40 H7:H40 J7:J40">
    <cfRule type="cellIs" dxfId="10" priority="1" operator="notEqual">
      <formula>100</formula>
    </cfRule>
  </conditionalFormatting>
  <conditionalFormatting sqref="F46 H46 J46">
    <cfRule type="containsText" dxfId="9" priority="18" stopIfTrue="1" operator="between" text="超过">
      <formula>NOT(ISERROR(SEARCH("超过",F46)))</formula>
    </cfRule>
  </conditionalFormatting>
  <conditionalFormatting sqref="F47 H47 J47">
    <cfRule type="containsText" dxfId="9" priority="14" stopIfTrue="1" operator="between" text="超过">
      <formula>NOT(ISERROR(SEARCH("超过",F47)))</formula>
    </cfRule>
  </conditionalFormatting>
  <dataValidations count="18">
    <dataValidation type="list" allowBlank="1" showInputMessage="1" showErrorMessage="1" sqref="C8 E8 G8 I8">
      <formula1>套工交易情况</formula1>
    </dataValidation>
    <dataValidation type="list" allowBlank="1" showInputMessage="1" showErrorMessage="1" sqref="C36 E36 G36 I36">
      <formula1>套工宗地内开发程度</formula1>
    </dataValidation>
    <dataValidation type="list" allowBlank="1" showInputMessage="1" showErrorMessage="1" sqref="C26 E26 G26 I26">
      <formula1>基础设施水平</formula1>
    </dataValidation>
    <dataValidation type="list" allowBlank="1" showInputMessage="1" showErrorMessage="1" sqref="C18 E18 G18 I18">
      <formula1>交通便捷度</formula1>
    </dataValidation>
    <dataValidation type="list" allowBlank="1" showInputMessage="1" showErrorMessage="1" sqref="C16 E16 G16 I16">
      <formula1>产业集聚程度</formula1>
    </dataValidation>
    <dataValidation type="list" allowBlank="1" showInputMessage="1" showErrorMessage="1" sqref="C9 E9 G9 I9">
      <formula1>套工用途</formula1>
    </dataValidation>
    <dataValidation type="list" allowBlank="1" showInputMessage="1" showErrorMessage="1" sqref="C20 E20 G20 I20">
      <formula1>区域土地利用方向</formula1>
    </dataValidation>
    <dataValidation type="list" allowBlank="1" showInputMessage="1" showErrorMessage="1" sqref="C22 E22 G22 I22">
      <formula1>环境</formula1>
    </dataValidation>
    <dataValidation type="list" allowBlank="1" showInputMessage="1" showErrorMessage="1" sqref="C24 E24 G24 I24">
      <formula1>公共配套设施</formula1>
    </dataValidation>
    <dataValidation type="list" allowBlank="1" showInputMessage="1" showErrorMessage="1" sqref="C27 E27 G27 I27">
      <formula1>临街状况</formula1>
    </dataValidation>
    <dataValidation type="list" allowBlank="1" showInputMessage="1" showErrorMessage="1" sqref="C29 E29 G29 I29">
      <formula1>套工道路等级</formula1>
    </dataValidation>
    <dataValidation type="list" allowBlank="1" showInputMessage="1" showErrorMessage="1" sqref="E30 G30 I30">
      <formula1>套工土地级别</formula1>
    </dataValidation>
    <dataValidation type="list" allowBlank="1" showInputMessage="1" showErrorMessage="1" sqref="C35 E35 G35 I35">
      <formula1>套工宗地形状</formula1>
    </dataValidation>
    <dataValidation type="list" allowBlank="1" showInputMessage="1" showErrorMessage="1" sqref="C37 E37 G37 I37">
      <formula1>套工地质条件</formula1>
    </dataValidation>
    <dataValidation type="list" allowBlank="1" showInputMessage="1" showErrorMessage="1" sqref="B41">
      <formula1>单价内涵</formula1>
    </dataValidation>
    <dataValidation type="list" allowBlank="1" showInputMessage="1" showErrorMessage="1" sqref="D42">
      <formula1>"简单平均,加权平均"</formula1>
    </dataValidation>
    <dataValidation type="list" allowBlank="1" showInputMessage="1" showErrorMessage="1" sqref="C50">
      <formula1>"北京市系数,其他省市系数"</formula1>
    </dataValidation>
    <dataValidation type="list" allowBlank="1" showInputMessage="1" showErrorMessage="1" sqref="D52:D60">
      <formula1>"25%,1"</formula1>
    </dataValidation>
  </dataValidations>
  <pageMargins left="0.708661417322835" right="0.708661417322835" top="1.06299212598425" bottom="0.94488188976378" header="0.31496062992126" footer="0.31496062992126"/>
  <pageSetup paperSize="9" scale="52" fitToHeight="0" orientation="portrait"/>
  <headerFooter/>
  <legacyDrawing r:id="rId2"/>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AJ118"/>
  <sheetViews>
    <sheetView view="pageBreakPreview" zoomScale="70" zoomScaleNormal="90" workbookViewId="0">
      <selection activeCell="C13" sqref="C13:H13"/>
    </sheetView>
  </sheetViews>
  <sheetFormatPr defaultColWidth="9" defaultRowHeight="12.75"/>
  <cols>
    <col min="1" max="1" width="9.75" style="395" customWidth="1"/>
    <col min="2" max="2" width="19.25" style="395" customWidth="1"/>
    <col min="3" max="3" width="12.5" style="395" customWidth="1"/>
    <col min="4" max="4" width="12" style="395" customWidth="1"/>
    <col min="5" max="5" width="14.625" style="395" customWidth="1"/>
    <col min="6" max="8" width="12" style="395" customWidth="1"/>
    <col min="9" max="9" width="12.25" style="395" customWidth="1"/>
    <col min="10" max="10" width="12" style="395" customWidth="1"/>
    <col min="11" max="11" width="9.5" style="396" customWidth="1"/>
    <col min="12" max="12" width="12" style="395" customWidth="1"/>
    <col min="13" max="13" width="8.5" style="395" customWidth="1"/>
    <col min="14" max="14" width="9.75" style="395" customWidth="1"/>
    <col min="15" max="25" width="12" style="395" customWidth="1"/>
    <col min="26" max="26" width="9.375" style="395" customWidth="1"/>
    <col min="27" max="32" width="9.375" style="394" customWidth="1"/>
    <col min="33" max="38" width="9.375" style="395" customWidth="1"/>
    <col min="39" max="16384" width="9" style="395"/>
  </cols>
  <sheetData>
    <row r="1" ht="28.5" spans="1:36">
      <c r="A1" s="397" t="s">
        <v>1549</v>
      </c>
      <c r="B1" s="398"/>
      <c r="C1" s="399" t="s">
        <v>1031</v>
      </c>
      <c r="D1" s="400">
        <f>SUM(D29:D30,D33:D39)</f>
        <v>246.59</v>
      </c>
      <c r="E1" s="400"/>
      <c r="F1" s="400"/>
      <c r="G1" s="400"/>
      <c r="H1" s="400"/>
      <c r="I1" s="400"/>
      <c r="J1" s="400"/>
      <c r="K1" s="541"/>
      <c r="L1" s="571" t="s">
        <v>221</v>
      </c>
      <c r="M1" s="572">
        <f>SUMPRODUCT((区片价!B5:B9=I2)*(区片价!C3:F3=E2)*(区片价!C5:F9))</f>
        <v>0</v>
      </c>
      <c r="N1" s="573">
        <f>SUMPRODUCT((因素修正幅度!B5:B9=I2)*(因素修正幅度!C3:F3=E2)*(因素修正幅度!C5:F9))</f>
        <v>0</v>
      </c>
      <c r="O1" s="541"/>
      <c r="P1" s="541"/>
      <c r="Q1" s="541"/>
      <c r="R1" s="646" t="s">
        <v>1550</v>
      </c>
      <c r="S1" s="646" t="s">
        <v>1551</v>
      </c>
      <c r="T1" s="646" t="s">
        <v>1552</v>
      </c>
      <c r="U1" s="646" t="s">
        <v>1553</v>
      </c>
      <c r="V1" s="646" t="s">
        <v>1554</v>
      </c>
      <c r="W1" s="647"/>
      <c r="X1" s="647"/>
      <c r="Y1" s="647"/>
      <c r="Z1" s="647"/>
      <c r="AA1" s="647"/>
      <c r="AB1" s="647"/>
      <c r="AC1" s="647"/>
      <c r="AD1" s="655"/>
      <c r="AE1" s="655"/>
      <c r="AF1" s="655"/>
      <c r="AG1" s="655"/>
      <c r="AH1" s="655"/>
      <c r="AI1" s="655"/>
      <c r="AJ1" s="666"/>
    </row>
    <row r="2" ht="24.75" spans="1:36">
      <c r="A2" s="401" t="s">
        <v>868</v>
      </c>
      <c r="B2" s="402">
        <f>C26</f>
        <v>0</v>
      </c>
      <c r="C2" s="403" t="s">
        <v>1510</v>
      </c>
      <c r="D2" s="404" t="s">
        <v>1555</v>
      </c>
      <c r="E2" s="405" t="s">
        <v>461</v>
      </c>
      <c r="F2" s="404" t="s">
        <v>1556</v>
      </c>
      <c r="G2" s="406">
        <f>项目基本情况!F9</f>
        <v>0</v>
      </c>
      <c r="H2" s="407" t="s">
        <v>1557</v>
      </c>
      <c r="I2" s="406">
        <f>项目基本情况!F10</f>
        <v>0</v>
      </c>
      <c r="J2" s="574"/>
      <c r="K2" s="541"/>
      <c r="L2" s="575" t="s">
        <v>234</v>
      </c>
      <c r="M2" s="576">
        <f>SUMPRODUCT((区片价!B10:B28=I2)*(区片价!C3:F3=E2)*(区片价!C10:F28))</f>
        <v>0</v>
      </c>
      <c r="N2" s="577">
        <f>SUMPRODUCT((因素修正幅度!B10:B28=I2)*(因素修正幅度!C3:F3=E2)*(因素修正幅度!C10:F28))</f>
        <v>0</v>
      </c>
      <c r="O2" s="541"/>
      <c r="P2" s="541"/>
      <c r="Q2" s="541"/>
      <c r="R2" s="646">
        <v>1</v>
      </c>
      <c r="S2" s="646" t="e">
        <f>ROUND(IF(G3&gt;1,IF(R2&lt;7,SUMPRODUCT((B93:B98=R2)*(C92:N92=G2)*(C93:N98)),SUMIF(C92:N92,G2,C100:N100)),IF(R2&lt;7,SUMPRODUCT((B102:B107=R2)*(C92:N92=G2)*(C102:N107)),SUMIF(C92:N92,G2,C109:N109))),4)</f>
        <v>#DIV/0!</v>
      </c>
      <c r="T2" s="646" t="e">
        <f>ROUND($C$5*$C$18*$C$19*$C$20*S2*$C$24,0)</f>
        <v>#DIV/0!</v>
      </c>
      <c r="U2" s="648"/>
      <c r="V2" s="646" t="e">
        <f>ROUND(T2*U2/10000,0)</f>
        <v>#DIV/0!</v>
      </c>
      <c r="W2" s="647"/>
      <c r="X2" s="647"/>
      <c r="Y2" s="647"/>
      <c r="Z2" s="647"/>
      <c r="AA2" s="647"/>
      <c r="AB2" s="647"/>
      <c r="AC2" s="647"/>
      <c r="AD2" s="655"/>
      <c r="AE2" s="655"/>
      <c r="AF2" s="655"/>
      <c r="AG2" s="655"/>
      <c r="AH2" s="655"/>
      <c r="AI2" s="655"/>
      <c r="AJ2" s="666"/>
    </row>
    <row r="3" ht="24" spans="1:36">
      <c r="A3" s="402" t="s">
        <v>869</v>
      </c>
      <c r="B3" s="402">
        <f>ROUND(B2/D1,0)</f>
        <v>0</v>
      </c>
      <c r="C3" s="403" t="s">
        <v>870</v>
      </c>
      <c r="D3" s="404" t="s">
        <v>1558</v>
      </c>
      <c r="E3" s="405" t="s">
        <v>1559</v>
      </c>
      <c r="F3" s="408" t="s">
        <v>1560</v>
      </c>
      <c r="G3" s="409">
        <f>项目基本情况!C15</f>
        <v>0</v>
      </c>
      <c r="H3" s="410" t="s">
        <v>1561</v>
      </c>
      <c r="I3" s="578"/>
      <c r="J3" s="574" t="s">
        <v>1562</v>
      </c>
      <c r="K3" s="541"/>
      <c r="L3" s="575" t="s">
        <v>246</v>
      </c>
      <c r="M3" s="576">
        <f>SUMPRODUCT((区片价!B29:B48=I2)*(区片价!C3:F3=E2)*(区片价!C29:F48))</f>
        <v>0</v>
      </c>
      <c r="N3" s="577">
        <f>SUMPRODUCT((因素修正幅度!B29:B48=I2)*(因素修正幅度!C3:F3=E2)*(因素修正幅度!C29:F48))</f>
        <v>0</v>
      </c>
      <c r="O3" s="541"/>
      <c r="P3" s="541"/>
      <c r="Q3" s="541"/>
      <c r="R3" s="646">
        <v>2</v>
      </c>
      <c r="S3" s="646" t="e">
        <f>ROUND(IF(G3&gt;1,IF(R3&lt;7,SUMPRODUCT((B93:B98=R3)*(C92:N92=G2)*(C93:N98)),SUMIF(C92:N92,G2,C100:N100)),IF(R3&lt;7,SUMPRODUCT((B102:B107=R3)*(C92:N92=G2)*(C102:N107)),SUMIF(C92:N92,G2,C109:N109))),4)</f>
        <v>#DIV/0!</v>
      </c>
      <c r="T3" s="646" t="e">
        <f t="shared" ref="T3:T16" si="0">ROUND($C$5*$C$18*$C$19*$C$20*S3*$C$24,0)</f>
        <v>#DIV/0!</v>
      </c>
      <c r="U3" s="648"/>
      <c r="V3" s="646" t="e">
        <f t="shared" ref="V3:V16" si="1">ROUND(T3*U3/10000,0)</f>
        <v>#DIV/0!</v>
      </c>
      <c r="W3" s="647"/>
      <c r="X3" s="647"/>
      <c r="Y3" s="647"/>
      <c r="Z3" s="647"/>
      <c r="AA3" s="647"/>
      <c r="AB3" s="647"/>
      <c r="AC3" s="647"/>
      <c r="AD3" s="655"/>
      <c r="AE3" s="655"/>
      <c r="AF3" s="655"/>
      <c r="AG3" s="655"/>
      <c r="AH3" s="655"/>
      <c r="AI3" s="655"/>
      <c r="AJ3" s="666"/>
    </row>
    <row r="4" ht="15.75" spans="1:36">
      <c r="A4" s="411"/>
      <c r="B4" s="412"/>
      <c r="C4" s="412"/>
      <c r="D4" s="413"/>
      <c r="E4" s="413"/>
      <c r="F4" s="413"/>
      <c r="G4" s="413"/>
      <c r="H4" s="413"/>
      <c r="I4" s="413"/>
      <c r="J4" s="579"/>
      <c r="K4" s="541"/>
      <c r="L4" s="575" t="s">
        <v>256</v>
      </c>
      <c r="M4" s="576">
        <f>SUMPRODUCT((区片价!B49:B75=I2)*(区片价!C3:F3=E2)*(区片价!C49:F75))</f>
        <v>0</v>
      </c>
      <c r="N4" s="577">
        <f>SUMPRODUCT((因素修正幅度!B49:B75=I2)*(因素修正幅度!C3:F3=E2)*(因素修正幅度!C49:F75))</f>
        <v>0</v>
      </c>
      <c r="O4" s="541"/>
      <c r="P4" s="541"/>
      <c r="Q4" s="541"/>
      <c r="R4" s="646">
        <v>3</v>
      </c>
      <c r="S4" s="646" t="e">
        <f>ROUND(IF(G3&gt;1,IF(R4&lt;7,SUMPRODUCT((B93:B98=R4)*(C92:N92=G2)*(C93:N98)),SUMIF(C92:N92,G2,C100:N100)),IF(R4&lt;7,SUMPRODUCT((B102:B107=R4)*(C92:N92=G2)*(C102:N107)),SUMIF(C92:N92,G2,C109:N109))),4)</f>
        <v>#DIV/0!</v>
      </c>
      <c r="T4" s="646" t="e">
        <f t="shared" si="0"/>
        <v>#DIV/0!</v>
      </c>
      <c r="U4" s="648"/>
      <c r="V4" s="646" t="e">
        <f t="shared" si="1"/>
        <v>#DIV/0!</v>
      </c>
      <c r="W4" s="647"/>
      <c r="X4" s="647"/>
      <c r="Y4" s="647"/>
      <c r="Z4" s="647"/>
      <c r="AA4" s="647"/>
      <c r="AB4" s="647"/>
      <c r="AC4" s="647"/>
      <c r="AD4" s="655"/>
      <c r="AE4" s="655"/>
      <c r="AF4" s="655"/>
      <c r="AG4" s="655"/>
      <c r="AH4" s="655"/>
      <c r="AI4" s="655"/>
      <c r="AJ4" s="666"/>
    </row>
    <row r="5" s="393" customFormat="1" ht="15.75" spans="1:36">
      <c r="A5" s="414" t="s">
        <v>1563</v>
      </c>
      <c r="B5" s="414" t="s">
        <v>1564</v>
      </c>
      <c r="C5" s="415">
        <f>ROUND(IF(E2="商业",C6*C7+C16,(IF(E2="住宅",C6*C12+C16,C6+C16))),0)</f>
        <v>0</v>
      </c>
      <c r="D5" s="416">
        <f>ROUND(C6+C16,0)</f>
        <v>0</v>
      </c>
      <c r="E5" s="416"/>
      <c r="F5" s="417"/>
      <c r="G5" s="418"/>
      <c r="H5" s="418"/>
      <c r="I5" s="418"/>
      <c r="J5" s="580"/>
      <c r="K5" s="581"/>
      <c r="L5" s="575" t="s">
        <v>1565</v>
      </c>
      <c r="M5" s="576">
        <f>SUMPRODUCT((区片价!B76:B109=I2)*(区片价!C3:F3=E2)*(区片价!C76:F109))</f>
        <v>0</v>
      </c>
      <c r="N5" s="577">
        <f>SUMPRODUCT((因素修正幅度!B76:B109=I2)*(因素修正幅度!C3:F3=E2)*(因素修正幅度!C76:F109))</f>
        <v>0</v>
      </c>
      <c r="O5" s="541"/>
      <c r="P5" s="541"/>
      <c r="Q5" s="541"/>
      <c r="R5" s="646">
        <v>4</v>
      </c>
      <c r="S5" s="646" t="e">
        <f>ROUND(IF(G3&gt;1,IF(R5&lt;7,SUMPRODUCT((B93:B98=R5)*(C92:N92=G2)*(C93:N98)),SUMIF(C92:N92,G2,C100:N100)),IF(R5&lt;7,SUMPRODUCT((B102:B107=R5)*(C92:N92=G2)*(C102:N107)),SUMIF(C92:N92,G2,C109:N109))),4)</f>
        <v>#DIV/0!</v>
      </c>
      <c r="T5" s="646" t="e">
        <f t="shared" si="0"/>
        <v>#DIV/0!</v>
      </c>
      <c r="U5" s="648"/>
      <c r="V5" s="646" t="e">
        <f t="shared" si="1"/>
        <v>#DIV/0!</v>
      </c>
      <c r="W5" s="647"/>
      <c r="X5" s="647"/>
      <c r="Y5" s="647"/>
      <c r="Z5" s="647"/>
      <c r="AA5" s="647"/>
      <c r="AB5" s="647"/>
      <c r="AC5" s="656"/>
      <c r="AD5" s="657"/>
      <c r="AE5" s="657"/>
      <c r="AF5" s="657"/>
      <c r="AG5" s="657"/>
      <c r="AH5" s="657"/>
      <c r="AI5" s="657"/>
      <c r="AJ5" s="667"/>
    </row>
    <row r="6" ht="15.75" spans="1:36">
      <c r="A6" s="419">
        <v>1</v>
      </c>
      <c r="B6" s="420" t="s">
        <v>1566</v>
      </c>
      <c r="C6" s="421">
        <f>SUMIF(L1:L12,G2,M1:M12)</f>
        <v>0</v>
      </c>
      <c r="D6" s="422" t="s">
        <v>1567</v>
      </c>
      <c r="E6" s="420"/>
      <c r="F6" s="420"/>
      <c r="G6" s="423"/>
      <c r="H6" s="423"/>
      <c r="I6" s="423"/>
      <c r="J6" s="582"/>
      <c r="K6" s="583"/>
      <c r="L6" s="575" t="s">
        <v>270</v>
      </c>
      <c r="M6" s="576">
        <f>SUMPRODUCT((区片价!B110:B157=I2)*(区片价!C3:F3=E2)*(区片价!C110:F157))</f>
        <v>0</v>
      </c>
      <c r="N6" s="577">
        <f>SUMPRODUCT((因素修正幅度!B110:B157=I2)*(因素修正幅度!C3:F3=E2)*(因素修正幅度!C110:F157))</f>
        <v>0</v>
      </c>
      <c r="O6" s="541"/>
      <c r="P6" s="541"/>
      <c r="Q6" s="541"/>
      <c r="R6" s="646">
        <v>5</v>
      </c>
      <c r="S6" s="646" t="e">
        <f>ROUND(IF(G3&gt;1,IF(R6&lt;7,SUMPRODUCT((B93:B98=R6)*(C92:N92=G2)*(C93:N98)),SUMIF(C92:N92,G2,C100:N100)),IF(R6&lt;7,SUMPRODUCT((B102:B107=R6)*(C92:N92=G2)*(C102:N107)),SUMIF(C92:N92,G2,C109:N109))),4)</f>
        <v>#DIV/0!</v>
      </c>
      <c r="T6" s="646" t="e">
        <f t="shared" si="0"/>
        <v>#DIV/0!</v>
      </c>
      <c r="U6" s="648"/>
      <c r="V6" s="646" t="e">
        <f t="shared" si="1"/>
        <v>#DIV/0!</v>
      </c>
      <c r="W6" s="647"/>
      <c r="X6" s="647"/>
      <c r="Y6" s="647"/>
      <c r="Z6" s="647"/>
      <c r="AA6" s="647"/>
      <c r="AB6" s="647"/>
      <c r="AC6" s="656"/>
      <c r="AD6" s="657"/>
      <c r="AE6" s="657"/>
      <c r="AF6" s="657"/>
      <c r="AG6" s="657"/>
      <c r="AH6" s="657"/>
      <c r="AI6" s="657"/>
      <c r="AJ6" s="667"/>
    </row>
    <row r="7" ht="24" spans="1:36">
      <c r="A7" s="424" t="str">
        <f>IF(E2="商业",IF(C8="不临58条商业街","",2),"")</f>
        <v/>
      </c>
      <c r="B7" s="425" t="s">
        <v>1568</v>
      </c>
      <c r="C7" s="426" t="e">
        <f>IF(C8="不临58条商业街",1,ROUND(1+(1.6*E8+1.2*E9+0.8*E10+0.4*E11)*C9,4))</f>
        <v>#DIV/0!</v>
      </c>
      <c r="D7" s="427" t="s">
        <v>1569</v>
      </c>
      <c r="E7" s="428"/>
      <c r="F7" s="429"/>
      <c r="G7" s="429"/>
      <c r="H7" s="429"/>
      <c r="I7" s="429"/>
      <c r="J7" s="584"/>
      <c r="K7" s="583"/>
      <c r="L7" s="575" t="s">
        <v>275</v>
      </c>
      <c r="M7" s="576">
        <f>SUMPRODUCT((区片价!B158:B205=I2)*(区片价!C3:F3=E2)*(区片价!C158:F205))</f>
        <v>0</v>
      </c>
      <c r="N7" s="577">
        <f>SUMPRODUCT((因素修正幅度!B158:B205=I2)*(因素修正幅度!C3:F3=E2)*(因素修正幅度!C158:F205))</f>
        <v>0</v>
      </c>
      <c r="O7" s="541"/>
      <c r="P7" s="541"/>
      <c r="Q7" s="541"/>
      <c r="R7" s="646">
        <v>6</v>
      </c>
      <c r="S7" s="646" t="e">
        <f>ROUND(IF(G3&gt;1,IF(R7&lt;7,SUMPRODUCT((B93:B98=R7)*(C92:N92=G2)*(C93:N98)),SUMIF(C92:N92,G2,C100:N100)),IF(R7&lt;7,SUMPRODUCT((B102:B107=R7)*(C92:N92=G2)*(C102:N107)),SUMIF(C92:N92,G2,C109:N109))),4)</f>
        <v>#DIV/0!</v>
      </c>
      <c r="T7" s="646" t="e">
        <f t="shared" si="0"/>
        <v>#DIV/0!</v>
      </c>
      <c r="U7" s="648"/>
      <c r="V7" s="646" t="e">
        <f t="shared" si="1"/>
        <v>#DIV/0!</v>
      </c>
      <c r="W7" s="649" t="s">
        <v>1570</v>
      </c>
      <c r="X7" s="650">
        <f>G2</f>
        <v>0</v>
      </c>
      <c r="Y7" s="650" t="s">
        <v>1560</v>
      </c>
      <c r="Z7" s="658">
        <f>G3</f>
        <v>0</v>
      </c>
      <c r="AA7" s="647"/>
      <c r="AB7" s="647"/>
      <c r="AC7" s="647"/>
      <c r="AD7" s="655"/>
      <c r="AE7" s="655"/>
      <c r="AF7" s="655"/>
      <c r="AG7" s="655"/>
      <c r="AH7" s="655"/>
      <c r="AI7" s="655"/>
      <c r="AJ7" s="666"/>
    </row>
    <row r="8" ht="15" spans="1:36">
      <c r="A8" s="430"/>
      <c r="B8" s="410" t="s">
        <v>1571</v>
      </c>
      <c r="C8" s="431"/>
      <c r="D8" s="432" t="s">
        <v>1572</v>
      </c>
      <c r="E8" s="433" t="e">
        <f>ROUND(C11/E7,4)</f>
        <v>#DIV/0!</v>
      </c>
      <c r="F8" s="434" t="s">
        <v>1573</v>
      </c>
      <c r="G8" s="435"/>
      <c r="H8" s="435"/>
      <c r="I8" s="435"/>
      <c r="J8" s="585"/>
      <c r="K8" s="541"/>
      <c r="L8" s="575" t="s">
        <v>281</v>
      </c>
      <c r="M8" s="576">
        <f>SUMPRODUCT((区片价!B206:B244=I2)*(区片价!C3:F3=E2)*(区片价!C206:F244))</f>
        <v>0</v>
      </c>
      <c r="N8" s="577">
        <f>SUMPRODUCT((因素修正幅度!B206:B244=I2)*(因素修正幅度!C3:F3=E2)*(因素修正幅度!C206:F244))</f>
        <v>0</v>
      </c>
      <c r="O8" s="541"/>
      <c r="P8" s="541"/>
      <c r="Q8" s="541"/>
      <c r="R8" s="646">
        <v>7</v>
      </c>
      <c r="S8" s="648"/>
      <c r="T8" s="646">
        <f t="shared" si="0"/>
        <v>0</v>
      </c>
      <c r="U8" s="648"/>
      <c r="V8" s="646">
        <f t="shared" si="1"/>
        <v>0</v>
      </c>
      <c r="W8" s="651" t="s">
        <v>1574</v>
      </c>
      <c r="X8" s="649"/>
      <c r="Y8" s="659" t="s">
        <v>1575</v>
      </c>
      <c r="Z8" s="659" t="s">
        <v>1576</v>
      </c>
      <c r="AA8" s="659" t="s">
        <v>1577</v>
      </c>
      <c r="AB8" s="659" t="s">
        <v>1578</v>
      </c>
      <c r="AC8" s="659" t="s">
        <v>1579</v>
      </c>
      <c r="AD8" s="659" t="s">
        <v>1580</v>
      </c>
      <c r="AE8" s="659" t="s">
        <v>1581</v>
      </c>
      <c r="AF8" s="659" t="s">
        <v>1582</v>
      </c>
      <c r="AG8" s="659" t="s">
        <v>1583</v>
      </c>
      <c r="AH8" s="659" t="s">
        <v>1584</v>
      </c>
      <c r="AI8" s="659" t="s">
        <v>1585</v>
      </c>
      <c r="AJ8" s="659" t="s">
        <v>1586</v>
      </c>
    </row>
    <row r="9" ht="15" spans="1:36">
      <c r="A9" s="430"/>
      <c r="B9" s="410" t="s">
        <v>1587</v>
      </c>
      <c r="C9" s="436">
        <f>SUMIF(修正!C59:C119,C8,修正!E59:E119)</f>
        <v>0</v>
      </c>
      <c r="D9" s="410" t="s">
        <v>1588</v>
      </c>
      <c r="E9" s="410" t="e">
        <f>ROUND(C11/E7,4)</f>
        <v>#DIV/0!</v>
      </c>
      <c r="F9" s="434" t="s">
        <v>1589</v>
      </c>
      <c r="G9" s="435"/>
      <c r="H9" s="435"/>
      <c r="I9" s="435"/>
      <c r="J9" s="585"/>
      <c r="K9" s="541"/>
      <c r="L9" s="575" t="s">
        <v>285</v>
      </c>
      <c r="M9" s="576">
        <f>SUMPRODUCT((区片价!B245:B289=I2)*(区片价!C3:F3=E2)*(区片价!C245:F289))</f>
        <v>0</v>
      </c>
      <c r="N9" s="577">
        <f>SUMPRODUCT((因素修正幅度!B245:B289=I2)*(因素修正幅度!C3:F3=E2)*(因素修正幅度!C245:F289))</f>
        <v>0</v>
      </c>
      <c r="O9" s="541"/>
      <c r="P9" s="541"/>
      <c r="Q9" s="541"/>
      <c r="R9" s="646">
        <v>8</v>
      </c>
      <c r="S9" s="648"/>
      <c r="T9" s="646">
        <f t="shared" si="0"/>
        <v>0</v>
      </c>
      <c r="U9" s="648"/>
      <c r="V9" s="646">
        <f t="shared" si="1"/>
        <v>0</v>
      </c>
      <c r="W9" s="649" t="s">
        <v>1590</v>
      </c>
      <c r="X9" s="652" t="s">
        <v>1591</v>
      </c>
      <c r="Y9" s="660"/>
      <c r="Z9" s="661">
        <f>$Y$9</f>
        <v>0</v>
      </c>
      <c r="AA9" s="661">
        <f t="shared" ref="AA9:AJ9" si="2">$Y$9</f>
        <v>0</v>
      </c>
      <c r="AB9" s="661">
        <f t="shared" si="2"/>
        <v>0</v>
      </c>
      <c r="AC9" s="661">
        <f t="shared" si="2"/>
        <v>0</v>
      </c>
      <c r="AD9" s="661">
        <f t="shared" si="2"/>
        <v>0</v>
      </c>
      <c r="AE9" s="661">
        <f t="shared" si="2"/>
        <v>0</v>
      </c>
      <c r="AF9" s="661">
        <f t="shared" si="2"/>
        <v>0</v>
      </c>
      <c r="AG9" s="661">
        <f t="shared" si="2"/>
        <v>0</v>
      </c>
      <c r="AH9" s="661">
        <f t="shared" si="2"/>
        <v>0</v>
      </c>
      <c r="AI9" s="661">
        <f t="shared" si="2"/>
        <v>0</v>
      </c>
      <c r="AJ9" s="661">
        <f t="shared" si="2"/>
        <v>0</v>
      </c>
    </row>
    <row r="10" ht="15" spans="1:36">
      <c r="A10" s="430"/>
      <c r="B10" s="410" t="s">
        <v>1592</v>
      </c>
      <c r="C10" s="410">
        <f>SUMIF(修正!C59:C119,C8,修正!F59:F119)</f>
        <v>0</v>
      </c>
      <c r="D10" s="410" t="s">
        <v>1593</v>
      </c>
      <c r="E10" s="410" t="e">
        <f>ROUND(C11/E7,4)</f>
        <v>#DIV/0!</v>
      </c>
      <c r="F10" s="434" t="s">
        <v>1594</v>
      </c>
      <c r="G10" s="435"/>
      <c r="H10" s="435"/>
      <c r="I10" s="435"/>
      <c r="J10" s="585"/>
      <c r="K10" s="541"/>
      <c r="L10" s="575" t="s">
        <v>288</v>
      </c>
      <c r="M10" s="576">
        <f>SUMPRODUCT((区片价!B290:B316=I2)*(区片价!C3:F3=E2)*(区片价!C290:F316))</f>
        <v>0</v>
      </c>
      <c r="N10" s="577">
        <f>SUMPRODUCT((因素修正幅度!B290:B316=I2)*(因素修正幅度!C3:F3=E2)*(因素修正幅度!C290:F316))</f>
        <v>0</v>
      </c>
      <c r="O10" s="541"/>
      <c r="P10" s="541"/>
      <c r="Q10" s="541"/>
      <c r="R10" s="646">
        <v>9</v>
      </c>
      <c r="S10" s="648"/>
      <c r="T10" s="646">
        <f t="shared" si="0"/>
        <v>0</v>
      </c>
      <c r="U10" s="648"/>
      <c r="V10" s="646">
        <f t="shared" si="1"/>
        <v>0</v>
      </c>
      <c r="W10" s="649"/>
      <c r="X10" s="652">
        <v>7</v>
      </c>
      <c r="Y10" s="662">
        <f>(-0.163*(Y9^2)-0.59*Y9+7617)*(10^(-4))</f>
        <v>0.7617</v>
      </c>
      <c r="Z10" s="662">
        <f>(-0.163*(Z9^2)-0.59*Z9+7617)*(10^(-4))</f>
        <v>0.7617</v>
      </c>
      <c r="AA10" s="662">
        <f>(-0.161*(AA9^2)-7.509*AA9+6533)*(10^(-4))</f>
        <v>0.6533</v>
      </c>
      <c r="AB10" s="662">
        <f>(-0.161*(AB9^2)-7.509*AB9+6533)*(10^(-4))</f>
        <v>0.6533</v>
      </c>
      <c r="AC10" s="662">
        <f>(-0.161*(AC9^2)-7.509*AC9+6533)*(10^(-4))</f>
        <v>0.6533</v>
      </c>
      <c r="AD10" s="662">
        <f>(-0.161*(AD9^2)-7.509*AD9+6533)*(10^(-4))</f>
        <v>0.6533</v>
      </c>
      <c r="AE10" s="662">
        <f>(-0.161*(AE9^2)-7.509*AE9+6533)*(10^(-4))</f>
        <v>0.6533</v>
      </c>
      <c r="AF10" s="662">
        <f>(-0.214*(AF9^2)-21.991*AF9+4665)*(10^(-4))</f>
        <v>0.4665</v>
      </c>
      <c r="AG10" s="662">
        <f>(-0.214*(AG9^2)-21.991*AG9+4665)*(10^(-4))</f>
        <v>0.4665</v>
      </c>
      <c r="AH10" s="662">
        <f>(-0.214*(AH9^2)-21.991*AH9+4665)*(10^(-4))</f>
        <v>0.4665</v>
      </c>
      <c r="AI10" s="662">
        <f>(-0.214*(AI9^2)-21.991*AI9+4665)*(10^(-4))</f>
        <v>0.4665</v>
      </c>
      <c r="AJ10" s="662">
        <f>(-0.214*(AJ9^2)-21.991*AJ9+4665)*(10^(-4))</f>
        <v>0.4665</v>
      </c>
    </row>
    <row r="11" ht="15.75" spans="1:36">
      <c r="A11" s="430"/>
      <c r="B11" s="437" t="s">
        <v>1595</v>
      </c>
      <c r="C11" s="437">
        <f>C10/4</f>
        <v>0</v>
      </c>
      <c r="D11" s="437" t="s">
        <v>1596</v>
      </c>
      <c r="E11" s="437" t="e">
        <f>ROUND(C11/E7,4)</f>
        <v>#DIV/0!</v>
      </c>
      <c r="F11" s="438" t="s">
        <v>1597</v>
      </c>
      <c r="G11" s="439"/>
      <c r="H11" s="439"/>
      <c r="I11" s="439"/>
      <c r="J11" s="586"/>
      <c r="K11" s="541"/>
      <c r="L11" s="575" t="s">
        <v>291</v>
      </c>
      <c r="M11" s="576">
        <f>SUMPRODUCT((区片价!B317:B337=I2)*(区片价!C3:F3=E2)*(区片价!C317:F337))</f>
        <v>0</v>
      </c>
      <c r="N11" s="577">
        <f>SUMPRODUCT((因素修正幅度!B317:B337=I2)*(因素修正幅度!C3:F3=E2)*(因素修正幅度!C317:F337))</f>
        <v>0</v>
      </c>
      <c r="O11" s="541"/>
      <c r="P11" s="541"/>
      <c r="Q11" s="541"/>
      <c r="R11" s="646">
        <v>10</v>
      </c>
      <c r="S11" s="648"/>
      <c r="T11" s="646">
        <f t="shared" si="0"/>
        <v>0</v>
      </c>
      <c r="U11" s="648"/>
      <c r="V11" s="646">
        <f t="shared" si="1"/>
        <v>0</v>
      </c>
      <c r="W11" s="649" t="s">
        <v>1598</v>
      </c>
      <c r="X11" s="653" t="s">
        <v>1560</v>
      </c>
      <c r="Y11" s="663">
        <f>$G$3</f>
        <v>0</v>
      </c>
      <c r="Z11" s="663">
        <f t="shared" ref="Z11:AJ11" si="3">$G$3</f>
        <v>0</v>
      </c>
      <c r="AA11" s="663">
        <f t="shared" si="3"/>
        <v>0</v>
      </c>
      <c r="AB11" s="663">
        <f t="shared" si="3"/>
        <v>0</v>
      </c>
      <c r="AC11" s="663">
        <f t="shared" si="3"/>
        <v>0</v>
      </c>
      <c r="AD11" s="663">
        <f t="shared" si="3"/>
        <v>0</v>
      </c>
      <c r="AE11" s="663">
        <f t="shared" si="3"/>
        <v>0</v>
      </c>
      <c r="AF11" s="663">
        <f t="shared" si="3"/>
        <v>0</v>
      </c>
      <c r="AG11" s="663">
        <f t="shared" si="3"/>
        <v>0</v>
      </c>
      <c r="AH11" s="663">
        <f t="shared" si="3"/>
        <v>0</v>
      </c>
      <c r="AI11" s="663">
        <f t="shared" si="3"/>
        <v>0</v>
      </c>
      <c r="AJ11" s="663">
        <f t="shared" si="3"/>
        <v>0</v>
      </c>
    </row>
    <row r="12" ht="25.5" spans="1:36">
      <c r="A12" s="424">
        <f>IF(E2="住宅",2,"")</f>
        <v>2</v>
      </c>
      <c r="B12" s="440" t="s">
        <v>1599</v>
      </c>
      <c r="C12" s="426">
        <f>ROUND(C15*D15*E15*F15*G15*H15*I15*J15,4)</f>
        <v>1.32</v>
      </c>
      <c r="D12" s="441" t="s">
        <v>1600</v>
      </c>
      <c r="E12" s="442"/>
      <c r="F12" s="442"/>
      <c r="G12" s="442"/>
      <c r="H12" s="442"/>
      <c r="I12" s="442"/>
      <c r="J12" s="587"/>
      <c r="K12" s="541"/>
      <c r="L12" s="588" t="s">
        <v>294</v>
      </c>
      <c r="M12" s="589">
        <f>SUMPRODUCT((区片价!B338:B344=I2)*(区片价!C3:F3=E2)*(区片价!C338:F344))</f>
        <v>0</v>
      </c>
      <c r="N12" s="590">
        <f>SUMPRODUCT((因素修正幅度!B338:B344=I2)*(因素修正幅度!C3:F3=E2)*(因素修正幅度!C338:F344))</f>
        <v>0</v>
      </c>
      <c r="O12" s="541"/>
      <c r="P12" s="541"/>
      <c r="Q12" s="541"/>
      <c r="R12" s="646">
        <v>11</v>
      </c>
      <c r="S12" s="648"/>
      <c r="T12" s="646">
        <f t="shared" si="0"/>
        <v>0</v>
      </c>
      <c r="U12" s="648"/>
      <c r="V12" s="646">
        <f t="shared" si="1"/>
        <v>0</v>
      </c>
      <c r="W12" s="649"/>
      <c r="X12" s="654" t="s">
        <v>1601</v>
      </c>
      <c r="Y12" s="661">
        <f t="shared" ref="Y12:AJ12" si="4">Y9</f>
        <v>0</v>
      </c>
      <c r="Z12" s="661">
        <f t="shared" si="4"/>
        <v>0</v>
      </c>
      <c r="AA12" s="661">
        <f t="shared" si="4"/>
        <v>0</v>
      </c>
      <c r="AB12" s="661">
        <f t="shared" si="4"/>
        <v>0</v>
      </c>
      <c r="AC12" s="661">
        <f t="shared" si="4"/>
        <v>0</v>
      </c>
      <c r="AD12" s="661">
        <f t="shared" si="4"/>
        <v>0</v>
      </c>
      <c r="AE12" s="661">
        <f t="shared" si="4"/>
        <v>0</v>
      </c>
      <c r="AF12" s="661">
        <f t="shared" si="4"/>
        <v>0</v>
      </c>
      <c r="AG12" s="661">
        <f t="shared" si="4"/>
        <v>0</v>
      </c>
      <c r="AH12" s="661">
        <f t="shared" si="4"/>
        <v>0</v>
      </c>
      <c r="AI12" s="661">
        <f t="shared" si="4"/>
        <v>0</v>
      </c>
      <c r="AJ12" s="661">
        <f t="shared" si="4"/>
        <v>0</v>
      </c>
    </row>
    <row r="13" ht="24" spans="1:36">
      <c r="A13" s="443"/>
      <c r="B13" s="444" t="s">
        <v>1602</v>
      </c>
      <c r="C13" s="445" t="s">
        <v>1603</v>
      </c>
      <c r="D13" s="446" t="s">
        <v>1604</v>
      </c>
      <c r="E13" s="446" t="s">
        <v>1605</v>
      </c>
      <c r="F13" s="447" t="s">
        <v>1606</v>
      </c>
      <c r="G13" s="448" t="s">
        <v>1607</v>
      </c>
      <c r="H13" s="448" t="s">
        <v>1607</v>
      </c>
      <c r="I13" s="448" t="s">
        <v>1607</v>
      </c>
      <c r="J13" s="591" t="s">
        <v>1607</v>
      </c>
      <c r="K13" s="541"/>
      <c r="L13" s="541"/>
      <c r="M13" s="541"/>
      <c r="N13" s="541"/>
      <c r="O13" s="541"/>
      <c r="P13" s="541"/>
      <c r="Q13" s="541"/>
      <c r="R13" s="646">
        <v>12</v>
      </c>
      <c r="S13" s="648"/>
      <c r="T13" s="646">
        <f t="shared" si="0"/>
        <v>0</v>
      </c>
      <c r="U13" s="648"/>
      <c r="V13" s="646">
        <f t="shared" si="1"/>
        <v>0</v>
      </c>
      <c r="W13" s="649"/>
      <c r="X13" s="654"/>
      <c r="Y13" s="662" t="e">
        <f>(-0.163*(Y12^2)-0.59*Y12+7617)*(10^(-4))/Y11</f>
        <v>#DIV/0!</v>
      </c>
      <c r="Z13" s="662" t="e">
        <f t="shared" ref="Z13:AJ13" si="5">(-0.163*(Z12^2)-0.59*Z12+7617)*(10^(-4))/Z11</f>
        <v>#DIV/0!</v>
      </c>
      <c r="AA13" s="662" t="e">
        <f t="shared" si="5"/>
        <v>#DIV/0!</v>
      </c>
      <c r="AB13" s="662" t="e">
        <f t="shared" si="5"/>
        <v>#DIV/0!</v>
      </c>
      <c r="AC13" s="662" t="e">
        <f t="shared" si="5"/>
        <v>#DIV/0!</v>
      </c>
      <c r="AD13" s="662" t="e">
        <f t="shared" si="5"/>
        <v>#DIV/0!</v>
      </c>
      <c r="AE13" s="662" t="e">
        <f t="shared" si="5"/>
        <v>#DIV/0!</v>
      </c>
      <c r="AF13" s="662" t="e">
        <f t="shared" si="5"/>
        <v>#DIV/0!</v>
      </c>
      <c r="AG13" s="662" t="e">
        <f t="shared" si="5"/>
        <v>#DIV/0!</v>
      </c>
      <c r="AH13" s="662" t="e">
        <f t="shared" si="5"/>
        <v>#DIV/0!</v>
      </c>
      <c r="AI13" s="662" t="e">
        <f t="shared" si="5"/>
        <v>#DIV/0!</v>
      </c>
      <c r="AJ13" s="662" t="e">
        <f t="shared" si="5"/>
        <v>#DIV/0!</v>
      </c>
    </row>
    <row r="14" ht="15" spans="1:36">
      <c r="A14" s="443"/>
      <c r="B14" s="446"/>
      <c r="C14" s="449" t="s">
        <v>1608</v>
      </c>
      <c r="D14" s="450" t="s">
        <v>1609</v>
      </c>
      <c r="E14" s="450" t="s">
        <v>1609</v>
      </c>
      <c r="F14" s="451" t="s">
        <v>1610</v>
      </c>
      <c r="G14" s="452" t="s">
        <v>1611</v>
      </c>
      <c r="H14" s="453"/>
      <c r="I14" s="592"/>
      <c r="J14" s="593"/>
      <c r="K14" s="541"/>
      <c r="L14" s="541"/>
      <c r="M14" s="541"/>
      <c r="N14" s="541"/>
      <c r="O14" s="541"/>
      <c r="P14" s="541"/>
      <c r="Q14" s="541"/>
      <c r="R14" s="646">
        <v>13</v>
      </c>
      <c r="S14" s="648"/>
      <c r="T14" s="646">
        <f t="shared" si="0"/>
        <v>0</v>
      </c>
      <c r="U14" s="648"/>
      <c r="V14" s="646">
        <f t="shared" si="1"/>
        <v>0</v>
      </c>
      <c r="W14" s="647"/>
      <c r="X14" s="647"/>
      <c r="Y14" s="647"/>
      <c r="Z14" s="647"/>
      <c r="AA14" s="647"/>
      <c r="AB14" s="647"/>
      <c r="AC14" s="647"/>
      <c r="AD14" s="655"/>
      <c r="AE14" s="655"/>
      <c r="AF14" s="655"/>
      <c r="AG14" s="655"/>
      <c r="AH14" s="655"/>
      <c r="AI14" s="655"/>
      <c r="AJ14" s="666"/>
    </row>
    <row r="15" ht="15.75" spans="1:36">
      <c r="A15" s="454"/>
      <c r="B15" s="455" t="s">
        <v>1445</v>
      </c>
      <c r="C15" s="456">
        <f>IF(C14="有",1.1,1)</f>
        <v>1.1</v>
      </c>
      <c r="D15" s="456">
        <f>IF(D14="有",1.1,1)</f>
        <v>1</v>
      </c>
      <c r="E15" s="456">
        <f>IF(E14="有",1.1,1)</f>
        <v>1</v>
      </c>
      <c r="F15" s="456">
        <f>IF(F14="500米范围内",1.2,IF(F14="500-1000米",1.1,1))</f>
        <v>1.2</v>
      </c>
      <c r="G15" s="457">
        <v>1</v>
      </c>
      <c r="H15" s="457">
        <v>1</v>
      </c>
      <c r="I15" s="457">
        <v>1</v>
      </c>
      <c r="J15" s="594">
        <v>1</v>
      </c>
      <c r="K15" s="541"/>
      <c r="L15" s="541"/>
      <c r="M15" s="541"/>
      <c r="N15" s="541"/>
      <c r="O15" s="541"/>
      <c r="P15" s="541"/>
      <c r="Q15" s="541"/>
      <c r="R15" s="646">
        <v>14</v>
      </c>
      <c r="S15" s="648"/>
      <c r="T15" s="646">
        <f t="shared" si="0"/>
        <v>0</v>
      </c>
      <c r="U15" s="648"/>
      <c r="V15" s="646">
        <f t="shared" si="1"/>
        <v>0</v>
      </c>
      <c r="W15" s="647"/>
      <c r="X15" s="647"/>
      <c r="Y15" s="647"/>
      <c r="Z15" s="647"/>
      <c r="AA15" s="647"/>
      <c r="AB15" s="647"/>
      <c r="AC15" s="647"/>
      <c r="AD15" s="655"/>
      <c r="AE15" s="655"/>
      <c r="AF15" s="655"/>
      <c r="AG15" s="655"/>
      <c r="AH15" s="655"/>
      <c r="AI15" s="655"/>
      <c r="AJ15" s="666"/>
    </row>
    <row r="16" ht="24.6" customHeight="1" spans="1:36">
      <c r="A16" s="458">
        <f>IF(E2="办公",2,IF(E2="工业",2,IF(E2="住宅",3,IF(E2="商业",IF(C8="不临58条商业街",2,3)))))</f>
        <v>3</v>
      </c>
      <c r="B16" s="459" t="s">
        <v>1612</v>
      </c>
      <c r="C16" s="425">
        <f>ROUND(IF(F17="与级别开发程度一致",0,(G17-E17)/C17),0)</f>
        <v>0</v>
      </c>
      <c r="D16" s="460" t="s">
        <v>1613</v>
      </c>
      <c r="E16" s="461"/>
      <c r="F16" s="460" t="s">
        <v>1614</v>
      </c>
      <c r="G16" s="461"/>
      <c r="H16" s="462"/>
      <c r="I16" s="462"/>
      <c r="J16" s="595"/>
      <c r="K16" s="462"/>
      <c r="L16" s="462"/>
      <c r="M16" s="462"/>
      <c r="N16" s="462"/>
      <c r="O16" s="596"/>
      <c r="P16" s="541"/>
      <c r="Q16" s="541"/>
      <c r="R16" s="646">
        <v>15</v>
      </c>
      <c r="S16" s="648"/>
      <c r="T16" s="646">
        <f t="shared" si="0"/>
        <v>0</v>
      </c>
      <c r="U16" s="648"/>
      <c r="V16" s="646">
        <f t="shared" si="1"/>
        <v>0</v>
      </c>
      <c r="W16" s="647"/>
      <c r="X16" s="647"/>
      <c r="Y16" s="647"/>
      <c r="Z16" s="647"/>
      <c r="AA16" s="647"/>
      <c r="AB16" s="647"/>
      <c r="AC16" s="647"/>
      <c r="AD16" s="655"/>
      <c r="AE16" s="655"/>
      <c r="AF16" s="655"/>
      <c r="AG16" s="655"/>
      <c r="AH16" s="655"/>
      <c r="AI16" s="655"/>
      <c r="AJ16" s="666"/>
    </row>
    <row r="17" ht="24.75" spans="1:32">
      <c r="A17" s="463"/>
      <c r="B17" s="464" t="s">
        <v>1615</v>
      </c>
      <c r="C17" s="465">
        <f>SUMPRODUCT((修正!A2:A5=E2)*(修正!B1:M1=G2)*(修正!B2:M5))</f>
        <v>0</v>
      </c>
      <c r="D17" s="456" t="str">
        <f>IF(OR(G2="八级",G2="九级",G2="十级",G2="十一级",G2="十二级"),"五通一平","七通一平")</f>
        <v>七通一平</v>
      </c>
      <c r="E17" s="466">
        <f>SUMPRODUCT((修正!B1:M1=G2)*(修正!B15:M15))</f>
        <v>0</v>
      </c>
      <c r="F17" s="467" t="s">
        <v>1616</v>
      </c>
      <c r="G17" s="468">
        <f>SUM(H17:O17)</f>
        <v>0</v>
      </c>
      <c r="H17" s="465">
        <f>SUMPRODUCT((七通一平=H16)*(修正!B1:M1=G2)*(修正!B6:M14))</f>
        <v>0</v>
      </c>
      <c r="I17" s="465">
        <f>SUMPRODUCT((七通一平=I16)*(修正!B1:M1=G2)*(修正!B6:M14))</f>
        <v>0</v>
      </c>
      <c r="J17" s="510">
        <f>SUMPRODUCT((七通一平=J16)*(修正!B1:M1=G2)*(修正!B6:M14))</f>
        <v>0</v>
      </c>
      <c r="K17" s="465">
        <f>SUMPRODUCT((七通一平=K16)*(修正!B1:M1=G2)*(修正!B6:M14))</f>
        <v>0</v>
      </c>
      <c r="L17" s="465">
        <f>SUMPRODUCT((七通一平=L16)*(修正!B1:M1=G2)*(修正!B6:M14))</f>
        <v>0</v>
      </c>
      <c r="M17" s="465">
        <f>SUMPRODUCT((七通一平=M16)*(修正!B1:M1=G2)*(修正!B6:M14))</f>
        <v>0</v>
      </c>
      <c r="N17" s="465">
        <f>SUMPRODUCT((七通一平=N16)*(修正!B1:M1=G2)*(修正!B6:M14))</f>
        <v>0</v>
      </c>
      <c r="O17" s="597">
        <f>SUMPRODUCT((七通一平=O16)*(修正!B1:M1=G2)*(修正!B6:M14))</f>
        <v>0</v>
      </c>
      <c r="P17" s="541"/>
      <c r="Q17" s="541"/>
      <c r="R17" s="396"/>
      <c r="S17" s="396"/>
      <c r="T17" s="396"/>
      <c r="U17" s="396"/>
      <c r="V17" s="396"/>
      <c r="W17" s="396"/>
      <c r="X17" s="396"/>
      <c r="Y17" s="396"/>
      <c r="Z17" s="396"/>
      <c r="AA17" s="396"/>
      <c r="AB17" s="396"/>
      <c r="AC17" s="396"/>
      <c r="AD17" s="396"/>
      <c r="AE17" s="396"/>
      <c r="AF17" s="396"/>
    </row>
    <row r="18" s="393" customFormat="1" ht="15.75" spans="1:35">
      <c r="A18" s="469" t="s">
        <v>1617</v>
      </c>
      <c r="B18" s="470" t="s">
        <v>1618</v>
      </c>
      <c r="C18" s="471">
        <f>SUMIF(修正!C18:C39,E3,修正!E18:E39)</f>
        <v>1</v>
      </c>
      <c r="D18" s="472"/>
      <c r="E18" s="473"/>
      <c r="F18" s="473"/>
      <c r="G18" s="473"/>
      <c r="H18" s="473"/>
      <c r="I18" s="473"/>
      <c r="J18" s="598"/>
      <c r="K18" s="599"/>
      <c r="L18" s="599"/>
      <c r="M18" s="599"/>
      <c r="N18" s="599"/>
      <c r="O18" s="541"/>
      <c r="P18" s="541"/>
      <c r="Q18" s="541"/>
      <c r="R18" s="541"/>
      <c r="S18" s="541"/>
      <c r="T18" s="541"/>
      <c r="U18" s="541"/>
      <c r="V18" s="541"/>
      <c r="W18" s="541"/>
      <c r="X18" s="396"/>
      <c r="Y18" s="396"/>
      <c r="Z18" s="396"/>
      <c r="AA18" s="396"/>
      <c r="AB18" s="396"/>
      <c r="AC18" s="396"/>
      <c r="AD18" s="396"/>
      <c r="AE18" s="396"/>
      <c r="AF18" s="396"/>
      <c r="AG18" s="395"/>
      <c r="AH18" s="395"/>
      <c r="AI18" s="395"/>
    </row>
    <row r="19" s="393" customFormat="1" ht="27.75" spans="1:34">
      <c r="A19" s="469" t="s">
        <v>1619</v>
      </c>
      <c r="B19" s="474" t="s">
        <v>1620</v>
      </c>
      <c r="C19" s="475">
        <f>ROUND(IF(H19="按公示增长率计算",SUMPRODUCT((地价!A3:A36=YEAR(G19)&amp;"-"&amp;ROUNDUP(MONTH(G19)/3,0))*(地价!X2:AB2=E2)*(地价!X3:AB36)),IF(H19="地价指数",M20/M19,(1+I19)^O19)),4)</f>
        <v>0</v>
      </c>
      <c r="D19" s="476" t="s">
        <v>1621</v>
      </c>
      <c r="E19" s="477">
        <v>41640</v>
      </c>
      <c r="F19" s="476" t="s">
        <v>1622</v>
      </c>
      <c r="G19" s="478">
        <f>'数据-取费表'!B2</f>
        <v>44567</v>
      </c>
      <c r="H19" s="479" t="s">
        <v>1623</v>
      </c>
      <c r="I19" s="600" t="str">
        <f>IF(H19="季度增幅（自定义）",SUMIF(N21:N24,E2,O21:O24),"")</f>
        <v/>
      </c>
      <c r="J19" s="601"/>
      <c r="K19" s="599"/>
      <c r="L19" s="602" t="s">
        <v>1624</v>
      </c>
      <c r="M19" s="603">
        <f>ROUND(SUMIF(地价!B2:F2,E2,地价!B36:F36),0)</f>
        <v>423</v>
      </c>
      <c r="N19" s="604" t="s">
        <v>1625</v>
      </c>
      <c r="O19" s="605">
        <f>ROUNDDOWN(DATEDIF(E19,G19,"M")/3,0)</f>
        <v>32</v>
      </c>
      <c r="P19" s="541"/>
      <c r="Q19" s="599"/>
      <c r="R19" s="541"/>
      <c r="S19" s="541"/>
      <c r="T19" s="541"/>
      <c r="U19" s="541"/>
      <c r="V19" s="541"/>
      <c r="W19" s="541"/>
      <c r="X19" s="396"/>
      <c r="Y19" s="396"/>
      <c r="Z19" s="396"/>
      <c r="AA19" s="396"/>
      <c r="AB19" s="396"/>
      <c r="AC19" s="396"/>
      <c r="AD19" s="396"/>
      <c r="AE19" s="664"/>
      <c r="AF19" s="665"/>
      <c r="AG19" s="668"/>
      <c r="AH19" s="395"/>
    </row>
    <row r="20" s="393" customFormat="1" ht="27.75" spans="1:32">
      <c r="A20" s="480" t="s">
        <v>1626</v>
      </c>
      <c r="B20" s="481" t="s">
        <v>1627</v>
      </c>
      <c r="C20" s="482">
        <f>ROUND(POWER(1+G20,J20-I20)*(POWER(1+G20,I20)-1)/(POWER(1+G20,J20)-1),4)</f>
        <v>0.9346</v>
      </c>
      <c r="D20" s="483" t="s">
        <v>1628</v>
      </c>
      <c r="E20" s="484">
        <f>存贷款利率!E18/100</f>
        <v>0.0435</v>
      </c>
      <c r="F20" s="483" t="s">
        <v>1629</v>
      </c>
      <c r="G20" s="485">
        <f>SUMIF(M26:P26,E2,M28:P28)</f>
        <v>0.05</v>
      </c>
      <c r="H20" s="483" t="s">
        <v>1630</v>
      </c>
      <c r="I20" s="460">
        <f>'数据-取费表'!B13</f>
        <v>48</v>
      </c>
      <c r="J20" s="606">
        <f>IF(E2="住宅",70,IF(E2="商业",40,50))</f>
        <v>70</v>
      </c>
      <c r="K20" s="599"/>
      <c r="L20" s="607" t="s">
        <v>1631</v>
      </c>
      <c r="M20" s="608">
        <f>ROUND(SUMPRODUCT((地价!A4:A36=YEAR(G19)&amp;"-"&amp;ROUNDUP(MONTH(G19)/3,0))*(地价!B2:F2=E2)*(地价!B4:F36)),0)</f>
        <v>0</v>
      </c>
      <c r="N20" s="609" t="s">
        <v>1632</v>
      </c>
      <c r="O20" s="610" t="s">
        <v>1633</v>
      </c>
      <c r="P20" s="611" t="s">
        <v>1634</v>
      </c>
      <c r="Q20" s="599"/>
      <c r="R20" s="541"/>
      <c r="S20" s="541"/>
      <c r="T20" s="541"/>
      <c r="U20" s="541"/>
      <c r="V20" s="541"/>
      <c r="W20" s="541"/>
      <c r="X20" s="396"/>
      <c r="Y20" s="396"/>
      <c r="Z20" s="396"/>
      <c r="AA20" s="396"/>
      <c r="AB20" s="396"/>
      <c r="AC20" s="396"/>
      <c r="AD20" s="396"/>
      <c r="AE20" s="664"/>
      <c r="AF20" s="664"/>
    </row>
    <row r="21" s="393" customFormat="1" ht="14.25" spans="1:32">
      <c r="A21" s="486" t="s">
        <v>1635</v>
      </c>
      <c r="B21" s="487" t="s">
        <v>1636</v>
      </c>
      <c r="C21" s="488">
        <f>IF(B21="容积率修正",IF(G3&lt;=10,D22,J22),C23)</f>
        <v>0</v>
      </c>
      <c r="D21" s="489"/>
      <c r="E21" s="489"/>
      <c r="F21" s="489"/>
      <c r="G21" s="489"/>
      <c r="H21" s="489"/>
      <c r="I21" s="489"/>
      <c r="J21" s="612"/>
      <c r="K21" s="599"/>
      <c r="L21" s="599"/>
      <c r="M21" s="599"/>
      <c r="N21" s="613" t="s">
        <v>1637</v>
      </c>
      <c r="O21" s="614"/>
      <c r="P21" s="615">
        <f>SUMPRODUCT((地价!A3:A36=YEAR(G19)&amp;"-"&amp;ROUNDUP(MONTH(G19)/3,0))*(地价!AD2:AH2=N21)*(地价!AD3:AH36))</f>
        <v>0</v>
      </c>
      <c r="Q21" s="599"/>
      <c r="R21" s="541"/>
      <c r="S21" s="541"/>
      <c r="T21" s="541"/>
      <c r="U21" s="541"/>
      <c r="V21" s="541"/>
      <c r="W21" s="541"/>
      <c r="X21" s="396"/>
      <c r="Y21" s="396"/>
      <c r="Z21" s="396"/>
      <c r="AA21" s="396"/>
      <c r="AB21" s="396"/>
      <c r="AC21" s="396"/>
      <c r="AD21" s="396"/>
      <c r="AE21" s="664"/>
      <c r="AF21" s="664"/>
    </row>
    <row r="22" s="393" customFormat="1" ht="14.25" spans="1:32">
      <c r="A22" s="490">
        <v>1</v>
      </c>
      <c r="B22" s="491" t="s">
        <v>1638</v>
      </c>
      <c r="C22" s="491" t="s">
        <v>1639</v>
      </c>
      <c r="D22" s="491">
        <f>IF(E22=G22,F22,IF(G3&lt;=10,ROUND(F22+(H22-F22)*(G3-E22)/(G22-E22),4),"——"))</f>
        <v>0</v>
      </c>
      <c r="E22" s="409">
        <f>ROUNDDOWN(G3,1)</f>
        <v>0</v>
      </c>
      <c r="F22" s="491">
        <f>IF(G3&lt;=10,IF(E2="商业",SUMPRODUCT((容积率修正!A3:A102=ROUNDDOWN(G3,1))*(容积率修正!B2:M2=G2)*(容积率修正!B3:M102)),IF(E2="办公",SUMPRODUCT((容积率修正!A105:A204=ROUNDDOWN(G3,1))*(容积率修正!B2:M2=G2)*(容积率修正!B105:M204)),IF(E2="住宅",SUMPRODUCT((容积率修正!A207:A306=ROUNDDOWN(G3,1))*(容积率修正!B2:M2=G2)*(容积率修正!B207:M306)),IF(E2="工业",SUMPRODUCT((容积率修正!A309:A408=ROUNDDOWN(G3,1))*(容积率修正!B2:M2=G2)*(容积率修正!B309:M408)))))),"——")</f>
        <v>0</v>
      </c>
      <c r="G22" s="409">
        <f>ROUNDUP(G3,1)</f>
        <v>0</v>
      </c>
      <c r="H22" s="491">
        <f>IF(G3&lt;=10,IF(E2="商业",SUMPRODUCT((容积率修正!A3:A102=ROUNDUP(G3,1))*(容积率修正!B2:M2=G2)*(容积率修正!B3:M102)),IF(E2="办公",SUMPRODUCT((容积率修正!A105:A204=ROUNDUP(G3,1))*(容积率修正!B2:M2=G2)*(容积率修正!B105:M204)),IF(E2="住宅",SUMPRODUCT((容积率修正!A207:A306=ROUNDUP(G3,1))*(容积率修正!B2:M2=G2)*(容积率修正!B207:M306)),SUMPRODUCT((容积率修正!A309:A408=ROUNDUP(G3,1))*(容积率修正!B2:M2=G2)*(容积率修正!B309:M408))))),"——")</f>
        <v>0</v>
      </c>
      <c r="I22" s="491" t="s">
        <v>1640</v>
      </c>
      <c r="J22" s="616" t="str">
        <f>IF(G3&gt;10,D113,"——")</f>
        <v>——</v>
      </c>
      <c r="K22" s="599"/>
      <c r="L22" s="599"/>
      <c r="M22" s="599"/>
      <c r="N22" s="613" t="s">
        <v>1641</v>
      </c>
      <c r="O22" s="614"/>
      <c r="P22" s="615">
        <f>SUMPRODUCT((地价!A3:A36=YEAR(G19)&amp;"-"&amp;ROUNDUP(MONTH(G19)/3,0))*(地价!AD2:AH2=N22)*(地价!AD3:AH36))</f>
        <v>0</v>
      </c>
      <c r="Q22" s="599"/>
      <c r="R22" s="541"/>
      <c r="S22" s="541"/>
      <c r="T22" s="541"/>
      <c r="U22" s="541"/>
      <c r="V22" s="541"/>
      <c r="W22" s="541"/>
      <c r="X22" s="396"/>
      <c r="Y22" s="396"/>
      <c r="Z22" s="396"/>
      <c r="AA22" s="396"/>
      <c r="AB22" s="396"/>
      <c r="AC22" s="396"/>
      <c r="AD22" s="396"/>
      <c r="AE22" s="664"/>
      <c r="AF22" s="664"/>
    </row>
    <row r="23" ht="27" spans="1:32">
      <c r="A23" s="490">
        <v>2</v>
      </c>
      <c r="B23" s="491" t="s">
        <v>1642</v>
      </c>
      <c r="C23" s="492" t="e">
        <f>ROUND(IF(G3&gt;1,IF(I3&lt;7,SUMPRODUCT((B93:B98=I3)*(C92:N92=G2)*(C93:N98)),SUMIF(C92:N92,G2,C100:N100)),IF(I3&lt;7,SUMPRODUCT((B102:B107=I3)*(C92:N92=G2)*(C102:N107)),SUMIF(C92:N92,G2,C109:N109))),4)</f>
        <v>#DIV/0!</v>
      </c>
      <c r="D23" s="453"/>
      <c r="E23" s="453"/>
      <c r="F23" s="493"/>
      <c r="G23" s="494"/>
      <c r="H23" s="495"/>
      <c r="I23" s="491"/>
      <c r="J23" s="616"/>
      <c r="K23" s="541"/>
      <c r="L23" s="541"/>
      <c r="M23" s="541"/>
      <c r="N23" s="613" t="s">
        <v>1643</v>
      </c>
      <c r="O23" s="614"/>
      <c r="P23" s="615">
        <f>SUMPRODUCT((地价!A3:A36=YEAR(G19)&amp;"-"&amp;ROUNDUP(MONTH(G19)/3,0))*(地价!AD2:AH2=N23)*(地价!AD3:AH36))</f>
        <v>0</v>
      </c>
      <c r="Q23" s="541"/>
      <c r="R23" s="541"/>
      <c r="S23" s="541"/>
      <c r="T23" s="541"/>
      <c r="U23" s="541"/>
      <c r="V23" s="541"/>
      <c r="W23" s="541"/>
      <c r="X23" s="396"/>
      <c r="Y23" s="396"/>
      <c r="Z23" s="396"/>
      <c r="AA23" s="396"/>
      <c r="AB23" s="396"/>
      <c r="AC23" s="396"/>
      <c r="AD23" s="396"/>
      <c r="AE23" s="396"/>
      <c r="AF23" s="396"/>
    </row>
    <row r="24" s="393" customFormat="1" ht="15.75" spans="1:32">
      <c r="A24" s="496" t="s">
        <v>1644</v>
      </c>
      <c r="B24" s="497" t="s">
        <v>1645</v>
      </c>
      <c r="C24" s="498">
        <f>SUMIF(A46:A88,E2,B46:B88)</f>
        <v>1</v>
      </c>
      <c r="D24" s="499"/>
      <c r="E24" s="500"/>
      <c r="F24" s="500"/>
      <c r="G24" s="500"/>
      <c r="H24" s="500"/>
      <c r="I24" s="500"/>
      <c r="J24" s="617"/>
      <c r="K24" s="599"/>
      <c r="L24" s="599"/>
      <c r="M24" s="599"/>
      <c r="N24" s="618" t="s">
        <v>1646</v>
      </c>
      <c r="O24" s="619"/>
      <c r="P24" s="620">
        <f>SUMPRODUCT((地价!A3:A36=YEAR(G19)&amp;"-"&amp;ROUNDUP(MONTH(G19)/3,0))*(地价!AD2:AH2=N24)*(地价!AD3:AH36))</f>
        <v>0</v>
      </c>
      <c r="Q24" s="599"/>
      <c r="R24" s="541"/>
      <c r="S24" s="541"/>
      <c r="T24" s="541"/>
      <c r="U24" s="541"/>
      <c r="V24" s="541"/>
      <c r="W24" s="541"/>
      <c r="X24" s="396"/>
      <c r="Y24" s="396"/>
      <c r="Z24" s="396"/>
      <c r="AA24" s="396"/>
      <c r="AB24" s="396"/>
      <c r="AC24" s="396"/>
      <c r="AD24" s="396"/>
      <c r="AE24" s="664"/>
      <c r="AF24" s="664"/>
    </row>
    <row r="25" ht="15" spans="1:32">
      <c r="A25" s="480" t="s">
        <v>1647</v>
      </c>
      <c r="B25" s="501" t="s">
        <v>1648</v>
      </c>
      <c r="C25" s="502"/>
      <c r="D25" s="429"/>
      <c r="E25" s="429"/>
      <c r="F25" s="503"/>
      <c r="G25" s="429"/>
      <c r="H25" s="429"/>
      <c r="I25" s="429"/>
      <c r="J25" s="584"/>
      <c r="K25" s="541"/>
      <c r="L25" s="541"/>
      <c r="M25" s="541"/>
      <c r="N25" s="621" t="s">
        <v>1649</v>
      </c>
      <c r="O25" s="622"/>
      <c r="P25" s="623">
        <f>SUMPRODUCT((地价!A3:A36=YEAR(G19)&amp;"-"&amp;ROUNDUP(MONTH(G19)/3,0))*(地价!AD2:AH2=N25)*(地价!AD3:AH36))</f>
        <v>0</v>
      </c>
      <c r="Q25" s="541"/>
      <c r="R25" s="541"/>
      <c r="S25" s="541"/>
      <c r="T25" s="541"/>
      <c r="U25" s="541"/>
      <c r="V25" s="541"/>
      <c r="W25" s="541"/>
      <c r="X25" s="396"/>
      <c r="Y25" s="396"/>
      <c r="Z25" s="396"/>
      <c r="AA25" s="396"/>
      <c r="AB25" s="396"/>
      <c r="AC25" s="396"/>
      <c r="AD25" s="396"/>
      <c r="AE25" s="396"/>
      <c r="AF25" s="396"/>
    </row>
    <row r="26" ht="15" spans="1:32">
      <c r="A26" s="504"/>
      <c r="B26" s="491" t="s">
        <v>1650</v>
      </c>
      <c r="C26" s="505">
        <f>IF(B21="容积率修正",E29+SUM(E33:E39),SUM(V2:V16)+SUM(E33:E39))</f>
        <v>0</v>
      </c>
      <c r="D26" s="506"/>
      <c r="E26" s="453"/>
      <c r="F26" s="507"/>
      <c r="G26" s="453"/>
      <c r="H26" s="453"/>
      <c r="I26" s="453"/>
      <c r="J26" s="624"/>
      <c r="K26" s="541"/>
      <c r="L26" s="625" t="s">
        <v>1651</v>
      </c>
      <c r="M26" s="427" t="s">
        <v>1652</v>
      </c>
      <c r="N26" s="427" t="s">
        <v>1653</v>
      </c>
      <c r="O26" s="427" t="s">
        <v>1654</v>
      </c>
      <c r="P26" s="626" t="s">
        <v>1655</v>
      </c>
      <c r="Q26" s="541"/>
      <c r="R26" s="541"/>
      <c r="S26" s="541"/>
      <c r="T26" s="541"/>
      <c r="U26" s="541"/>
      <c r="V26" s="541"/>
      <c r="W26" s="541"/>
      <c r="X26" s="396"/>
      <c r="Y26" s="396"/>
      <c r="Z26" s="396"/>
      <c r="AA26" s="396"/>
      <c r="AB26" s="396"/>
      <c r="AC26" s="396"/>
      <c r="AD26" s="396"/>
      <c r="AE26" s="396"/>
      <c r="AF26" s="396"/>
    </row>
    <row r="27" ht="15.75" spans="1:32">
      <c r="A27" s="504"/>
      <c r="B27" s="508" t="s">
        <v>1656</v>
      </c>
      <c r="C27" s="509">
        <f>E30+SUM(I33:I39)</f>
        <v>0</v>
      </c>
      <c r="D27" s="510"/>
      <c r="E27" s="511"/>
      <c r="F27" s="512"/>
      <c r="G27" s="511"/>
      <c r="H27" s="511"/>
      <c r="I27" s="511"/>
      <c r="J27" s="627"/>
      <c r="K27" s="541"/>
      <c r="L27" s="628" t="s">
        <v>1657</v>
      </c>
      <c r="M27" s="436">
        <v>0.25</v>
      </c>
      <c r="N27" s="436">
        <v>0.2</v>
      </c>
      <c r="O27" s="436">
        <v>0.15</v>
      </c>
      <c r="P27" s="629">
        <v>0.1</v>
      </c>
      <c r="Q27" s="541"/>
      <c r="R27" s="541"/>
      <c r="S27" s="541"/>
      <c r="T27" s="541"/>
      <c r="U27" s="541"/>
      <c r="V27" s="541"/>
      <c r="W27" s="541"/>
      <c r="X27" s="396"/>
      <c r="Y27" s="396"/>
      <c r="Z27" s="396"/>
      <c r="AA27" s="396"/>
      <c r="AB27" s="396"/>
      <c r="AC27" s="396"/>
      <c r="AD27" s="396"/>
      <c r="AE27" s="396"/>
      <c r="AF27" s="396"/>
    </row>
    <row r="28" ht="15.75" spans="1:32">
      <c r="A28" s="480"/>
      <c r="B28" s="513" t="s">
        <v>1658</v>
      </c>
      <c r="C28" s="514" t="s">
        <v>1659</v>
      </c>
      <c r="D28" s="514" t="s">
        <v>1660</v>
      </c>
      <c r="E28" s="501" t="s">
        <v>1661</v>
      </c>
      <c r="F28" s="515"/>
      <c r="G28" s="442"/>
      <c r="H28" s="442"/>
      <c r="I28" s="442"/>
      <c r="J28" s="587"/>
      <c r="K28" s="541"/>
      <c r="L28" s="630" t="s">
        <v>1629</v>
      </c>
      <c r="M28" s="631">
        <f>ROUND($E$20*(1+M27),3)</f>
        <v>0.054</v>
      </c>
      <c r="N28" s="631">
        <f>ROUND($E$20*(1+N27),3)</f>
        <v>0.052</v>
      </c>
      <c r="O28" s="631">
        <f>ROUND($E$20*(1+O27),3)</f>
        <v>0.05</v>
      </c>
      <c r="P28" s="590">
        <f>ROUND($E$20*(1+P27),3)</f>
        <v>0.048</v>
      </c>
      <c r="Q28" s="541"/>
      <c r="R28" s="541"/>
      <c r="S28" s="541"/>
      <c r="T28" s="541"/>
      <c r="U28" s="541"/>
      <c r="V28" s="541"/>
      <c r="W28" s="541"/>
      <c r="X28" s="396"/>
      <c r="Y28" s="396"/>
      <c r="Z28" s="396"/>
      <c r="AA28" s="396"/>
      <c r="AB28" s="396"/>
      <c r="AC28" s="396"/>
      <c r="AD28" s="396"/>
      <c r="AE28" s="396"/>
      <c r="AF28" s="396"/>
    </row>
    <row r="29" spans="1:32">
      <c r="A29" s="430"/>
      <c r="B29" s="495" t="s">
        <v>1662</v>
      </c>
      <c r="C29" s="516">
        <f>ROUND(C5*C18*C19*C20*C21*C24,0)</f>
        <v>0</v>
      </c>
      <c r="D29" s="517">
        <f>项目基本情况!C12</f>
        <v>246.59</v>
      </c>
      <c r="E29" s="518">
        <f>ROUND(C29*D29,0)</f>
        <v>0</v>
      </c>
      <c r="F29" s="519" t="s">
        <v>1663</v>
      </c>
      <c r="G29" s="520"/>
      <c r="H29" s="520"/>
      <c r="I29" s="520"/>
      <c r="J29" s="632"/>
      <c r="K29" s="541"/>
      <c r="L29" s="541"/>
      <c r="M29" s="541"/>
      <c r="N29" s="541"/>
      <c r="O29" s="541"/>
      <c r="P29" s="541"/>
      <c r="Q29" s="541"/>
      <c r="R29" s="541"/>
      <c r="S29" s="541"/>
      <c r="T29" s="541"/>
      <c r="U29" s="541"/>
      <c r="V29" s="541"/>
      <c r="W29" s="541"/>
      <c r="X29" s="396"/>
      <c r="Y29" s="396"/>
      <c r="Z29" s="396"/>
      <c r="AA29" s="396"/>
      <c r="AB29" s="396"/>
      <c r="AC29" s="396"/>
      <c r="AD29" s="396"/>
      <c r="AE29" s="396"/>
      <c r="AF29" s="396"/>
    </row>
    <row r="30" ht="25.5" spans="1:32">
      <c r="A30" s="521"/>
      <c r="B30" s="468" t="s">
        <v>1664</v>
      </c>
      <c r="C30" s="456">
        <f>ROUND(IF(E2="工业",C29*M39,C29*M38),0)</f>
        <v>0</v>
      </c>
      <c r="D30" s="522"/>
      <c r="E30" s="518">
        <f>ROUND(C30*D30,0)</f>
        <v>0</v>
      </c>
      <c r="F30" s="523" t="s">
        <v>1665</v>
      </c>
      <c r="G30" s="524"/>
      <c r="H30" s="524"/>
      <c r="I30" s="524"/>
      <c r="J30" s="633"/>
      <c r="K30" s="541"/>
      <c r="L30" s="541"/>
      <c r="M30" s="541"/>
      <c r="N30" s="541"/>
      <c r="O30" s="541"/>
      <c r="P30" s="541"/>
      <c r="Q30" s="541"/>
      <c r="R30" s="541"/>
      <c r="S30" s="541"/>
      <c r="T30" s="541"/>
      <c r="U30" s="541"/>
      <c r="V30" s="541"/>
      <c r="W30" s="541"/>
      <c r="X30" s="396"/>
      <c r="Y30" s="396"/>
      <c r="Z30" s="396"/>
      <c r="AA30" s="396"/>
      <c r="AB30" s="396"/>
      <c r="AC30" s="396"/>
      <c r="AD30" s="396"/>
      <c r="AE30" s="396"/>
      <c r="AF30" s="396"/>
    </row>
    <row r="31" spans="1:32">
      <c r="A31" s="525"/>
      <c r="B31" s="526" t="s">
        <v>1666</v>
      </c>
      <c r="C31" s="527" t="s">
        <v>1667</v>
      </c>
      <c r="D31" s="442"/>
      <c r="E31" s="527"/>
      <c r="F31" s="527"/>
      <c r="G31" s="441" t="s">
        <v>1665</v>
      </c>
      <c r="H31" s="442"/>
      <c r="I31" s="634"/>
      <c r="J31" s="587"/>
      <c r="K31" s="541"/>
      <c r="L31" s="541"/>
      <c r="M31" s="541"/>
      <c r="N31" s="541"/>
      <c r="O31" s="541"/>
      <c r="P31" s="541"/>
      <c r="Q31" s="541"/>
      <c r="R31" s="541"/>
      <c r="S31" s="541"/>
      <c r="T31" s="541"/>
      <c r="U31" s="541"/>
      <c r="V31" s="541"/>
      <c r="W31" s="541"/>
      <c r="X31" s="396"/>
      <c r="Y31" s="396"/>
      <c r="Z31" s="396"/>
      <c r="AA31" s="396"/>
      <c r="AB31" s="396"/>
      <c r="AC31" s="396"/>
      <c r="AD31" s="396"/>
      <c r="AE31" s="396"/>
      <c r="AF31" s="396"/>
    </row>
    <row r="32" ht="24" spans="1:32">
      <c r="A32" s="430"/>
      <c r="B32" s="528"/>
      <c r="C32" s="529" t="s">
        <v>1659</v>
      </c>
      <c r="D32" s="530" t="s">
        <v>1660</v>
      </c>
      <c r="E32" s="530" t="s">
        <v>1661</v>
      </c>
      <c r="F32" s="410" t="s">
        <v>1668</v>
      </c>
      <c r="G32" s="492" t="s">
        <v>1659</v>
      </c>
      <c r="H32" s="492" t="s">
        <v>1660</v>
      </c>
      <c r="I32" s="492" t="s">
        <v>1661</v>
      </c>
      <c r="J32" s="635"/>
      <c r="K32" s="541"/>
      <c r="L32" s="541"/>
      <c r="M32" s="541"/>
      <c r="N32" s="541"/>
      <c r="O32" s="541"/>
      <c r="P32" s="541"/>
      <c r="Q32" s="541"/>
      <c r="R32" s="541"/>
      <c r="S32" s="541"/>
      <c r="T32" s="541"/>
      <c r="U32" s="541"/>
      <c r="V32" s="541"/>
      <c r="W32" s="541"/>
      <c r="X32" s="396"/>
      <c r="Y32" s="396"/>
      <c r="Z32" s="396"/>
      <c r="AA32" s="396"/>
      <c r="AB32" s="396"/>
      <c r="AC32" s="396"/>
      <c r="AD32" s="396"/>
      <c r="AE32" s="396"/>
      <c r="AF32" s="396"/>
    </row>
    <row r="33" spans="1:32">
      <c r="A33" s="531" t="s">
        <v>1669</v>
      </c>
      <c r="B33" s="532" t="s">
        <v>1670</v>
      </c>
      <c r="C33" s="516">
        <f>ROUND(D5*C19*C20*C24*F33,0)</f>
        <v>0</v>
      </c>
      <c r="D33" s="517"/>
      <c r="E33" s="410">
        <f t="shared" ref="E33:E39" si="6">ROUND(C33*D33,0)</f>
        <v>0</v>
      </c>
      <c r="F33" s="410">
        <f>SUMIF(修正!A45:A56,G2,修正!B45:B56)</f>
        <v>0</v>
      </c>
      <c r="G33" s="410">
        <f t="shared" ref="G33" si="7">ROUND(IF(E2="工业",C33*$M$39,C33*$M$38),0)</f>
        <v>0</v>
      </c>
      <c r="H33" s="410">
        <f>D33</f>
        <v>0</v>
      </c>
      <c r="I33" s="410">
        <f t="shared" ref="I33:I39" si="8">ROUND(G33*H33,0)</f>
        <v>0</v>
      </c>
      <c r="J33" s="624"/>
      <c r="K33" s="541"/>
      <c r="L33" s="541"/>
      <c r="M33" s="541"/>
      <c r="N33" s="541"/>
      <c r="O33" s="541"/>
      <c r="P33" s="541"/>
      <c r="Q33" s="541"/>
      <c r="R33" s="541"/>
      <c r="S33" s="541"/>
      <c r="T33" s="541"/>
      <c r="U33" s="541"/>
      <c r="V33" s="541"/>
      <c r="W33" s="541"/>
      <c r="X33" s="396"/>
      <c r="Y33" s="396"/>
      <c r="Z33" s="396"/>
      <c r="AA33" s="396"/>
      <c r="AB33" s="396"/>
      <c r="AC33" s="396"/>
      <c r="AD33" s="396"/>
      <c r="AE33" s="396"/>
      <c r="AF33" s="396"/>
    </row>
    <row r="34" spans="1:32">
      <c r="A34" s="533"/>
      <c r="B34" s="445" t="s">
        <v>1671</v>
      </c>
      <c r="C34" s="516">
        <f>ROUND(D5*C19*C20*C24*F34,0)</f>
        <v>0</v>
      </c>
      <c r="D34" s="517"/>
      <c r="E34" s="410">
        <f t="shared" si="6"/>
        <v>0</v>
      </c>
      <c r="F34" s="410">
        <f>SUMIF(修正!A45:A56,G2,修正!C45:C56)</f>
        <v>0</v>
      </c>
      <c r="G34" s="410">
        <f>ROUND(IF(E2="工业",C34*$M$39,C34*$M$38),0)</f>
        <v>0</v>
      </c>
      <c r="H34" s="410">
        <f t="shared" ref="H34:H39" si="9">D34</f>
        <v>0</v>
      </c>
      <c r="I34" s="410">
        <f t="shared" si="8"/>
        <v>0</v>
      </c>
      <c r="J34" s="624"/>
      <c r="K34" s="541"/>
      <c r="L34" s="541"/>
      <c r="M34" s="541"/>
      <c r="N34" s="541"/>
      <c r="O34" s="541"/>
      <c r="P34" s="541"/>
      <c r="Q34" s="541"/>
      <c r="R34" s="541"/>
      <c r="S34" s="541"/>
      <c r="T34" s="541"/>
      <c r="U34" s="541"/>
      <c r="V34" s="541"/>
      <c r="W34" s="541"/>
      <c r="X34" s="396"/>
      <c r="Y34" s="396"/>
      <c r="Z34" s="396"/>
      <c r="AA34" s="396"/>
      <c r="AB34" s="396"/>
      <c r="AC34" s="396"/>
      <c r="AD34" s="396"/>
      <c r="AE34" s="396"/>
      <c r="AF34" s="396"/>
    </row>
    <row r="35" spans="1:32">
      <c r="A35" s="533"/>
      <c r="B35" s="445" t="s">
        <v>1672</v>
      </c>
      <c r="C35" s="516">
        <f>ROUND(D5*C19*C20*C24*F35,0)</f>
        <v>0</v>
      </c>
      <c r="D35" s="517"/>
      <c r="E35" s="410">
        <f t="shared" si="6"/>
        <v>0</v>
      </c>
      <c r="F35" s="410">
        <f>SUMIF(修正!A45:A56,G2,修正!D45:D56)</f>
        <v>0</v>
      </c>
      <c r="G35" s="410">
        <f>ROUND(IF(E2="工业",C35*$M$39,C35*$M$38),0)</f>
        <v>0</v>
      </c>
      <c r="H35" s="410">
        <f t="shared" si="9"/>
        <v>0</v>
      </c>
      <c r="I35" s="410">
        <f t="shared" si="8"/>
        <v>0</v>
      </c>
      <c r="J35" s="624"/>
      <c r="K35" s="541"/>
      <c r="L35" s="541"/>
      <c r="M35" s="541"/>
      <c r="N35" s="541"/>
      <c r="O35" s="541"/>
      <c r="P35" s="541"/>
      <c r="Q35" s="541"/>
      <c r="R35" s="541"/>
      <c r="S35" s="541"/>
      <c r="T35" s="541"/>
      <c r="U35" s="541"/>
      <c r="V35" s="541"/>
      <c r="W35" s="541"/>
      <c r="X35" s="396"/>
      <c r="Y35" s="396"/>
      <c r="Z35" s="396"/>
      <c r="AA35" s="396"/>
      <c r="AB35" s="396"/>
      <c r="AC35" s="396"/>
      <c r="AD35" s="396"/>
      <c r="AE35" s="396"/>
      <c r="AF35" s="396"/>
    </row>
    <row r="36" ht="13.5" spans="1:32">
      <c r="A36" s="534"/>
      <c r="B36" s="445" t="s">
        <v>1673</v>
      </c>
      <c r="C36" s="516">
        <f>ROUND(D5*C19*C20*C24*F36,0)</f>
        <v>0</v>
      </c>
      <c r="D36" s="517"/>
      <c r="E36" s="410">
        <f t="shared" si="6"/>
        <v>0</v>
      </c>
      <c r="F36" s="410">
        <f>SUMIF(修正!A45:A56,G2,修正!E45:E56)</f>
        <v>0</v>
      </c>
      <c r="G36" s="410">
        <f>ROUND(IF(E2="工业",C36*$M$39,C36*$M$38),0)</f>
        <v>0</v>
      </c>
      <c r="H36" s="410">
        <f t="shared" si="9"/>
        <v>0</v>
      </c>
      <c r="I36" s="410">
        <f t="shared" si="8"/>
        <v>0</v>
      </c>
      <c r="J36" s="624"/>
      <c r="K36" s="541"/>
      <c r="L36" s="541"/>
      <c r="M36" s="541"/>
      <c r="N36" s="541"/>
      <c r="O36" s="541"/>
      <c r="P36" s="541"/>
      <c r="Q36" s="541"/>
      <c r="R36" s="541"/>
      <c r="S36" s="541"/>
      <c r="T36" s="541"/>
      <c r="U36" s="541"/>
      <c r="V36" s="541"/>
      <c r="W36" s="541"/>
      <c r="X36" s="396"/>
      <c r="Y36" s="396"/>
      <c r="Z36" s="396"/>
      <c r="AA36" s="396"/>
      <c r="AB36" s="396"/>
      <c r="AC36" s="396"/>
      <c r="AD36" s="396"/>
      <c r="AE36" s="396"/>
      <c r="AF36" s="396"/>
    </row>
    <row r="37" spans="1:32">
      <c r="A37" s="535"/>
      <c r="B37" s="445" t="s">
        <v>1674</v>
      </c>
      <c r="C37" s="410">
        <f>ROUND(D5*C19*C20*C24*F37,0)</f>
        <v>0</v>
      </c>
      <c r="D37" s="517"/>
      <c r="E37" s="410">
        <f t="shared" si="6"/>
        <v>0</v>
      </c>
      <c r="F37" s="516">
        <f>SUMIF(修正!A45:A56,G2,修正!F45:F56)</f>
        <v>0</v>
      </c>
      <c r="G37" s="410">
        <f>ROUND(IF(E2="工业",C37*$M$39,C37*$M$38),0)</f>
        <v>0</v>
      </c>
      <c r="H37" s="410">
        <f t="shared" si="9"/>
        <v>0</v>
      </c>
      <c r="I37" s="410">
        <f t="shared" si="8"/>
        <v>0</v>
      </c>
      <c r="J37" s="624"/>
      <c r="K37" s="541"/>
      <c r="L37" s="636" t="s">
        <v>1675</v>
      </c>
      <c r="M37" s="584"/>
      <c r="N37" s="541"/>
      <c r="O37" s="541"/>
      <c r="P37" s="541"/>
      <c r="Q37" s="541"/>
      <c r="R37" s="541"/>
      <c r="S37" s="541"/>
      <c r="T37" s="541"/>
      <c r="U37" s="541"/>
      <c r="V37" s="541"/>
      <c r="W37" s="541"/>
      <c r="X37" s="396"/>
      <c r="Y37" s="396"/>
      <c r="Z37" s="396"/>
      <c r="AA37" s="396"/>
      <c r="AB37" s="396"/>
      <c r="AC37" s="396"/>
      <c r="AD37" s="396"/>
      <c r="AE37" s="396"/>
      <c r="AF37" s="396"/>
    </row>
    <row r="38" spans="1:32">
      <c r="A38" s="535"/>
      <c r="B38" s="445" t="s">
        <v>1676</v>
      </c>
      <c r="C38" s="410">
        <f>ROUND(D5*C19*C41*C24*F38,0)</f>
        <v>0</v>
      </c>
      <c r="D38" s="517"/>
      <c r="E38" s="410">
        <f t="shared" si="6"/>
        <v>0</v>
      </c>
      <c r="F38" s="516">
        <f>SUMIF(修正!A45:A56,G2,修正!G45:G56)</f>
        <v>0</v>
      </c>
      <c r="G38" s="410">
        <f>ROUND(IF(E2="工业",C38*$M$39,C38*$M$38),0)</f>
        <v>0</v>
      </c>
      <c r="H38" s="410">
        <f t="shared" si="9"/>
        <v>0</v>
      </c>
      <c r="I38" s="410">
        <f t="shared" si="8"/>
        <v>0</v>
      </c>
      <c r="J38" s="624"/>
      <c r="K38" s="541"/>
      <c r="L38" s="637" t="s">
        <v>1677</v>
      </c>
      <c r="M38" s="638">
        <v>0.25</v>
      </c>
      <c r="N38" s="541"/>
      <c r="O38" s="541"/>
      <c r="P38" s="541"/>
      <c r="Q38" s="541"/>
      <c r="R38" s="541"/>
      <c r="S38" s="541"/>
      <c r="T38" s="541"/>
      <c r="U38" s="541"/>
      <c r="V38" s="541"/>
      <c r="W38" s="541"/>
      <c r="X38" s="396"/>
      <c r="Y38" s="396"/>
      <c r="Z38" s="396"/>
      <c r="AA38" s="396"/>
      <c r="AB38" s="396"/>
      <c r="AC38" s="396"/>
      <c r="AD38" s="396"/>
      <c r="AE38" s="396"/>
      <c r="AF38" s="396"/>
    </row>
    <row r="39" ht="13.5" spans="1:32">
      <c r="A39" s="521"/>
      <c r="B39" s="536" t="s">
        <v>1678</v>
      </c>
      <c r="C39" s="456">
        <f>ROUND(D5*C19*C41*C24*F39,0)</f>
        <v>0</v>
      </c>
      <c r="D39" s="522"/>
      <c r="E39" s="456">
        <f t="shared" si="6"/>
        <v>0</v>
      </c>
      <c r="F39" s="537">
        <f>SUMIF(修正!A45:A56,G2,修正!H45:H56)</f>
        <v>0</v>
      </c>
      <c r="G39" s="456">
        <f>ROUND(IF(E2="工业",C39*$M$39,C39*$M$38),0)</f>
        <v>0</v>
      </c>
      <c r="H39" s="456">
        <f t="shared" si="9"/>
        <v>0</v>
      </c>
      <c r="I39" s="456">
        <f t="shared" si="8"/>
        <v>0</v>
      </c>
      <c r="J39" s="627"/>
      <c r="K39" s="541"/>
      <c r="L39" s="639" t="s">
        <v>1655</v>
      </c>
      <c r="M39" s="640">
        <v>0.15</v>
      </c>
      <c r="N39" s="541"/>
      <c r="O39" s="541"/>
      <c r="P39" s="541"/>
      <c r="Q39" s="541"/>
      <c r="R39" s="541"/>
      <c r="S39" s="541"/>
      <c r="T39" s="541"/>
      <c r="U39" s="541"/>
      <c r="V39" s="541"/>
      <c r="W39" s="541"/>
      <c r="X39" s="396"/>
      <c r="Y39" s="396"/>
      <c r="Z39" s="396"/>
      <c r="AA39" s="396"/>
      <c r="AB39" s="396"/>
      <c r="AC39" s="396"/>
      <c r="AD39" s="396"/>
      <c r="AE39" s="396"/>
      <c r="AF39" s="396"/>
    </row>
    <row r="40" s="394" customFormat="1" spans="1:32">
      <c r="A40" s="396"/>
      <c r="B40" s="396"/>
      <c r="C40" s="396"/>
      <c r="D40" s="396"/>
      <c r="E40" s="396"/>
      <c r="F40" s="396"/>
      <c r="G40" s="396"/>
      <c r="H40" s="396"/>
      <c r="I40" s="396"/>
      <c r="J40" s="396"/>
      <c r="K40" s="541"/>
      <c r="L40" s="541"/>
      <c r="M40" s="541"/>
      <c r="N40" s="541"/>
      <c r="O40" s="541"/>
      <c r="P40" s="541"/>
      <c r="Q40" s="541"/>
      <c r="R40" s="541"/>
      <c r="S40" s="541"/>
      <c r="T40" s="541"/>
      <c r="U40" s="541"/>
      <c r="V40" s="541"/>
      <c r="W40" s="541"/>
      <c r="X40" s="396"/>
      <c r="Y40" s="396"/>
      <c r="Z40" s="396"/>
      <c r="AA40" s="396"/>
      <c r="AB40" s="396"/>
      <c r="AC40" s="396"/>
      <c r="AD40" s="396"/>
      <c r="AE40" s="396"/>
      <c r="AF40" s="396"/>
    </row>
    <row r="41" s="394" customFormat="1" spans="1:32">
      <c r="A41" s="396"/>
      <c r="B41" s="538" t="s">
        <v>1679</v>
      </c>
      <c r="C41" s="410">
        <f>ROUND(POWER(1+E41,H41-G41)*(POWER(1+E41,G41)-1)/(POWER(1+E41,H41)-1),4)</f>
        <v>0</v>
      </c>
      <c r="D41" s="410" t="s">
        <v>1629</v>
      </c>
      <c r="E41" s="539">
        <f>G20</f>
        <v>0.05</v>
      </c>
      <c r="F41" s="410" t="s">
        <v>1630</v>
      </c>
      <c r="G41" s="540"/>
      <c r="H41" s="410">
        <v>50</v>
      </c>
      <c r="I41" s="396"/>
      <c r="J41" s="396"/>
      <c r="K41" s="541"/>
      <c r="L41" s="541"/>
      <c r="M41" s="541"/>
      <c r="N41" s="541"/>
      <c r="O41" s="541"/>
      <c r="P41" s="541"/>
      <c r="Q41" s="541"/>
      <c r="R41" s="541"/>
      <c r="S41" s="541"/>
      <c r="T41" s="541"/>
      <c r="U41" s="541"/>
      <c r="V41" s="541"/>
      <c r="W41" s="541"/>
      <c r="X41" s="396"/>
      <c r="Y41" s="396"/>
      <c r="Z41" s="396"/>
      <c r="AA41" s="396"/>
      <c r="AB41" s="396"/>
      <c r="AC41" s="396"/>
      <c r="AD41" s="396"/>
      <c r="AE41" s="396"/>
      <c r="AF41" s="396"/>
    </row>
    <row r="42" s="394" customFormat="1" spans="1:32">
      <c r="A42" s="541"/>
      <c r="B42" s="541"/>
      <c r="C42" s="541"/>
      <c r="D42" s="541"/>
      <c r="E42" s="541"/>
      <c r="F42" s="541"/>
      <c r="G42" s="541"/>
      <c r="H42" s="541"/>
      <c r="I42" s="541"/>
      <c r="J42" s="541"/>
      <c r="K42" s="541"/>
      <c r="L42" s="541"/>
      <c r="M42" s="541"/>
      <c r="N42" s="541"/>
      <c r="O42" s="541"/>
      <c r="P42" s="541"/>
      <c r="Q42" s="541"/>
      <c r="R42" s="541"/>
      <c r="S42" s="541"/>
      <c r="T42" s="541"/>
      <c r="U42" s="541"/>
      <c r="V42" s="541"/>
      <c r="W42" s="541"/>
      <c r="X42" s="396"/>
      <c r="Y42" s="396"/>
      <c r="Z42" s="396"/>
      <c r="AA42" s="396"/>
      <c r="AB42" s="396"/>
      <c r="AC42" s="396"/>
      <c r="AD42" s="396"/>
      <c r="AE42" s="396"/>
      <c r="AF42" s="396"/>
    </row>
    <row r="43" s="394" customFormat="1" spans="1:32">
      <c r="A43" s="541"/>
      <c r="B43" s="541"/>
      <c r="C43" s="541"/>
      <c r="D43" s="541"/>
      <c r="E43" s="541"/>
      <c r="F43" s="541"/>
      <c r="G43" s="541"/>
      <c r="H43" s="541"/>
      <c r="I43" s="541"/>
      <c r="J43" s="541"/>
      <c r="K43" s="541"/>
      <c r="L43" s="541"/>
      <c r="M43" s="541"/>
      <c r="N43" s="541"/>
      <c r="O43" s="541"/>
      <c r="P43" s="541"/>
      <c r="Q43" s="541"/>
      <c r="R43" s="541"/>
      <c r="S43" s="541"/>
      <c r="T43" s="541"/>
      <c r="U43" s="541"/>
      <c r="V43" s="541"/>
      <c r="W43" s="541"/>
      <c r="X43" s="396"/>
      <c r="Y43" s="396"/>
      <c r="Z43" s="396"/>
      <c r="AA43" s="396"/>
      <c r="AB43" s="396"/>
      <c r="AC43" s="396"/>
      <c r="AD43" s="396"/>
      <c r="AE43" s="396"/>
      <c r="AF43" s="396"/>
    </row>
    <row r="44" s="394" customFormat="1" spans="1:32">
      <c r="A44" s="541"/>
      <c r="B44" s="541"/>
      <c r="C44" s="541"/>
      <c r="D44" s="541"/>
      <c r="E44" s="541"/>
      <c r="F44" s="541"/>
      <c r="G44" s="541"/>
      <c r="H44" s="541"/>
      <c r="I44" s="541"/>
      <c r="J44" s="541"/>
      <c r="K44" s="541"/>
      <c r="L44" s="541"/>
      <c r="M44" s="541"/>
      <c r="N44" s="541"/>
      <c r="O44" s="541"/>
      <c r="P44" s="541"/>
      <c r="Q44" s="541"/>
      <c r="R44" s="541"/>
      <c r="S44" s="541"/>
      <c r="T44" s="541"/>
      <c r="U44" s="541"/>
      <c r="V44" s="541"/>
      <c r="W44" s="541"/>
      <c r="X44" s="396"/>
      <c r="Y44" s="396"/>
      <c r="Z44" s="396"/>
      <c r="AA44" s="396"/>
      <c r="AB44" s="396"/>
      <c r="AC44" s="396"/>
      <c r="AD44" s="396"/>
      <c r="AE44" s="396"/>
      <c r="AF44" s="396"/>
    </row>
    <row r="45" s="394" customFormat="1" ht="15" spans="1:32">
      <c r="A45" s="542" t="s">
        <v>1680</v>
      </c>
      <c r="B45" s="543"/>
      <c r="C45" s="544"/>
      <c r="D45" s="544"/>
      <c r="E45" s="544"/>
      <c r="F45" s="544"/>
      <c r="G45" s="544"/>
      <c r="H45" s="544"/>
      <c r="I45" s="544"/>
      <c r="J45" s="544"/>
      <c r="K45" s="544"/>
      <c r="L45" s="544"/>
      <c r="M45" s="544"/>
      <c r="N45" s="400"/>
      <c r="O45" s="396"/>
      <c r="P45" s="396"/>
      <c r="Q45" s="541"/>
      <c r="R45" s="541"/>
      <c r="S45" s="541"/>
      <c r="T45" s="541"/>
      <c r="U45" s="541"/>
      <c r="V45" s="541"/>
      <c r="W45" s="541"/>
      <c r="X45" s="396"/>
      <c r="Y45" s="396"/>
      <c r="Z45" s="396"/>
      <c r="AA45" s="396"/>
      <c r="AB45" s="396"/>
      <c r="AC45" s="396"/>
      <c r="AD45" s="396"/>
      <c r="AE45" s="396"/>
      <c r="AF45" s="396"/>
    </row>
    <row r="46" s="394" customFormat="1" ht="15" spans="1:31">
      <c r="A46" s="545" t="s">
        <v>1681</v>
      </c>
      <c r="B46" s="546">
        <f>1+E48</f>
        <v>1</v>
      </c>
      <c r="C46" s="547"/>
      <c r="D46" s="548"/>
      <c r="E46" s="549"/>
      <c r="F46" s="550"/>
      <c r="G46" s="544"/>
      <c r="H46" s="544"/>
      <c r="I46" s="544"/>
      <c r="J46" s="544"/>
      <c r="K46" s="544"/>
      <c r="L46" s="544"/>
      <c r="M46" s="400"/>
      <c r="N46" s="641"/>
      <c r="O46" s="396"/>
      <c r="P46" s="396"/>
      <c r="Q46" s="541"/>
      <c r="R46" s="541"/>
      <c r="S46" s="541"/>
      <c r="T46" s="541"/>
      <c r="U46" s="541"/>
      <c r="V46" s="541"/>
      <c r="W46" s="541"/>
      <c r="X46" s="396"/>
      <c r="Y46" s="396"/>
      <c r="Z46" s="396"/>
      <c r="AA46" s="396"/>
      <c r="AB46" s="396"/>
      <c r="AC46" s="396"/>
      <c r="AD46" s="396"/>
      <c r="AE46" s="396"/>
    </row>
    <row r="47" s="394" customFormat="1" ht="24.75" spans="1:33">
      <c r="A47" s="551" t="s">
        <v>1682</v>
      </c>
      <c r="B47" s="552" t="s">
        <v>1683</v>
      </c>
      <c r="C47" s="552" t="s">
        <v>1684</v>
      </c>
      <c r="D47" s="552" t="s">
        <v>1685</v>
      </c>
      <c r="E47" s="553" t="s">
        <v>1686</v>
      </c>
      <c r="F47" s="506" t="s">
        <v>1687</v>
      </c>
      <c r="G47" s="552" t="s">
        <v>1445</v>
      </c>
      <c r="H47" s="554" t="s">
        <v>1688</v>
      </c>
      <c r="I47" s="552" t="s">
        <v>1689</v>
      </c>
      <c r="J47" s="642" t="s">
        <v>226</v>
      </c>
      <c r="K47" s="642" t="s">
        <v>238</v>
      </c>
      <c r="L47" s="642" t="s">
        <v>249</v>
      </c>
      <c r="M47" s="642" t="s">
        <v>259</v>
      </c>
      <c r="N47" s="642" t="s">
        <v>266</v>
      </c>
      <c r="O47" s="396"/>
      <c r="P47" s="396"/>
      <c r="Q47" s="541"/>
      <c r="R47" s="541"/>
      <c r="S47" s="541"/>
      <c r="T47" s="541"/>
      <c r="U47" s="541"/>
      <c r="V47" s="541"/>
      <c r="W47" s="541"/>
      <c r="X47" s="396"/>
      <c r="Y47" s="396"/>
      <c r="Z47" s="396"/>
      <c r="AA47" s="396"/>
      <c r="AB47" s="396"/>
      <c r="AC47" s="396"/>
      <c r="AD47" s="396"/>
      <c r="AE47" s="396"/>
      <c r="AF47" s="396"/>
      <c r="AG47" s="396"/>
    </row>
    <row r="48" s="394" customFormat="1" ht="36.75" spans="1:33">
      <c r="A48" s="551" t="s">
        <v>1690</v>
      </c>
      <c r="B48" s="555" t="str">
        <f>估价对象房地状况!C16</f>
        <v>估价对象位于XX商圈，周边商业氛围成熟，人流量大，商业繁华度好</v>
      </c>
      <c r="C48" s="450"/>
      <c r="D48" s="556">
        <f t="shared" ref="D48:D56" si="10">SUMIF($J$47:$N$47,C48,J48:N48)</f>
        <v>0</v>
      </c>
      <c r="E48" s="557">
        <f>ROUND(SUM(D48:D56),4)</f>
        <v>0</v>
      </c>
      <c r="F48" s="558" t="str">
        <f>IF(E2="商业",SUMIF(L1:L12,G2,N1:N12),"——")</f>
        <v>——</v>
      </c>
      <c r="G48" s="559"/>
      <c r="H48" s="560" t="str">
        <f t="shared" ref="H48:H56" si="11">IFERROR(ROUNDDOWN($F$48*I48/2,4),"——")</f>
        <v>——</v>
      </c>
      <c r="I48" s="643">
        <v>0.33</v>
      </c>
      <c r="J48" s="644">
        <f t="shared" ref="J48:J56" si="12">K48+$G48</f>
        <v>0</v>
      </c>
      <c r="K48" s="644">
        <f t="shared" ref="K48:K56" si="13">$L48+$G48</f>
        <v>0</v>
      </c>
      <c r="L48" s="644">
        <v>0</v>
      </c>
      <c r="M48" s="644">
        <f t="shared" ref="M48:N56" si="14">L48-$G48</f>
        <v>0</v>
      </c>
      <c r="N48" s="644">
        <f t="shared" si="14"/>
        <v>0</v>
      </c>
      <c r="O48" s="396"/>
      <c r="P48" s="396"/>
      <c r="Q48" s="541"/>
      <c r="R48" s="541"/>
      <c r="S48" s="541"/>
      <c r="T48" s="541"/>
      <c r="U48" s="541"/>
      <c r="V48" s="541"/>
      <c r="W48" s="541"/>
      <c r="X48" s="396"/>
      <c r="Y48" s="396"/>
      <c r="Z48" s="396"/>
      <c r="AA48" s="396"/>
      <c r="AB48" s="396"/>
      <c r="AC48" s="396"/>
      <c r="AD48" s="396"/>
      <c r="AE48" s="396"/>
      <c r="AF48" s="396"/>
      <c r="AG48" s="396"/>
    </row>
    <row r="49" s="394" customFormat="1" ht="48" spans="1:33">
      <c r="A49" s="551" t="s">
        <v>1691</v>
      </c>
      <c r="B49" s="561" t="str">
        <f>估价对象房地状况!C18</f>
        <v>估价对象周边道路状况、公共交通通达情况、停车便捷程度，综合评价交通便捷度较好</v>
      </c>
      <c r="C49" s="450"/>
      <c r="D49" s="556">
        <f t="shared" si="10"/>
        <v>0</v>
      </c>
      <c r="E49" s="562"/>
      <c r="F49" s="558"/>
      <c r="G49" s="559"/>
      <c r="H49" s="560" t="str">
        <f t="shared" si="11"/>
        <v>——</v>
      </c>
      <c r="I49" s="643">
        <v>0.25</v>
      </c>
      <c r="J49" s="644">
        <f t="shared" si="12"/>
        <v>0</v>
      </c>
      <c r="K49" s="644">
        <f t="shared" si="13"/>
        <v>0</v>
      </c>
      <c r="L49" s="644">
        <v>0</v>
      </c>
      <c r="M49" s="644">
        <f t="shared" si="14"/>
        <v>0</v>
      </c>
      <c r="N49" s="644">
        <f t="shared" si="14"/>
        <v>0</v>
      </c>
      <c r="O49" s="396"/>
      <c r="P49" s="396"/>
      <c r="Q49" s="541"/>
      <c r="R49" s="541"/>
      <c r="S49" s="541"/>
      <c r="T49" s="541"/>
      <c r="U49" s="541"/>
      <c r="V49" s="541"/>
      <c r="W49" s="541"/>
      <c r="X49" s="396"/>
      <c r="Y49" s="396"/>
      <c r="Z49" s="396"/>
      <c r="AA49" s="396"/>
      <c r="AB49" s="396"/>
      <c r="AC49" s="396"/>
      <c r="AD49" s="396"/>
      <c r="AE49" s="396"/>
      <c r="AF49" s="396"/>
      <c r="AG49" s="396"/>
    </row>
    <row r="50" s="394" customFormat="1" ht="24" spans="1:33">
      <c r="A50" s="551" t="s">
        <v>1692</v>
      </c>
      <c r="B50" s="561">
        <f>估价对象房地状况!C19</f>
        <v>0</v>
      </c>
      <c r="C50" s="450"/>
      <c r="D50" s="556">
        <f t="shared" si="10"/>
        <v>0</v>
      </c>
      <c r="E50" s="562"/>
      <c r="F50" s="558"/>
      <c r="G50" s="559"/>
      <c r="H50" s="560" t="str">
        <f t="shared" si="11"/>
        <v>——</v>
      </c>
      <c r="I50" s="643">
        <v>0.05</v>
      </c>
      <c r="J50" s="644">
        <f t="shared" si="12"/>
        <v>0</v>
      </c>
      <c r="K50" s="644">
        <f t="shared" si="13"/>
        <v>0</v>
      </c>
      <c r="L50" s="644">
        <v>0</v>
      </c>
      <c r="M50" s="644">
        <f t="shared" si="14"/>
        <v>0</v>
      </c>
      <c r="N50" s="644">
        <f t="shared" si="14"/>
        <v>0</v>
      </c>
      <c r="O50" s="396"/>
      <c r="P50" s="396"/>
      <c r="Q50" s="541"/>
      <c r="R50" s="541"/>
      <c r="S50" s="541"/>
      <c r="T50" s="541"/>
      <c r="U50" s="541"/>
      <c r="V50" s="541"/>
      <c r="W50" s="541"/>
      <c r="X50" s="396"/>
      <c r="Y50" s="396"/>
      <c r="Z50" s="396"/>
      <c r="AA50" s="396"/>
      <c r="AB50" s="396"/>
      <c r="AC50" s="396"/>
      <c r="AD50" s="396"/>
      <c r="AE50" s="396"/>
      <c r="AF50" s="396"/>
      <c r="AG50" s="396"/>
    </row>
    <row r="51" s="394" customFormat="1" ht="36.75" spans="1:33">
      <c r="A51" s="551" t="s">
        <v>1693</v>
      </c>
      <c r="B51" s="563" t="s">
        <v>1694</v>
      </c>
      <c r="C51" s="450"/>
      <c r="D51" s="556">
        <f t="shared" si="10"/>
        <v>0</v>
      </c>
      <c r="E51" s="562"/>
      <c r="F51" s="558"/>
      <c r="G51" s="559"/>
      <c r="H51" s="560" t="str">
        <f t="shared" si="11"/>
        <v>——</v>
      </c>
      <c r="I51" s="643">
        <v>0.05</v>
      </c>
      <c r="J51" s="644">
        <f t="shared" si="12"/>
        <v>0</v>
      </c>
      <c r="K51" s="644">
        <f t="shared" si="13"/>
        <v>0</v>
      </c>
      <c r="L51" s="644">
        <v>0</v>
      </c>
      <c r="M51" s="644">
        <f t="shared" si="14"/>
        <v>0</v>
      </c>
      <c r="N51" s="644">
        <f t="shared" si="14"/>
        <v>0</v>
      </c>
      <c r="O51" s="396"/>
      <c r="P51" s="396"/>
      <c r="Q51" s="541"/>
      <c r="R51" s="541"/>
      <c r="S51" s="541"/>
      <c r="T51" s="541"/>
      <c r="U51" s="541"/>
      <c r="V51" s="541"/>
      <c r="W51" s="541"/>
      <c r="X51" s="396"/>
      <c r="Y51" s="396"/>
      <c r="Z51" s="396"/>
      <c r="AA51" s="396"/>
      <c r="AB51" s="396"/>
      <c r="AC51" s="396"/>
      <c r="AD51" s="396"/>
      <c r="AE51" s="396"/>
      <c r="AF51" s="396"/>
      <c r="AG51" s="396"/>
    </row>
    <row r="52" s="394" customFormat="1" ht="24" spans="1:33">
      <c r="A52" s="551" t="s">
        <v>1695</v>
      </c>
      <c r="B52" s="561">
        <f>估价对象房地状况!C24</f>
        <v>0</v>
      </c>
      <c r="C52" s="450"/>
      <c r="D52" s="556">
        <f t="shared" si="10"/>
        <v>0</v>
      </c>
      <c r="E52" s="562"/>
      <c r="F52" s="558"/>
      <c r="G52" s="559"/>
      <c r="H52" s="560" t="str">
        <f t="shared" si="11"/>
        <v>——</v>
      </c>
      <c r="I52" s="643">
        <v>0.08</v>
      </c>
      <c r="J52" s="644">
        <f t="shared" si="12"/>
        <v>0</v>
      </c>
      <c r="K52" s="644">
        <f t="shared" si="13"/>
        <v>0</v>
      </c>
      <c r="L52" s="644">
        <v>0</v>
      </c>
      <c r="M52" s="644">
        <f t="shared" si="14"/>
        <v>0</v>
      </c>
      <c r="N52" s="644">
        <f t="shared" si="14"/>
        <v>0</v>
      </c>
      <c r="O52" s="396"/>
      <c r="P52" s="396"/>
      <c r="Q52" s="541"/>
      <c r="R52" s="541"/>
      <c r="S52" s="541"/>
      <c r="T52" s="541"/>
      <c r="U52" s="541"/>
      <c r="V52" s="541"/>
      <c r="W52" s="541"/>
      <c r="X52" s="396"/>
      <c r="Y52" s="396"/>
      <c r="Z52" s="396"/>
      <c r="AA52" s="396"/>
      <c r="AB52" s="396"/>
      <c r="AC52" s="396"/>
      <c r="AD52" s="396"/>
      <c r="AE52" s="396"/>
      <c r="AF52" s="396"/>
      <c r="AG52" s="396"/>
    </row>
    <row r="53" s="394" customFormat="1" ht="24" spans="1:33">
      <c r="A53" s="551" t="s">
        <v>1696</v>
      </c>
      <c r="B53" s="564" t="s">
        <v>1697</v>
      </c>
      <c r="C53" s="450"/>
      <c r="D53" s="556">
        <f t="shared" si="10"/>
        <v>0</v>
      </c>
      <c r="E53" s="562"/>
      <c r="F53" s="558"/>
      <c r="G53" s="559"/>
      <c r="H53" s="560" t="str">
        <f t="shared" si="11"/>
        <v>——</v>
      </c>
      <c r="I53" s="643">
        <v>0.03</v>
      </c>
      <c r="J53" s="644">
        <f t="shared" si="12"/>
        <v>0</v>
      </c>
      <c r="K53" s="644">
        <f t="shared" si="13"/>
        <v>0</v>
      </c>
      <c r="L53" s="644">
        <v>0</v>
      </c>
      <c r="M53" s="644">
        <f t="shared" si="14"/>
        <v>0</v>
      </c>
      <c r="N53" s="644">
        <f t="shared" si="14"/>
        <v>0</v>
      </c>
      <c r="O53" s="396"/>
      <c r="P53" s="396"/>
      <c r="Q53" s="541"/>
      <c r="R53" s="541"/>
      <c r="S53" s="541"/>
      <c r="T53" s="541"/>
      <c r="U53" s="541"/>
      <c r="V53" s="541"/>
      <c r="W53" s="541"/>
      <c r="X53" s="396"/>
      <c r="Y53" s="396"/>
      <c r="Z53" s="396"/>
      <c r="AA53" s="396"/>
      <c r="AB53" s="396"/>
      <c r="AC53" s="396"/>
      <c r="AD53" s="396"/>
      <c r="AE53" s="396"/>
      <c r="AF53" s="396"/>
      <c r="AG53" s="396"/>
    </row>
    <row r="54" s="394" customFormat="1" ht="24" spans="1:33">
      <c r="A54" s="565" t="s">
        <v>1698</v>
      </c>
      <c r="B54" s="566" t="str">
        <f>估价对象房地状况!C21</f>
        <v>估价对象所在区域公共配套设施齐备情况</v>
      </c>
      <c r="C54" s="450"/>
      <c r="D54" s="556">
        <f t="shared" si="10"/>
        <v>0</v>
      </c>
      <c r="E54" s="562"/>
      <c r="F54" s="558"/>
      <c r="G54" s="559"/>
      <c r="H54" s="560" t="str">
        <f t="shared" si="11"/>
        <v>——</v>
      </c>
      <c r="I54" s="643">
        <v>0.05</v>
      </c>
      <c r="J54" s="644">
        <f t="shared" si="12"/>
        <v>0</v>
      </c>
      <c r="K54" s="644">
        <f t="shared" si="13"/>
        <v>0</v>
      </c>
      <c r="L54" s="644">
        <v>0</v>
      </c>
      <c r="M54" s="644">
        <f t="shared" si="14"/>
        <v>0</v>
      </c>
      <c r="N54" s="644">
        <f t="shared" si="14"/>
        <v>0</v>
      </c>
      <c r="O54" s="396"/>
      <c r="P54" s="396"/>
      <c r="Q54" s="541"/>
      <c r="R54" s="541"/>
      <c r="S54" s="541"/>
      <c r="T54" s="541"/>
      <c r="U54" s="541"/>
      <c r="V54" s="541"/>
      <c r="W54" s="541"/>
      <c r="X54" s="396"/>
      <c r="Y54" s="396"/>
      <c r="Z54" s="396"/>
      <c r="AA54" s="396"/>
      <c r="AB54" s="396"/>
      <c r="AC54" s="396"/>
      <c r="AD54" s="396"/>
      <c r="AE54" s="396"/>
      <c r="AF54" s="396"/>
      <c r="AG54" s="396"/>
    </row>
    <row r="55" s="394" customFormat="1" ht="24" spans="1:33">
      <c r="A55" s="565" t="s">
        <v>1699</v>
      </c>
      <c r="B55" s="561" t="str">
        <f>估价对象房地状况!C22</f>
        <v>估价对象所在区域基础设施水平</v>
      </c>
      <c r="C55" s="450"/>
      <c r="D55" s="556">
        <f t="shared" si="10"/>
        <v>0</v>
      </c>
      <c r="E55" s="562"/>
      <c r="F55" s="558"/>
      <c r="G55" s="559"/>
      <c r="H55" s="560" t="str">
        <f t="shared" si="11"/>
        <v>——</v>
      </c>
      <c r="I55" s="643">
        <v>0.1</v>
      </c>
      <c r="J55" s="644">
        <f t="shared" si="12"/>
        <v>0</v>
      </c>
      <c r="K55" s="644">
        <f t="shared" si="13"/>
        <v>0</v>
      </c>
      <c r="L55" s="644">
        <v>0</v>
      </c>
      <c r="M55" s="644">
        <f t="shared" si="14"/>
        <v>0</v>
      </c>
      <c r="N55" s="644">
        <f t="shared" si="14"/>
        <v>0</v>
      </c>
      <c r="O55" s="396"/>
      <c r="P55" s="396"/>
      <c r="Q55" s="541"/>
      <c r="R55" s="541"/>
      <c r="S55" s="541"/>
      <c r="T55" s="541"/>
      <c r="U55" s="541"/>
      <c r="V55" s="541"/>
      <c r="W55" s="541"/>
      <c r="X55" s="396"/>
      <c r="Y55" s="396"/>
      <c r="Z55" s="396"/>
      <c r="AA55" s="396"/>
      <c r="AB55" s="396"/>
      <c r="AC55" s="396"/>
      <c r="AD55" s="396"/>
      <c r="AE55" s="396"/>
      <c r="AF55" s="396"/>
      <c r="AG55" s="396"/>
    </row>
    <row r="56" s="394" customFormat="1" ht="36.75" spans="1:33">
      <c r="A56" s="567" t="s">
        <v>1700</v>
      </c>
      <c r="B56" s="568" t="str">
        <f>估价对象房地状况!C20</f>
        <v>区域自然环境：；人文环境；综合评价环境状况一般</v>
      </c>
      <c r="C56" s="450"/>
      <c r="D56" s="556">
        <f t="shared" si="10"/>
        <v>0</v>
      </c>
      <c r="E56" s="569"/>
      <c r="F56" s="558"/>
      <c r="G56" s="559"/>
      <c r="H56" s="560" t="str">
        <f t="shared" si="11"/>
        <v>——</v>
      </c>
      <c r="I56" s="645">
        <v>0.06</v>
      </c>
      <c r="J56" s="644">
        <f t="shared" si="12"/>
        <v>0</v>
      </c>
      <c r="K56" s="644">
        <f t="shared" si="13"/>
        <v>0</v>
      </c>
      <c r="L56" s="644">
        <v>0</v>
      </c>
      <c r="M56" s="644">
        <f t="shared" si="14"/>
        <v>0</v>
      </c>
      <c r="N56" s="644">
        <f t="shared" si="14"/>
        <v>0</v>
      </c>
      <c r="O56" s="396"/>
      <c r="P56" s="396"/>
      <c r="Q56" s="541"/>
      <c r="R56" s="541"/>
      <c r="S56" s="541"/>
      <c r="T56" s="541"/>
      <c r="U56" s="541"/>
      <c r="V56" s="541"/>
      <c r="W56" s="541"/>
      <c r="X56" s="396"/>
      <c r="Y56" s="396"/>
      <c r="Z56" s="396"/>
      <c r="AA56" s="396"/>
      <c r="AB56" s="396"/>
      <c r="AC56" s="396"/>
      <c r="AD56" s="396"/>
      <c r="AE56" s="396"/>
      <c r="AF56" s="396"/>
      <c r="AG56" s="396"/>
    </row>
    <row r="57" s="394" customFormat="1" ht="15" spans="1:33">
      <c r="A57" s="545" t="s">
        <v>1701</v>
      </c>
      <c r="B57" s="570">
        <f>1+E59</f>
        <v>1</v>
      </c>
      <c r="C57" s="548"/>
      <c r="D57" s="548"/>
      <c r="E57" s="549"/>
      <c r="F57" s="550"/>
      <c r="G57" s="544"/>
      <c r="H57" s="544"/>
      <c r="I57" s="544"/>
      <c r="J57" s="544"/>
      <c r="K57" s="544"/>
      <c r="L57" s="544"/>
      <c r="M57" s="544"/>
      <c r="N57" s="544"/>
      <c r="O57" s="396"/>
      <c r="P57" s="396"/>
      <c r="Q57" s="541"/>
      <c r="R57" s="541"/>
      <c r="S57" s="541"/>
      <c r="T57" s="541"/>
      <c r="U57" s="541"/>
      <c r="V57" s="541"/>
      <c r="W57" s="541"/>
      <c r="X57" s="396"/>
      <c r="Y57" s="396"/>
      <c r="Z57" s="396"/>
      <c r="AA57" s="396"/>
      <c r="AB57" s="396"/>
      <c r="AC57" s="396"/>
      <c r="AD57" s="396"/>
      <c r="AE57" s="396"/>
      <c r="AF57" s="396"/>
      <c r="AG57" s="396"/>
    </row>
    <row r="58" s="394" customFormat="1" ht="24.75" spans="1:33">
      <c r="A58" s="551" t="s">
        <v>1682</v>
      </c>
      <c r="B58" s="561"/>
      <c r="C58" s="552" t="s">
        <v>1684</v>
      </c>
      <c r="D58" s="552" t="s">
        <v>1685</v>
      </c>
      <c r="E58" s="553" t="s">
        <v>1686</v>
      </c>
      <c r="F58" s="506" t="s">
        <v>1687</v>
      </c>
      <c r="G58" s="552" t="s">
        <v>1445</v>
      </c>
      <c r="H58" s="554" t="s">
        <v>1688</v>
      </c>
      <c r="I58" s="552" t="s">
        <v>1689</v>
      </c>
      <c r="J58" s="642" t="s">
        <v>226</v>
      </c>
      <c r="K58" s="642" t="s">
        <v>238</v>
      </c>
      <c r="L58" s="642" t="s">
        <v>249</v>
      </c>
      <c r="M58" s="642" t="s">
        <v>259</v>
      </c>
      <c r="N58" s="642" t="s">
        <v>266</v>
      </c>
      <c r="O58" s="396"/>
      <c r="P58" s="396"/>
      <c r="Q58" s="541"/>
      <c r="R58" s="541"/>
      <c r="S58" s="541"/>
      <c r="T58" s="541"/>
      <c r="U58" s="541"/>
      <c r="V58" s="541"/>
      <c r="W58" s="541"/>
      <c r="X58" s="396"/>
      <c r="Y58" s="396"/>
      <c r="Z58" s="396"/>
      <c r="AA58" s="396"/>
      <c r="AB58" s="396"/>
      <c r="AC58" s="396"/>
      <c r="AD58" s="396"/>
      <c r="AE58" s="396"/>
      <c r="AF58" s="396"/>
      <c r="AG58" s="396"/>
    </row>
    <row r="59" s="394" customFormat="1" ht="36.75" spans="1:33">
      <c r="A59" s="551" t="s">
        <v>1702</v>
      </c>
      <c r="B59" s="555" t="str">
        <f>估价对象房地状况!C17</f>
        <v>估价对象位于XX商圈，周边办公楼项目较多，入驻率高，办公集聚程度较好</v>
      </c>
      <c r="C59" s="450"/>
      <c r="D59" s="556">
        <f t="shared" ref="D59:D67" si="15">SUMIF($J$58:$N$58,C59,J59:N59)</f>
        <v>0</v>
      </c>
      <c r="E59" s="557">
        <f>ROUND(SUM(D59:D67),4)</f>
        <v>0</v>
      </c>
      <c r="F59" s="558" t="str">
        <f>IF(E2="办公",SUMIF(L1:L12,G2,N1:N12),"——")</f>
        <v>——</v>
      </c>
      <c r="G59" s="559"/>
      <c r="H59" s="560" t="str">
        <f t="shared" ref="H59:H67" si="16">IFERROR(ROUNDDOWN($F$59*I59/2,4),"——")</f>
        <v>——</v>
      </c>
      <c r="I59" s="643">
        <v>0.24</v>
      </c>
      <c r="J59" s="644">
        <f t="shared" ref="J59:J67" si="17">K59+$G59</f>
        <v>0</v>
      </c>
      <c r="K59" s="644">
        <f t="shared" ref="K59:K67" si="18">$L59+$G59</f>
        <v>0</v>
      </c>
      <c r="L59" s="644">
        <v>0</v>
      </c>
      <c r="M59" s="644">
        <f t="shared" ref="M59:N67" si="19">L59-$G59</f>
        <v>0</v>
      </c>
      <c r="N59" s="644">
        <f t="shared" si="19"/>
        <v>0</v>
      </c>
      <c r="O59" s="396"/>
      <c r="P59" s="396"/>
      <c r="Q59" s="541"/>
      <c r="R59" s="541"/>
      <c r="S59" s="541"/>
      <c r="T59" s="541"/>
      <c r="U59" s="541"/>
      <c r="V59" s="541"/>
      <c r="W59" s="541"/>
      <c r="X59" s="396"/>
      <c r="Y59" s="396"/>
      <c r="Z59" s="396"/>
      <c r="AA59" s="396"/>
      <c r="AB59" s="396"/>
      <c r="AC59" s="396"/>
      <c r="AD59" s="396"/>
      <c r="AE59" s="396"/>
      <c r="AF59" s="396"/>
      <c r="AG59" s="396"/>
    </row>
    <row r="60" s="394" customFormat="1" ht="48" spans="1:33">
      <c r="A60" s="551" t="s">
        <v>1691</v>
      </c>
      <c r="B60" s="561" t="str">
        <f>估价对象房地状况!C18</f>
        <v>估价对象周边道路状况、公共交通通达情况、停车便捷程度，综合评价交通便捷度较好</v>
      </c>
      <c r="C60" s="450"/>
      <c r="D60" s="556">
        <f t="shared" si="15"/>
        <v>0</v>
      </c>
      <c r="E60" s="562"/>
      <c r="F60" s="558"/>
      <c r="G60" s="559"/>
      <c r="H60" s="560" t="str">
        <f t="shared" si="16"/>
        <v>——</v>
      </c>
      <c r="I60" s="643">
        <v>0.3</v>
      </c>
      <c r="J60" s="644">
        <f t="shared" si="17"/>
        <v>0</v>
      </c>
      <c r="K60" s="644">
        <f t="shared" si="18"/>
        <v>0</v>
      </c>
      <c r="L60" s="644">
        <v>0</v>
      </c>
      <c r="M60" s="644">
        <f t="shared" si="19"/>
        <v>0</v>
      </c>
      <c r="N60" s="644">
        <f t="shared" si="19"/>
        <v>0</v>
      </c>
      <c r="O60" s="396"/>
      <c r="P60" s="396"/>
      <c r="Q60" s="541"/>
      <c r="R60" s="541"/>
      <c r="S60" s="541"/>
      <c r="T60" s="541"/>
      <c r="U60" s="541"/>
      <c r="V60" s="541"/>
      <c r="W60" s="541"/>
      <c r="X60" s="396"/>
      <c r="Y60" s="396"/>
      <c r="Z60" s="396"/>
      <c r="AA60" s="396"/>
      <c r="AB60" s="396"/>
      <c r="AC60" s="396"/>
      <c r="AD60" s="396"/>
      <c r="AE60" s="396"/>
      <c r="AF60" s="396"/>
      <c r="AG60" s="396"/>
    </row>
    <row r="61" s="394" customFormat="1" ht="24" spans="1:33">
      <c r="A61" s="551" t="s">
        <v>1692</v>
      </c>
      <c r="B61" s="561">
        <f>估价对象房地状况!C19</f>
        <v>0</v>
      </c>
      <c r="C61" s="450"/>
      <c r="D61" s="556">
        <f t="shared" si="15"/>
        <v>0</v>
      </c>
      <c r="E61" s="562"/>
      <c r="F61" s="558"/>
      <c r="G61" s="559"/>
      <c r="H61" s="560" t="str">
        <f t="shared" si="16"/>
        <v>——</v>
      </c>
      <c r="I61" s="643">
        <v>0.08</v>
      </c>
      <c r="J61" s="644">
        <f t="shared" si="17"/>
        <v>0</v>
      </c>
      <c r="K61" s="644">
        <f t="shared" si="18"/>
        <v>0</v>
      </c>
      <c r="L61" s="644">
        <v>0</v>
      </c>
      <c r="M61" s="644">
        <f t="shared" si="19"/>
        <v>0</v>
      </c>
      <c r="N61" s="644">
        <f t="shared" si="19"/>
        <v>0</v>
      </c>
      <c r="O61" s="396"/>
      <c r="P61" s="396"/>
      <c r="Q61" s="541"/>
      <c r="R61" s="541"/>
      <c r="S61" s="541"/>
      <c r="T61" s="541"/>
      <c r="U61" s="541"/>
      <c r="V61" s="541"/>
      <c r="W61" s="541"/>
      <c r="X61" s="396"/>
      <c r="Y61" s="396"/>
      <c r="Z61" s="396"/>
      <c r="AA61" s="396"/>
      <c r="AB61" s="396"/>
      <c r="AC61" s="396"/>
      <c r="AD61" s="396"/>
      <c r="AE61" s="396"/>
      <c r="AF61" s="396"/>
      <c r="AG61" s="396"/>
    </row>
    <row r="62" s="394" customFormat="1" ht="36.75" spans="1:33">
      <c r="A62" s="551" t="s">
        <v>1693</v>
      </c>
      <c r="B62" s="563" t="s">
        <v>1694</v>
      </c>
      <c r="C62" s="450"/>
      <c r="D62" s="556">
        <f t="shared" si="15"/>
        <v>0</v>
      </c>
      <c r="E62" s="562"/>
      <c r="F62" s="558"/>
      <c r="G62" s="559"/>
      <c r="H62" s="560" t="str">
        <f t="shared" si="16"/>
        <v>——</v>
      </c>
      <c r="I62" s="643">
        <v>0.04</v>
      </c>
      <c r="J62" s="644">
        <f t="shared" si="17"/>
        <v>0</v>
      </c>
      <c r="K62" s="644">
        <f t="shared" si="18"/>
        <v>0</v>
      </c>
      <c r="L62" s="644">
        <v>0</v>
      </c>
      <c r="M62" s="644">
        <f t="shared" si="19"/>
        <v>0</v>
      </c>
      <c r="N62" s="644">
        <f t="shared" si="19"/>
        <v>0</v>
      </c>
      <c r="O62" s="396"/>
      <c r="P62" s="396"/>
      <c r="Q62" s="541"/>
      <c r="R62" s="541"/>
      <c r="S62" s="541"/>
      <c r="T62" s="541"/>
      <c r="U62" s="541"/>
      <c r="V62" s="541"/>
      <c r="W62" s="541"/>
      <c r="X62" s="396"/>
      <c r="Y62" s="396"/>
      <c r="Z62" s="396"/>
      <c r="AA62" s="396"/>
      <c r="AB62" s="396"/>
      <c r="AC62" s="396"/>
      <c r="AD62" s="396"/>
      <c r="AE62" s="396"/>
      <c r="AF62" s="396"/>
      <c r="AG62" s="396"/>
    </row>
    <row r="63" s="394" customFormat="1" ht="24" spans="1:33">
      <c r="A63" s="551" t="s">
        <v>1695</v>
      </c>
      <c r="B63" s="561">
        <f>估价对象房地状况!C24</f>
        <v>0</v>
      </c>
      <c r="C63" s="450"/>
      <c r="D63" s="556">
        <f t="shared" si="15"/>
        <v>0</v>
      </c>
      <c r="E63" s="562"/>
      <c r="F63" s="558"/>
      <c r="G63" s="559"/>
      <c r="H63" s="560" t="str">
        <f t="shared" si="16"/>
        <v>——</v>
      </c>
      <c r="I63" s="643">
        <v>0.05</v>
      </c>
      <c r="J63" s="644">
        <f t="shared" si="17"/>
        <v>0</v>
      </c>
      <c r="K63" s="644">
        <f t="shared" si="18"/>
        <v>0</v>
      </c>
      <c r="L63" s="644">
        <v>0</v>
      </c>
      <c r="M63" s="644">
        <f t="shared" si="19"/>
        <v>0</v>
      </c>
      <c r="N63" s="644">
        <f t="shared" si="19"/>
        <v>0</v>
      </c>
      <c r="O63" s="396"/>
      <c r="P63" s="396"/>
      <c r="Q63" s="541"/>
      <c r="R63" s="541"/>
      <c r="S63" s="541"/>
      <c r="T63" s="541"/>
      <c r="U63" s="541"/>
      <c r="V63" s="541"/>
      <c r="W63" s="541"/>
      <c r="X63" s="396"/>
      <c r="Y63" s="396"/>
      <c r="Z63" s="396"/>
      <c r="AA63" s="396"/>
      <c r="AB63" s="396"/>
      <c r="AC63" s="396"/>
      <c r="AD63" s="396"/>
      <c r="AE63" s="396"/>
      <c r="AF63" s="396"/>
      <c r="AG63" s="396"/>
    </row>
    <row r="64" s="394" customFormat="1" ht="24" spans="1:33">
      <c r="A64" s="551" t="s">
        <v>1696</v>
      </c>
      <c r="B64" s="564" t="s">
        <v>1697</v>
      </c>
      <c r="C64" s="450"/>
      <c r="D64" s="556">
        <f t="shared" si="15"/>
        <v>0</v>
      </c>
      <c r="E64" s="562"/>
      <c r="F64" s="558"/>
      <c r="G64" s="559"/>
      <c r="H64" s="560" t="str">
        <f t="shared" si="16"/>
        <v>——</v>
      </c>
      <c r="I64" s="643">
        <v>0.05</v>
      </c>
      <c r="J64" s="644">
        <f t="shared" si="17"/>
        <v>0</v>
      </c>
      <c r="K64" s="644">
        <f t="shared" si="18"/>
        <v>0</v>
      </c>
      <c r="L64" s="644">
        <v>0</v>
      </c>
      <c r="M64" s="644">
        <f t="shared" si="19"/>
        <v>0</v>
      </c>
      <c r="N64" s="644">
        <f t="shared" si="19"/>
        <v>0</v>
      </c>
      <c r="O64" s="396"/>
      <c r="P64" s="396"/>
      <c r="Q64" s="541"/>
      <c r="R64" s="541"/>
      <c r="S64" s="541"/>
      <c r="T64" s="541"/>
      <c r="U64" s="541"/>
      <c r="V64" s="541"/>
      <c r="W64" s="541"/>
      <c r="X64" s="396"/>
      <c r="Y64" s="396"/>
      <c r="Z64" s="396"/>
      <c r="AA64" s="396"/>
      <c r="AB64" s="396"/>
      <c r="AC64" s="396"/>
      <c r="AD64" s="396"/>
      <c r="AE64" s="396"/>
      <c r="AF64" s="396"/>
      <c r="AG64" s="396"/>
    </row>
    <row r="65" s="394" customFormat="1" ht="24" spans="1:33">
      <c r="A65" s="551" t="s">
        <v>1698</v>
      </c>
      <c r="B65" s="566" t="str">
        <f>估价对象房地状况!C21</f>
        <v>估价对象所在区域公共配套设施齐备情况</v>
      </c>
      <c r="C65" s="450"/>
      <c r="D65" s="556">
        <f t="shared" si="15"/>
        <v>0</v>
      </c>
      <c r="E65" s="562"/>
      <c r="F65" s="558"/>
      <c r="G65" s="559"/>
      <c r="H65" s="560" t="str">
        <f t="shared" si="16"/>
        <v>——</v>
      </c>
      <c r="I65" s="643">
        <v>0.06</v>
      </c>
      <c r="J65" s="644">
        <f t="shared" si="17"/>
        <v>0</v>
      </c>
      <c r="K65" s="644">
        <f t="shared" si="18"/>
        <v>0</v>
      </c>
      <c r="L65" s="644">
        <v>0</v>
      </c>
      <c r="M65" s="644">
        <f t="shared" si="19"/>
        <v>0</v>
      </c>
      <c r="N65" s="644">
        <f t="shared" si="19"/>
        <v>0</v>
      </c>
      <c r="O65" s="396"/>
      <c r="P65" s="396"/>
      <c r="Q65" s="541"/>
      <c r="R65" s="541"/>
      <c r="S65" s="541"/>
      <c r="T65" s="541"/>
      <c r="U65" s="541"/>
      <c r="V65" s="541"/>
      <c r="W65" s="541"/>
      <c r="X65" s="396"/>
      <c r="Y65" s="396"/>
      <c r="Z65" s="396"/>
      <c r="AA65" s="396"/>
      <c r="AB65" s="396"/>
      <c r="AC65" s="396"/>
      <c r="AD65" s="396"/>
      <c r="AE65" s="396"/>
      <c r="AF65" s="396"/>
      <c r="AG65" s="396"/>
    </row>
    <row r="66" s="394" customFormat="1" ht="24" spans="1:33">
      <c r="A66" s="551" t="s">
        <v>1699</v>
      </c>
      <c r="B66" s="566" t="str">
        <f>估价对象房地状况!C22</f>
        <v>估价对象所在区域基础设施水平</v>
      </c>
      <c r="C66" s="450"/>
      <c r="D66" s="556">
        <f t="shared" si="15"/>
        <v>0</v>
      </c>
      <c r="E66" s="562"/>
      <c r="F66" s="558"/>
      <c r="G66" s="559"/>
      <c r="H66" s="560" t="str">
        <f t="shared" si="16"/>
        <v>——</v>
      </c>
      <c r="I66" s="643">
        <v>0.12</v>
      </c>
      <c r="J66" s="644">
        <f t="shared" si="17"/>
        <v>0</v>
      </c>
      <c r="K66" s="644">
        <f t="shared" si="18"/>
        <v>0</v>
      </c>
      <c r="L66" s="644">
        <v>0</v>
      </c>
      <c r="M66" s="644">
        <f t="shared" si="19"/>
        <v>0</v>
      </c>
      <c r="N66" s="644">
        <f t="shared" si="19"/>
        <v>0</v>
      </c>
      <c r="O66" s="396"/>
      <c r="P66" s="396"/>
      <c r="Q66" s="541"/>
      <c r="R66" s="541"/>
      <c r="S66" s="541"/>
      <c r="T66" s="541"/>
      <c r="U66" s="541"/>
      <c r="V66" s="541"/>
      <c r="W66" s="541"/>
      <c r="X66" s="396"/>
      <c r="Y66" s="396"/>
      <c r="Z66" s="396"/>
      <c r="AA66" s="396"/>
      <c r="AB66" s="396"/>
      <c r="AC66" s="396"/>
      <c r="AD66" s="396"/>
      <c r="AE66" s="396"/>
      <c r="AF66" s="396"/>
      <c r="AG66" s="396"/>
    </row>
    <row r="67" s="394" customFormat="1" ht="36.75" spans="1:33">
      <c r="A67" s="567" t="s">
        <v>1700</v>
      </c>
      <c r="B67" s="669" t="str">
        <f>估价对象房地状况!C20</f>
        <v>区域自然环境：；人文环境；综合评价环境状况一般</v>
      </c>
      <c r="C67" s="450"/>
      <c r="D67" s="556">
        <f t="shared" si="15"/>
        <v>0</v>
      </c>
      <c r="E67" s="569"/>
      <c r="F67" s="558"/>
      <c r="G67" s="559"/>
      <c r="H67" s="560" t="str">
        <f t="shared" si="16"/>
        <v>——</v>
      </c>
      <c r="I67" s="645">
        <v>0.06</v>
      </c>
      <c r="J67" s="644">
        <f t="shared" si="17"/>
        <v>0</v>
      </c>
      <c r="K67" s="644">
        <f t="shared" si="18"/>
        <v>0</v>
      </c>
      <c r="L67" s="644">
        <v>0</v>
      </c>
      <c r="M67" s="644">
        <f t="shared" si="19"/>
        <v>0</v>
      </c>
      <c r="N67" s="644">
        <f t="shared" si="19"/>
        <v>0</v>
      </c>
      <c r="O67" s="396"/>
      <c r="P67" s="396"/>
      <c r="Q67" s="541"/>
      <c r="R67" s="541"/>
      <c r="S67" s="541"/>
      <c r="T67" s="541"/>
      <c r="U67" s="541"/>
      <c r="V67" s="541"/>
      <c r="W67" s="541"/>
      <c r="X67" s="396"/>
      <c r="Y67" s="396"/>
      <c r="Z67" s="396"/>
      <c r="AA67" s="396"/>
      <c r="AB67" s="396"/>
      <c r="AC67" s="396"/>
      <c r="AD67" s="396"/>
      <c r="AE67" s="396"/>
      <c r="AF67" s="396"/>
      <c r="AG67" s="396"/>
    </row>
    <row r="68" s="394" customFormat="1" ht="15" spans="1:33">
      <c r="A68" s="545" t="s">
        <v>1703</v>
      </c>
      <c r="B68" s="570">
        <f>1+E70</f>
        <v>1</v>
      </c>
      <c r="C68" s="548"/>
      <c r="D68" s="548"/>
      <c r="E68" s="549"/>
      <c r="F68" s="550"/>
      <c r="G68" s="544"/>
      <c r="H68" s="544"/>
      <c r="I68" s="544"/>
      <c r="J68" s="544"/>
      <c r="K68" s="544"/>
      <c r="L68" s="544"/>
      <c r="M68" s="544"/>
      <c r="N68" s="544"/>
      <c r="O68" s="396"/>
      <c r="P68" s="396"/>
      <c r="Q68" s="541"/>
      <c r="R68" s="541"/>
      <c r="S68" s="541"/>
      <c r="T68" s="541"/>
      <c r="U68" s="541"/>
      <c r="V68" s="541"/>
      <c r="W68" s="541"/>
      <c r="X68" s="396"/>
      <c r="Y68" s="396"/>
      <c r="Z68" s="396"/>
      <c r="AA68" s="396"/>
      <c r="AB68" s="396"/>
      <c r="AC68" s="396"/>
      <c r="AD68" s="396"/>
      <c r="AE68" s="396"/>
      <c r="AF68" s="396"/>
      <c r="AG68" s="396"/>
    </row>
    <row r="69" s="394" customFormat="1" ht="24.75" spans="1:33">
      <c r="A69" s="551" t="s">
        <v>1682</v>
      </c>
      <c r="B69" s="561"/>
      <c r="C69" s="552" t="s">
        <v>1684</v>
      </c>
      <c r="D69" s="552" t="s">
        <v>1685</v>
      </c>
      <c r="E69" s="553" t="s">
        <v>1686</v>
      </c>
      <c r="F69" s="506" t="s">
        <v>1687</v>
      </c>
      <c r="G69" s="552" t="s">
        <v>1445</v>
      </c>
      <c r="H69" s="554" t="s">
        <v>1688</v>
      </c>
      <c r="I69" s="552" t="s">
        <v>1689</v>
      </c>
      <c r="J69" s="642" t="s">
        <v>226</v>
      </c>
      <c r="K69" s="642" t="s">
        <v>238</v>
      </c>
      <c r="L69" s="642" t="s">
        <v>249</v>
      </c>
      <c r="M69" s="642" t="s">
        <v>259</v>
      </c>
      <c r="N69" s="642" t="s">
        <v>266</v>
      </c>
      <c r="O69" s="396"/>
      <c r="P69" s="396"/>
      <c r="Q69" s="541"/>
      <c r="R69" s="541"/>
      <c r="S69" s="541"/>
      <c r="T69" s="541"/>
      <c r="U69" s="541"/>
      <c r="V69" s="541"/>
      <c r="W69" s="541"/>
      <c r="X69" s="396"/>
      <c r="Y69" s="396"/>
      <c r="Z69" s="396"/>
      <c r="AA69" s="396"/>
      <c r="AB69" s="396"/>
      <c r="AC69" s="396"/>
      <c r="AD69" s="396"/>
      <c r="AE69" s="396"/>
      <c r="AF69" s="396"/>
      <c r="AG69" s="396"/>
    </row>
    <row r="70" s="394" customFormat="1" ht="48" spans="1:33">
      <c r="A70" s="551" t="s">
        <v>1704</v>
      </c>
      <c r="B70" s="555" t="str">
        <f>估价对象房地状况!C15</f>
        <v>估价对象周边居住用地比例、居住小区规模和社区发展完善程度，综合评价居住社区成熟度一般</v>
      </c>
      <c r="C70" s="450"/>
      <c r="D70" s="556">
        <f t="shared" ref="D70:D78" si="20">SUMIF($J$69:$N$69,C70,J70:N70)</f>
        <v>0</v>
      </c>
      <c r="E70" s="557">
        <f>ROUND(SUM(D70:D78),4)</f>
        <v>0</v>
      </c>
      <c r="F70" s="558">
        <f>IF(E2="住宅",SUMIF(L1:L12,G2,N1:N12),"——")</f>
        <v>0</v>
      </c>
      <c r="G70" s="559"/>
      <c r="H70" s="560">
        <f t="shared" ref="H70:H78" si="21">IFERROR(ROUNDDOWN($F$70*I70/2,4),"——")</f>
        <v>0</v>
      </c>
      <c r="I70" s="643">
        <v>0.14</v>
      </c>
      <c r="J70" s="644">
        <f t="shared" ref="J70:J78" si="22">K70+$G70</f>
        <v>0</v>
      </c>
      <c r="K70" s="644">
        <f t="shared" ref="K70:K78" si="23">$L70+$G70</f>
        <v>0</v>
      </c>
      <c r="L70" s="644">
        <v>0</v>
      </c>
      <c r="M70" s="644">
        <f t="shared" ref="M70:N78" si="24">L70-$G70</f>
        <v>0</v>
      </c>
      <c r="N70" s="644">
        <f t="shared" si="24"/>
        <v>0</v>
      </c>
      <c r="O70" s="396"/>
      <c r="P70" s="396"/>
      <c r="Q70" s="541"/>
      <c r="R70" s="541"/>
      <c r="S70" s="541"/>
      <c r="T70" s="541"/>
      <c r="U70" s="541"/>
      <c r="V70" s="541"/>
      <c r="W70" s="541"/>
      <c r="X70" s="396"/>
      <c r="Y70" s="396"/>
      <c r="Z70" s="396"/>
      <c r="AA70" s="396"/>
      <c r="AB70" s="396"/>
      <c r="AC70" s="396"/>
      <c r="AD70" s="396"/>
      <c r="AE70" s="396"/>
      <c r="AF70" s="396"/>
      <c r="AG70" s="396"/>
    </row>
    <row r="71" s="394" customFormat="1" ht="48" spans="1:33">
      <c r="A71" s="551" t="s">
        <v>1691</v>
      </c>
      <c r="B71" s="561" t="str">
        <f>估价对象房地状况!C18</f>
        <v>估价对象周边道路状况、公共交通通达情况、停车便捷程度，综合评价交通便捷度较好</v>
      </c>
      <c r="C71" s="450"/>
      <c r="D71" s="556">
        <f t="shared" si="20"/>
        <v>0</v>
      </c>
      <c r="E71" s="562"/>
      <c r="F71" s="558"/>
      <c r="G71" s="559"/>
      <c r="H71" s="560">
        <f t="shared" si="21"/>
        <v>0</v>
      </c>
      <c r="I71" s="643">
        <v>0.3</v>
      </c>
      <c r="J71" s="644">
        <f t="shared" si="22"/>
        <v>0</v>
      </c>
      <c r="K71" s="644">
        <f t="shared" si="23"/>
        <v>0</v>
      </c>
      <c r="L71" s="644">
        <v>0</v>
      </c>
      <c r="M71" s="644">
        <f t="shared" si="24"/>
        <v>0</v>
      </c>
      <c r="N71" s="644">
        <f t="shared" si="24"/>
        <v>0</v>
      </c>
      <c r="O71" s="396"/>
      <c r="P71" s="396"/>
      <c r="Q71" s="541"/>
      <c r="R71" s="541"/>
      <c r="S71" s="541"/>
      <c r="T71" s="541"/>
      <c r="U71" s="541"/>
      <c r="V71" s="541"/>
      <c r="W71" s="541"/>
      <c r="X71" s="396"/>
      <c r="Y71" s="396"/>
      <c r="Z71" s="396"/>
      <c r="AA71" s="396"/>
      <c r="AB71" s="396"/>
      <c r="AC71" s="396"/>
      <c r="AD71" s="396"/>
      <c r="AE71" s="396"/>
      <c r="AF71" s="396"/>
      <c r="AG71" s="396"/>
    </row>
    <row r="72" s="394" customFormat="1" ht="24" spans="1:33">
      <c r="A72" s="551" t="s">
        <v>1692</v>
      </c>
      <c r="B72" s="561">
        <f>估价对象房地状况!C19</f>
        <v>0</v>
      </c>
      <c r="C72" s="450"/>
      <c r="D72" s="556">
        <f t="shared" si="20"/>
        <v>0</v>
      </c>
      <c r="E72" s="562"/>
      <c r="F72" s="558"/>
      <c r="G72" s="559"/>
      <c r="H72" s="560">
        <f t="shared" si="21"/>
        <v>0</v>
      </c>
      <c r="I72" s="643">
        <v>0.08</v>
      </c>
      <c r="J72" s="644">
        <f t="shared" si="22"/>
        <v>0</v>
      </c>
      <c r="K72" s="644">
        <f t="shared" si="23"/>
        <v>0</v>
      </c>
      <c r="L72" s="644">
        <v>0</v>
      </c>
      <c r="M72" s="644">
        <f t="shared" si="24"/>
        <v>0</v>
      </c>
      <c r="N72" s="644">
        <f t="shared" si="24"/>
        <v>0</v>
      </c>
      <c r="O72" s="396"/>
      <c r="P72" s="396"/>
      <c r="Q72" s="541"/>
      <c r="R72" s="541"/>
      <c r="S72" s="541"/>
      <c r="T72" s="541"/>
      <c r="U72" s="541"/>
      <c r="V72" s="541"/>
      <c r="W72" s="541"/>
      <c r="X72" s="396"/>
      <c r="Y72" s="396"/>
      <c r="Z72" s="396"/>
      <c r="AA72" s="396"/>
      <c r="AB72" s="396"/>
      <c r="AC72" s="396"/>
      <c r="AD72" s="396"/>
      <c r="AE72" s="396"/>
      <c r="AF72" s="396"/>
      <c r="AG72" s="396"/>
    </row>
    <row r="73" s="394" customFormat="1" ht="14.25" spans="1:33">
      <c r="A73" s="551" t="s">
        <v>1705</v>
      </c>
      <c r="B73" s="561">
        <f>估价对象房地状况!C24</f>
        <v>0</v>
      </c>
      <c r="C73" s="450"/>
      <c r="D73" s="556">
        <f t="shared" si="20"/>
        <v>0</v>
      </c>
      <c r="E73" s="562"/>
      <c r="F73" s="558"/>
      <c r="G73" s="559"/>
      <c r="H73" s="560">
        <f t="shared" si="21"/>
        <v>0</v>
      </c>
      <c r="I73" s="643">
        <v>0.04</v>
      </c>
      <c r="J73" s="644">
        <f t="shared" si="22"/>
        <v>0</v>
      </c>
      <c r="K73" s="644">
        <f t="shared" si="23"/>
        <v>0</v>
      </c>
      <c r="L73" s="644">
        <v>0</v>
      </c>
      <c r="M73" s="644">
        <f t="shared" si="24"/>
        <v>0</v>
      </c>
      <c r="N73" s="644">
        <f t="shared" si="24"/>
        <v>0</v>
      </c>
      <c r="O73" s="396"/>
      <c r="P73" s="396"/>
      <c r="Q73" s="541"/>
      <c r="R73" s="541"/>
      <c r="S73" s="541"/>
      <c r="T73" s="541"/>
      <c r="U73" s="541"/>
      <c r="V73" s="541"/>
      <c r="W73" s="541"/>
      <c r="X73" s="396"/>
      <c r="Y73" s="396"/>
      <c r="Z73" s="396"/>
      <c r="AA73" s="396"/>
      <c r="AB73" s="396"/>
      <c r="AC73" s="396"/>
      <c r="AD73" s="396"/>
      <c r="AE73" s="396"/>
      <c r="AF73" s="396"/>
      <c r="AG73" s="396"/>
    </row>
    <row r="74" s="394" customFormat="1" ht="24" spans="1:33">
      <c r="A74" s="551" t="s">
        <v>1698</v>
      </c>
      <c r="B74" s="566" t="str">
        <f>估价对象房地状况!C21</f>
        <v>估价对象所在区域公共配套设施齐备情况</v>
      </c>
      <c r="C74" s="450"/>
      <c r="D74" s="556">
        <f t="shared" si="20"/>
        <v>0</v>
      </c>
      <c r="E74" s="562"/>
      <c r="F74" s="558"/>
      <c r="G74" s="559"/>
      <c r="H74" s="560">
        <f t="shared" si="21"/>
        <v>0</v>
      </c>
      <c r="I74" s="643">
        <v>0.08</v>
      </c>
      <c r="J74" s="644">
        <f t="shared" si="22"/>
        <v>0</v>
      </c>
      <c r="K74" s="644">
        <f t="shared" si="23"/>
        <v>0</v>
      </c>
      <c r="L74" s="644">
        <v>0</v>
      </c>
      <c r="M74" s="644">
        <f t="shared" si="24"/>
        <v>0</v>
      </c>
      <c r="N74" s="644">
        <f t="shared" si="24"/>
        <v>0</v>
      </c>
      <c r="O74" s="396"/>
      <c r="P74" s="396"/>
      <c r="Q74" s="541"/>
      <c r="R74" s="541"/>
      <c r="S74" s="541"/>
      <c r="T74" s="541"/>
      <c r="U74" s="541"/>
      <c r="V74" s="541"/>
      <c r="W74" s="541"/>
      <c r="X74" s="396"/>
      <c r="Y74" s="396"/>
      <c r="Z74" s="396"/>
      <c r="AA74" s="396"/>
      <c r="AB74" s="396"/>
      <c r="AC74" s="396"/>
      <c r="AD74" s="396"/>
      <c r="AE74" s="396"/>
      <c r="AF74" s="396"/>
      <c r="AG74" s="396"/>
    </row>
    <row r="75" s="394" customFormat="1" ht="24" spans="1:33">
      <c r="A75" s="551" t="s">
        <v>1699</v>
      </c>
      <c r="B75" s="566" t="str">
        <f>估价对象房地状况!C22</f>
        <v>估价对象所在区域基础设施水平</v>
      </c>
      <c r="C75" s="450"/>
      <c r="D75" s="556">
        <f t="shared" si="20"/>
        <v>0</v>
      </c>
      <c r="E75" s="562"/>
      <c r="F75" s="558"/>
      <c r="G75" s="559"/>
      <c r="H75" s="560">
        <f t="shared" si="21"/>
        <v>0</v>
      </c>
      <c r="I75" s="643">
        <v>0.12</v>
      </c>
      <c r="J75" s="644">
        <f t="shared" si="22"/>
        <v>0</v>
      </c>
      <c r="K75" s="644">
        <f t="shared" si="23"/>
        <v>0</v>
      </c>
      <c r="L75" s="644">
        <v>0</v>
      </c>
      <c r="M75" s="644">
        <f t="shared" si="24"/>
        <v>0</v>
      </c>
      <c r="N75" s="644">
        <f t="shared" si="24"/>
        <v>0</v>
      </c>
      <c r="O75" s="396"/>
      <c r="P75" s="396"/>
      <c r="Q75" s="541"/>
      <c r="R75" s="541"/>
      <c r="S75" s="541"/>
      <c r="T75" s="541"/>
      <c r="U75" s="541"/>
      <c r="V75" s="541"/>
      <c r="W75" s="541"/>
      <c r="X75" s="396"/>
      <c r="Y75" s="396"/>
      <c r="Z75" s="396"/>
      <c r="AA75" s="396"/>
      <c r="AB75" s="396"/>
      <c r="AC75" s="396"/>
      <c r="AD75" s="396"/>
      <c r="AE75" s="396"/>
      <c r="AF75" s="396"/>
      <c r="AG75" s="396"/>
    </row>
    <row r="76" ht="24" spans="1:33">
      <c r="A76" s="551" t="s">
        <v>1696</v>
      </c>
      <c r="B76" s="564" t="s">
        <v>1697</v>
      </c>
      <c r="C76" s="450"/>
      <c r="D76" s="556">
        <f t="shared" si="20"/>
        <v>0</v>
      </c>
      <c r="E76" s="562"/>
      <c r="F76" s="558"/>
      <c r="G76" s="559"/>
      <c r="H76" s="560">
        <f t="shared" si="21"/>
        <v>0</v>
      </c>
      <c r="I76" s="643">
        <v>0.05</v>
      </c>
      <c r="J76" s="644">
        <f t="shared" si="22"/>
        <v>0</v>
      </c>
      <c r="K76" s="644">
        <f t="shared" si="23"/>
        <v>0</v>
      </c>
      <c r="L76" s="644">
        <v>0</v>
      </c>
      <c r="M76" s="644">
        <f t="shared" si="24"/>
        <v>0</v>
      </c>
      <c r="N76" s="644">
        <f t="shared" si="24"/>
        <v>0</v>
      </c>
      <c r="Q76" s="705"/>
      <c r="R76" s="705"/>
      <c r="S76" s="705"/>
      <c r="T76" s="705"/>
      <c r="U76" s="705"/>
      <c r="V76" s="705"/>
      <c r="W76" s="705"/>
      <c r="AA76" s="395"/>
      <c r="AG76" s="394"/>
    </row>
    <row r="77" ht="36" spans="1:33">
      <c r="A77" s="551" t="s">
        <v>1700</v>
      </c>
      <c r="B77" s="555" t="str">
        <f>估价对象房地状况!C20</f>
        <v>区域自然环境：；人文环境；综合评价环境状况一般</v>
      </c>
      <c r="C77" s="450"/>
      <c r="D77" s="556">
        <f t="shared" si="20"/>
        <v>0</v>
      </c>
      <c r="E77" s="562"/>
      <c r="F77" s="558"/>
      <c r="G77" s="559"/>
      <c r="H77" s="560">
        <f t="shared" si="21"/>
        <v>0</v>
      </c>
      <c r="I77" s="643">
        <v>0.15</v>
      </c>
      <c r="J77" s="644">
        <f t="shared" si="22"/>
        <v>0</v>
      </c>
      <c r="K77" s="644">
        <f t="shared" si="23"/>
        <v>0</v>
      </c>
      <c r="L77" s="644">
        <v>0</v>
      </c>
      <c r="M77" s="644">
        <f t="shared" si="24"/>
        <v>0</v>
      </c>
      <c r="N77" s="644">
        <f t="shared" si="24"/>
        <v>0</v>
      </c>
      <c r="Q77" s="705"/>
      <c r="R77" s="705"/>
      <c r="S77" s="705"/>
      <c r="T77" s="705"/>
      <c r="U77" s="705"/>
      <c r="V77" s="705"/>
      <c r="W77" s="705"/>
      <c r="AA77" s="395"/>
      <c r="AG77" s="394"/>
    </row>
    <row r="78" ht="24.75" spans="1:33">
      <c r="A78" s="567" t="s">
        <v>1706</v>
      </c>
      <c r="B78" s="670"/>
      <c r="C78" s="450"/>
      <c r="D78" s="556">
        <f t="shared" si="20"/>
        <v>0</v>
      </c>
      <c r="E78" s="569"/>
      <c r="F78" s="558"/>
      <c r="G78" s="559"/>
      <c r="H78" s="560">
        <f t="shared" si="21"/>
        <v>0</v>
      </c>
      <c r="I78" s="645">
        <v>0.04</v>
      </c>
      <c r="J78" s="644">
        <f t="shared" si="22"/>
        <v>0</v>
      </c>
      <c r="K78" s="644">
        <f t="shared" si="23"/>
        <v>0</v>
      </c>
      <c r="L78" s="644">
        <v>0</v>
      </c>
      <c r="M78" s="644">
        <f t="shared" si="24"/>
        <v>0</v>
      </c>
      <c r="N78" s="644">
        <f t="shared" si="24"/>
        <v>0</v>
      </c>
      <c r="Q78" s="705"/>
      <c r="R78" s="705"/>
      <c r="S78" s="705"/>
      <c r="T78" s="705"/>
      <c r="U78" s="705"/>
      <c r="V78" s="705"/>
      <c r="W78" s="705"/>
      <c r="AA78" s="395"/>
      <c r="AG78" s="394"/>
    </row>
    <row r="79" ht="15" spans="1:33">
      <c r="A79" s="545" t="s">
        <v>1707</v>
      </c>
      <c r="B79" s="570">
        <f>1+E81</f>
        <v>1</v>
      </c>
      <c r="C79" s="548"/>
      <c r="D79" s="548"/>
      <c r="E79" s="549"/>
      <c r="F79" s="550"/>
      <c r="G79" s="544"/>
      <c r="H79" s="544"/>
      <c r="I79" s="544"/>
      <c r="J79" s="544"/>
      <c r="K79" s="544"/>
      <c r="L79" s="544"/>
      <c r="M79" s="544"/>
      <c r="N79" s="544"/>
      <c r="Q79" s="705"/>
      <c r="R79" s="705"/>
      <c r="S79" s="705"/>
      <c r="T79" s="705"/>
      <c r="U79" s="705"/>
      <c r="V79" s="705"/>
      <c r="W79" s="705"/>
      <c r="AA79" s="395"/>
      <c r="AG79" s="394"/>
    </row>
    <row r="80" ht="24.75" spans="1:33">
      <c r="A80" s="551" t="s">
        <v>1682</v>
      </c>
      <c r="B80" s="561"/>
      <c r="C80" s="552" t="s">
        <v>1684</v>
      </c>
      <c r="D80" s="552" t="s">
        <v>1685</v>
      </c>
      <c r="E80" s="553" t="s">
        <v>1686</v>
      </c>
      <c r="F80" s="506" t="s">
        <v>1687</v>
      </c>
      <c r="G80" s="552" t="s">
        <v>1445</v>
      </c>
      <c r="H80" s="554" t="s">
        <v>1688</v>
      </c>
      <c r="I80" s="552" t="s">
        <v>1689</v>
      </c>
      <c r="J80" s="642" t="s">
        <v>226</v>
      </c>
      <c r="K80" s="642" t="s">
        <v>238</v>
      </c>
      <c r="L80" s="642" t="s">
        <v>249</v>
      </c>
      <c r="M80" s="642" t="s">
        <v>259</v>
      </c>
      <c r="N80" s="642" t="s">
        <v>266</v>
      </c>
      <c r="Q80" s="705"/>
      <c r="R80" s="705"/>
      <c r="S80" s="705"/>
      <c r="T80" s="705"/>
      <c r="U80" s="705"/>
      <c r="V80" s="705"/>
      <c r="W80" s="705"/>
      <c r="AA80" s="395"/>
      <c r="AG80" s="394"/>
    </row>
    <row r="81" ht="38.25" spans="1:33">
      <c r="A81" s="551" t="s">
        <v>1708</v>
      </c>
      <c r="B81" s="561" t="str">
        <f>估价对象房地状况!G15</f>
        <v>估价对象位于XX开发区，园区建设成熟度XX，产业集聚程度XX</v>
      </c>
      <c r="C81" s="450"/>
      <c r="D81" s="556">
        <f t="shared" ref="D81:D88" si="25">SUMIF($J$80:$N$80,C81,J81:N81)</f>
        <v>0</v>
      </c>
      <c r="E81" s="557">
        <f>ROUND(SUM(D81:D88),4)</f>
        <v>0</v>
      </c>
      <c r="F81" s="558" t="str">
        <f>IF(E2="工业",SUMIF(L1:L12,G2,N1:N12),"——")</f>
        <v>——</v>
      </c>
      <c r="G81" s="559"/>
      <c r="H81" s="560" t="str">
        <f t="shared" ref="H81:H88" si="26">IFERROR(ROUNDDOWN($F$81*I81/2,4),"——")</f>
        <v>——</v>
      </c>
      <c r="I81" s="643">
        <v>0.26</v>
      </c>
      <c r="J81" s="644">
        <f t="shared" ref="J81:J88" si="27">K81+$G81</f>
        <v>0</v>
      </c>
      <c r="K81" s="644">
        <f t="shared" ref="K81:K88" si="28">$L81+$G81</f>
        <v>0</v>
      </c>
      <c r="L81" s="644">
        <v>0</v>
      </c>
      <c r="M81" s="644">
        <f t="shared" ref="M81:N88" si="29">L81-$G81</f>
        <v>0</v>
      </c>
      <c r="N81" s="644">
        <f t="shared" si="29"/>
        <v>0</v>
      </c>
      <c r="Q81" s="705"/>
      <c r="R81" s="705"/>
      <c r="S81" s="705"/>
      <c r="T81" s="705"/>
      <c r="U81" s="705"/>
      <c r="V81" s="705"/>
      <c r="W81" s="705"/>
      <c r="AA81" s="395"/>
      <c r="AG81" s="394"/>
    </row>
    <row r="82" ht="48" spans="1:33">
      <c r="A82" s="551" t="s">
        <v>1691</v>
      </c>
      <c r="B82" s="561" t="str">
        <f>估价对象房地状况!G16</f>
        <v>估价对象周边道路状况、公共交通通达情况、停车便捷程度，综合评价交通便捷度较好</v>
      </c>
      <c r="C82" s="450"/>
      <c r="D82" s="556">
        <f t="shared" si="25"/>
        <v>0</v>
      </c>
      <c r="E82" s="562"/>
      <c r="F82" s="558"/>
      <c r="G82" s="559"/>
      <c r="H82" s="560" t="str">
        <f t="shared" si="26"/>
        <v>——</v>
      </c>
      <c r="I82" s="643">
        <v>0.33</v>
      </c>
      <c r="J82" s="644">
        <f t="shared" si="27"/>
        <v>0</v>
      </c>
      <c r="K82" s="644">
        <f t="shared" si="28"/>
        <v>0</v>
      </c>
      <c r="L82" s="644">
        <v>0</v>
      </c>
      <c r="M82" s="644">
        <f t="shared" si="29"/>
        <v>0</v>
      </c>
      <c r="N82" s="644">
        <f t="shared" si="29"/>
        <v>0</v>
      </c>
      <c r="Q82" s="705"/>
      <c r="R82" s="705"/>
      <c r="S82" s="705"/>
      <c r="T82" s="705"/>
      <c r="U82" s="705"/>
      <c r="V82" s="705"/>
      <c r="W82" s="705"/>
      <c r="AA82" s="395"/>
      <c r="AG82" s="394"/>
    </row>
    <row r="83" ht="24" spans="1:33">
      <c r="A83" s="551" t="s">
        <v>1692</v>
      </c>
      <c r="B83" s="561">
        <f>估价对象房地状况!G17</f>
        <v>0</v>
      </c>
      <c r="C83" s="450"/>
      <c r="D83" s="556">
        <f t="shared" si="25"/>
        <v>0</v>
      </c>
      <c r="E83" s="562"/>
      <c r="F83" s="558"/>
      <c r="G83" s="559"/>
      <c r="H83" s="560" t="str">
        <f t="shared" si="26"/>
        <v>——</v>
      </c>
      <c r="I83" s="643">
        <v>0.05</v>
      </c>
      <c r="J83" s="644">
        <f t="shared" si="27"/>
        <v>0</v>
      </c>
      <c r="K83" s="644">
        <f t="shared" si="28"/>
        <v>0</v>
      </c>
      <c r="L83" s="644">
        <v>0</v>
      </c>
      <c r="M83" s="644">
        <f t="shared" si="29"/>
        <v>0</v>
      </c>
      <c r="N83" s="644">
        <f t="shared" si="29"/>
        <v>0</v>
      </c>
      <c r="Q83" s="705"/>
      <c r="R83" s="705"/>
      <c r="S83" s="705"/>
      <c r="T83" s="705"/>
      <c r="U83" s="705"/>
      <c r="V83" s="705"/>
      <c r="W83" s="705"/>
      <c r="AA83" s="395"/>
      <c r="AG83" s="394"/>
    </row>
    <row r="84" ht="14.25" spans="1:33">
      <c r="A84" s="551" t="s">
        <v>1705</v>
      </c>
      <c r="B84" s="561">
        <f>估价对象房地状况!G22</f>
        <v>0</v>
      </c>
      <c r="C84" s="450"/>
      <c r="D84" s="556">
        <f t="shared" si="25"/>
        <v>0</v>
      </c>
      <c r="E84" s="562"/>
      <c r="F84" s="558"/>
      <c r="G84" s="559"/>
      <c r="H84" s="560" t="str">
        <f t="shared" si="26"/>
        <v>——</v>
      </c>
      <c r="I84" s="643">
        <v>0.04</v>
      </c>
      <c r="J84" s="644">
        <f t="shared" si="27"/>
        <v>0</v>
      </c>
      <c r="K84" s="644">
        <f t="shared" si="28"/>
        <v>0</v>
      </c>
      <c r="L84" s="644">
        <v>0</v>
      </c>
      <c r="M84" s="644">
        <f t="shared" si="29"/>
        <v>0</v>
      </c>
      <c r="N84" s="644">
        <f t="shared" si="29"/>
        <v>0</v>
      </c>
      <c r="Q84" s="705"/>
      <c r="R84" s="705"/>
      <c r="S84" s="705"/>
      <c r="T84" s="705"/>
      <c r="U84" s="705"/>
      <c r="V84" s="705"/>
      <c r="W84" s="705"/>
      <c r="AA84" s="395"/>
      <c r="AG84" s="394"/>
    </row>
    <row r="85" ht="24" spans="1:33">
      <c r="A85" s="551" t="s">
        <v>1698</v>
      </c>
      <c r="B85" s="566" t="str">
        <f>估价对象房地状况!G19</f>
        <v>估价对象所在区域公共配套设施齐备情况</v>
      </c>
      <c r="C85" s="450"/>
      <c r="D85" s="556">
        <f t="shared" si="25"/>
        <v>0</v>
      </c>
      <c r="E85" s="562"/>
      <c r="F85" s="558"/>
      <c r="G85" s="559"/>
      <c r="H85" s="560" t="str">
        <f t="shared" si="26"/>
        <v>——</v>
      </c>
      <c r="I85" s="643">
        <v>0.06</v>
      </c>
      <c r="J85" s="644">
        <f t="shared" si="27"/>
        <v>0</v>
      </c>
      <c r="K85" s="644">
        <f t="shared" si="28"/>
        <v>0</v>
      </c>
      <c r="L85" s="644">
        <v>0</v>
      </c>
      <c r="M85" s="644">
        <f t="shared" si="29"/>
        <v>0</v>
      </c>
      <c r="N85" s="644">
        <f t="shared" si="29"/>
        <v>0</v>
      </c>
      <c r="Q85" s="705"/>
      <c r="R85" s="705"/>
      <c r="S85" s="705"/>
      <c r="T85" s="705"/>
      <c r="U85" s="705"/>
      <c r="V85" s="705"/>
      <c r="W85" s="705"/>
      <c r="AA85" s="395"/>
      <c r="AG85" s="394"/>
    </row>
    <row r="86" ht="24" spans="1:33">
      <c r="A86" s="551" t="s">
        <v>1699</v>
      </c>
      <c r="B86" s="566" t="str">
        <f>估价对象房地状况!G20</f>
        <v>估价对象所在区域基础设施水平</v>
      </c>
      <c r="C86" s="450"/>
      <c r="D86" s="556">
        <f t="shared" si="25"/>
        <v>0</v>
      </c>
      <c r="E86" s="562"/>
      <c r="F86" s="558"/>
      <c r="G86" s="559"/>
      <c r="H86" s="560" t="str">
        <f t="shared" si="26"/>
        <v>——</v>
      </c>
      <c r="I86" s="643">
        <v>0.15</v>
      </c>
      <c r="J86" s="644">
        <f t="shared" si="27"/>
        <v>0</v>
      </c>
      <c r="K86" s="644">
        <f t="shared" si="28"/>
        <v>0</v>
      </c>
      <c r="L86" s="644">
        <v>0</v>
      </c>
      <c r="M86" s="644">
        <f t="shared" si="29"/>
        <v>0</v>
      </c>
      <c r="N86" s="644">
        <f t="shared" si="29"/>
        <v>0</v>
      </c>
      <c r="Q86" s="705"/>
      <c r="R86" s="705"/>
      <c r="S86" s="705"/>
      <c r="T86" s="705"/>
      <c r="U86" s="705"/>
      <c r="V86" s="705"/>
      <c r="W86" s="705"/>
      <c r="AA86" s="395"/>
      <c r="AG86" s="394"/>
    </row>
    <row r="87" ht="24" spans="1:33">
      <c r="A87" s="551" t="s">
        <v>1696</v>
      </c>
      <c r="B87" s="564" t="s">
        <v>1697</v>
      </c>
      <c r="C87" s="450"/>
      <c r="D87" s="556">
        <f t="shared" si="25"/>
        <v>0</v>
      </c>
      <c r="E87" s="562"/>
      <c r="F87" s="558"/>
      <c r="G87" s="559"/>
      <c r="H87" s="560" t="str">
        <f t="shared" si="26"/>
        <v>——</v>
      </c>
      <c r="I87" s="643">
        <v>0.05</v>
      </c>
      <c r="J87" s="644">
        <f t="shared" si="27"/>
        <v>0</v>
      </c>
      <c r="K87" s="644">
        <f t="shared" si="28"/>
        <v>0</v>
      </c>
      <c r="L87" s="644">
        <v>0</v>
      </c>
      <c r="M87" s="644">
        <f t="shared" si="29"/>
        <v>0</v>
      </c>
      <c r="N87" s="644">
        <f t="shared" si="29"/>
        <v>0</v>
      </c>
      <c r="Q87" s="705"/>
      <c r="R87" s="705"/>
      <c r="S87" s="705"/>
      <c r="T87" s="705"/>
      <c r="U87" s="705"/>
      <c r="V87" s="705"/>
      <c r="W87" s="705"/>
      <c r="AA87" s="395"/>
      <c r="AG87" s="394"/>
    </row>
    <row r="88" ht="36.75" spans="1:33">
      <c r="A88" s="567" t="s">
        <v>1709</v>
      </c>
      <c r="B88" s="671" t="str">
        <f>估价对象房地状况!G18</f>
        <v>该园区内是否有污染型企业，绿化情况，卫生条件，整体环境状况判断</v>
      </c>
      <c r="C88" s="672"/>
      <c r="D88" s="673">
        <f t="shared" si="25"/>
        <v>0</v>
      </c>
      <c r="E88" s="569"/>
      <c r="F88" s="558"/>
      <c r="G88" s="559"/>
      <c r="H88" s="560" t="str">
        <f t="shared" si="26"/>
        <v>——</v>
      </c>
      <c r="I88" s="645">
        <v>0.06</v>
      </c>
      <c r="J88" s="644">
        <f t="shared" si="27"/>
        <v>0</v>
      </c>
      <c r="K88" s="644">
        <f t="shared" si="28"/>
        <v>0</v>
      </c>
      <c r="L88" s="644">
        <v>0</v>
      </c>
      <c r="M88" s="644">
        <f t="shared" si="29"/>
        <v>0</v>
      </c>
      <c r="N88" s="644">
        <f t="shared" si="29"/>
        <v>0</v>
      </c>
      <c r="Q88" s="705"/>
      <c r="R88" s="705"/>
      <c r="S88" s="705"/>
      <c r="T88" s="705"/>
      <c r="U88" s="705"/>
      <c r="V88" s="705"/>
      <c r="W88" s="705"/>
      <c r="AA88" s="395"/>
      <c r="AG88" s="394"/>
    </row>
    <row r="89" spans="17:23">
      <c r="Q89" s="705"/>
      <c r="R89" s="705"/>
      <c r="S89" s="705"/>
      <c r="T89" s="705"/>
      <c r="U89" s="705"/>
      <c r="V89" s="705"/>
      <c r="W89" s="705"/>
    </row>
    <row r="90" spans="1:23">
      <c r="A90" s="674" t="s">
        <v>1710</v>
      </c>
      <c r="B90" s="674"/>
      <c r="C90" s="674"/>
      <c r="D90" s="674"/>
      <c r="E90" s="674"/>
      <c r="F90" s="674"/>
      <c r="G90" s="674"/>
      <c r="H90" s="674"/>
      <c r="I90" s="674"/>
      <c r="J90" s="674"/>
      <c r="K90" s="674"/>
      <c r="L90" s="674"/>
      <c r="M90" s="674"/>
      <c r="N90" s="674"/>
      <c r="Q90" s="705"/>
      <c r="R90" s="705"/>
      <c r="S90" s="705"/>
      <c r="T90" s="705"/>
      <c r="U90" s="705"/>
      <c r="V90" s="705"/>
      <c r="W90" s="705"/>
    </row>
    <row r="91" spans="1:23">
      <c r="A91" s="518" t="s">
        <v>1711</v>
      </c>
      <c r="B91" s="518" t="s">
        <v>1712</v>
      </c>
      <c r="C91" s="519" t="s">
        <v>1713</v>
      </c>
      <c r="D91" s="520"/>
      <c r="E91" s="520"/>
      <c r="F91" s="520"/>
      <c r="G91" s="520"/>
      <c r="H91" s="520"/>
      <c r="I91" s="520"/>
      <c r="J91" s="698"/>
      <c r="K91" s="699"/>
      <c r="L91" s="699"/>
      <c r="M91" s="699"/>
      <c r="N91" s="699"/>
      <c r="Q91" s="705"/>
      <c r="R91" s="705"/>
      <c r="S91" s="705"/>
      <c r="T91" s="705"/>
      <c r="U91" s="705"/>
      <c r="V91" s="705"/>
      <c r="W91" s="705"/>
    </row>
    <row r="92" spans="1:23">
      <c r="A92" s="518"/>
      <c r="B92" s="518"/>
      <c r="C92" s="518" t="s">
        <v>1575</v>
      </c>
      <c r="D92" s="518" t="s">
        <v>1576</v>
      </c>
      <c r="E92" s="518" t="s">
        <v>1577</v>
      </c>
      <c r="F92" s="518" t="s">
        <v>1578</v>
      </c>
      <c r="G92" s="518" t="s">
        <v>1579</v>
      </c>
      <c r="H92" s="518" t="s">
        <v>1580</v>
      </c>
      <c r="I92" s="518" t="s">
        <v>1581</v>
      </c>
      <c r="J92" s="518" t="s">
        <v>1582</v>
      </c>
      <c r="K92" s="518" t="s">
        <v>1583</v>
      </c>
      <c r="L92" s="518" t="s">
        <v>1584</v>
      </c>
      <c r="M92" s="518" t="s">
        <v>1585</v>
      </c>
      <c r="N92" s="518" t="s">
        <v>1586</v>
      </c>
      <c r="Q92" s="705"/>
      <c r="R92" s="705"/>
      <c r="S92" s="705"/>
      <c r="T92" s="705"/>
      <c r="U92" s="705"/>
      <c r="V92" s="705"/>
      <c r="W92" s="705"/>
    </row>
    <row r="93" spans="1:23">
      <c r="A93" s="675" t="s">
        <v>1714</v>
      </c>
      <c r="B93" s="676">
        <v>1</v>
      </c>
      <c r="C93" s="677">
        <v>1.9362</v>
      </c>
      <c r="D93" s="677">
        <v>1.9362</v>
      </c>
      <c r="E93" s="677">
        <v>1.8629</v>
      </c>
      <c r="F93" s="677">
        <v>1.8629</v>
      </c>
      <c r="G93" s="677">
        <v>1.8629</v>
      </c>
      <c r="H93" s="677">
        <v>1.8629</v>
      </c>
      <c r="I93" s="677">
        <v>1.8629</v>
      </c>
      <c r="J93" s="677">
        <v>1.942</v>
      </c>
      <c r="K93" s="677">
        <v>1.942</v>
      </c>
      <c r="L93" s="677">
        <v>1.942</v>
      </c>
      <c r="M93" s="677">
        <v>1.942</v>
      </c>
      <c r="N93" s="677">
        <v>1.942</v>
      </c>
      <c r="Q93" s="705"/>
      <c r="R93" s="705"/>
      <c r="S93" s="705"/>
      <c r="T93" s="705"/>
      <c r="U93" s="705"/>
      <c r="V93" s="705"/>
      <c r="W93" s="705"/>
    </row>
    <row r="94" spans="1:23">
      <c r="A94" s="678"/>
      <c r="B94" s="676">
        <v>2</v>
      </c>
      <c r="C94" s="677">
        <v>1.4198</v>
      </c>
      <c r="D94" s="677">
        <v>1.4198</v>
      </c>
      <c r="E94" s="677">
        <v>1.3372</v>
      </c>
      <c r="F94" s="677">
        <v>1.3372</v>
      </c>
      <c r="G94" s="677">
        <v>1.3372</v>
      </c>
      <c r="H94" s="677">
        <v>1.3372</v>
      </c>
      <c r="I94" s="677">
        <v>1.3372</v>
      </c>
      <c r="J94" s="677">
        <v>1.2799</v>
      </c>
      <c r="K94" s="677">
        <v>1.2799</v>
      </c>
      <c r="L94" s="677">
        <v>1.2799</v>
      </c>
      <c r="M94" s="677">
        <v>1.2799</v>
      </c>
      <c r="N94" s="677">
        <v>1.2799</v>
      </c>
      <c r="Q94" s="705"/>
      <c r="R94" s="705"/>
      <c r="S94" s="705"/>
      <c r="T94" s="705"/>
      <c r="U94" s="705"/>
      <c r="V94" s="705"/>
      <c r="W94" s="705"/>
    </row>
    <row r="95" spans="1:23">
      <c r="A95" s="678"/>
      <c r="B95" s="676">
        <v>3</v>
      </c>
      <c r="C95" s="677">
        <v>1.1594</v>
      </c>
      <c r="D95" s="677">
        <v>1.1594</v>
      </c>
      <c r="E95" s="677">
        <v>1.0788</v>
      </c>
      <c r="F95" s="677">
        <v>1.0788</v>
      </c>
      <c r="G95" s="677">
        <v>1.0788</v>
      </c>
      <c r="H95" s="677">
        <v>1.0788</v>
      </c>
      <c r="I95" s="677">
        <v>1.0788</v>
      </c>
      <c r="J95" s="677">
        <v>1.0072</v>
      </c>
      <c r="K95" s="677">
        <v>1.0072</v>
      </c>
      <c r="L95" s="677">
        <v>1.0072</v>
      </c>
      <c r="M95" s="677">
        <v>1.0072</v>
      </c>
      <c r="N95" s="677">
        <v>1.0072</v>
      </c>
      <c r="Q95" s="705"/>
      <c r="R95" s="705"/>
      <c r="S95" s="705"/>
      <c r="T95" s="705"/>
      <c r="U95" s="705"/>
      <c r="V95" s="705"/>
      <c r="W95" s="705"/>
    </row>
    <row r="96" spans="1:23">
      <c r="A96" s="678"/>
      <c r="B96" s="676">
        <v>4</v>
      </c>
      <c r="C96" s="677">
        <v>0.9622</v>
      </c>
      <c r="D96" s="677">
        <v>0.9622</v>
      </c>
      <c r="E96" s="677">
        <v>0.8656</v>
      </c>
      <c r="F96" s="677">
        <v>0.8656</v>
      </c>
      <c r="G96" s="677">
        <v>0.8656</v>
      </c>
      <c r="H96" s="677">
        <v>0.8656</v>
      </c>
      <c r="I96" s="677">
        <v>0.8656</v>
      </c>
      <c r="J96" s="677">
        <v>0.7525</v>
      </c>
      <c r="K96" s="677">
        <v>0.7525</v>
      </c>
      <c r="L96" s="677">
        <v>0.7525</v>
      </c>
      <c r="M96" s="677">
        <v>0.7525</v>
      </c>
      <c r="N96" s="677">
        <v>0.7525</v>
      </c>
      <c r="Q96" s="705"/>
      <c r="R96" s="705"/>
      <c r="S96" s="705"/>
      <c r="T96" s="705"/>
      <c r="U96" s="705"/>
      <c r="V96" s="705"/>
      <c r="W96" s="705"/>
    </row>
    <row r="97" spans="1:23">
      <c r="A97" s="678"/>
      <c r="B97" s="676">
        <v>5</v>
      </c>
      <c r="C97" s="677">
        <v>0.8417</v>
      </c>
      <c r="D97" s="677">
        <v>0.8417</v>
      </c>
      <c r="E97" s="677">
        <v>0.7371</v>
      </c>
      <c r="F97" s="677">
        <v>0.7371</v>
      </c>
      <c r="G97" s="677">
        <v>0.7371</v>
      </c>
      <c r="H97" s="677">
        <v>0.7371</v>
      </c>
      <c r="I97" s="677">
        <v>0.7371</v>
      </c>
      <c r="J97" s="677">
        <v>0.5659</v>
      </c>
      <c r="K97" s="677">
        <v>0.5659</v>
      </c>
      <c r="L97" s="677">
        <v>0.5659</v>
      </c>
      <c r="M97" s="677">
        <v>0.5659</v>
      </c>
      <c r="N97" s="677">
        <v>0.5659</v>
      </c>
      <c r="Q97" s="705"/>
      <c r="R97" s="705"/>
      <c r="S97" s="705"/>
      <c r="T97" s="705"/>
      <c r="U97" s="705"/>
      <c r="V97" s="705"/>
      <c r="W97" s="705"/>
    </row>
    <row r="98" spans="1:23">
      <c r="A98" s="678"/>
      <c r="B98" s="676">
        <v>6</v>
      </c>
      <c r="C98" s="677">
        <v>0.7608</v>
      </c>
      <c r="D98" s="677">
        <v>0.7608</v>
      </c>
      <c r="E98" s="677">
        <v>0.6482</v>
      </c>
      <c r="F98" s="677">
        <v>0.6482</v>
      </c>
      <c r="G98" s="677">
        <v>0.6482</v>
      </c>
      <c r="H98" s="677">
        <v>0.6482</v>
      </c>
      <c r="I98" s="677">
        <v>0.6482</v>
      </c>
      <c r="J98" s="677">
        <v>0.4525</v>
      </c>
      <c r="K98" s="677">
        <v>0.4525</v>
      </c>
      <c r="L98" s="677">
        <v>0.4525</v>
      </c>
      <c r="M98" s="677">
        <v>0.4525</v>
      </c>
      <c r="N98" s="677">
        <v>0.4525</v>
      </c>
      <c r="Q98" s="705"/>
      <c r="R98" s="705"/>
      <c r="S98" s="705"/>
      <c r="T98" s="705"/>
      <c r="U98" s="705"/>
      <c r="V98" s="705"/>
      <c r="W98" s="705"/>
    </row>
    <row r="99" spans="1:23">
      <c r="A99" s="678"/>
      <c r="B99" s="676" t="s">
        <v>1591</v>
      </c>
      <c r="C99" s="679">
        <f>$I$3</f>
        <v>0</v>
      </c>
      <c r="D99" s="679">
        <f t="shared" ref="D99:N99" si="30">$I$3</f>
        <v>0</v>
      </c>
      <c r="E99" s="679">
        <f t="shared" si="30"/>
        <v>0</v>
      </c>
      <c r="F99" s="679">
        <f t="shared" si="30"/>
        <v>0</v>
      </c>
      <c r="G99" s="679">
        <f t="shared" si="30"/>
        <v>0</v>
      </c>
      <c r="H99" s="679">
        <f t="shared" si="30"/>
        <v>0</v>
      </c>
      <c r="I99" s="679">
        <f t="shared" si="30"/>
        <v>0</v>
      </c>
      <c r="J99" s="679">
        <f t="shared" si="30"/>
        <v>0</v>
      </c>
      <c r="K99" s="679">
        <f t="shared" si="30"/>
        <v>0</v>
      </c>
      <c r="L99" s="679">
        <f t="shared" si="30"/>
        <v>0</v>
      </c>
      <c r="M99" s="679">
        <f t="shared" si="30"/>
        <v>0</v>
      </c>
      <c r="N99" s="679">
        <f t="shared" si="30"/>
        <v>0</v>
      </c>
      <c r="Q99" s="705"/>
      <c r="R99" s="705"/>
      <c r="S99" s="705"/>
      <c r="T99" s="705"/>
      <c r="U99" s="705"/>
      <c r="V99" s="705"/>
      <c r="W99" s="705"/>
    </row>
    <row r="100" spans="1:23">
      <c r="A100" s="680"/>
      <c r="B100" s="676">
        <v>7</v>
      </c>
      <c r="C100" s="681">
        <f>(-0.163*(C99^2)-0.59*C99+7617)*(10^(-4))</f>
        <v>0.7617</v>
      </c>
      <c r="D100" s="681">
        <f>(-0.163*(D99^2)-0.59*D99+7617)*(10^(-4))</f>
        <v>0.7617</v>
      </c>
      <c r="E100" s="681">
        <f>(-0.161*(E99^2)-7.509*E99+6533)*(10^(-4))</f>
        <v>0.6533</v>
      </c>
      <c r="F100" s="681">
        <f>(-0.161*(F99^2)-7.509*F99+6533)*(10^(-4))</f>
        <v>0.6533</v>
      </c>
      <c r="G100" s="681">
        <f>(-0.161*(G99^2)-7.509*G99+6533)*(10^(-4))</f>
        <v>0.6533</v>
      </c>
      <c r="H100" s="681">
        <f>(-0.161*(H99^2)-7.509*H99+6533)*(10^(-4))</f>
        <v>0.6533</v>
      </c>
      <c r="I100" s="681">
        <f>(-0.161*(I99^2)-7.509*I99+6533)*(10^(-4))</f>
        <v>0.6533</v>
      </c>
      <c r="J100" s="681">
        <f>(-0.214*(J99^2)-21.991*J99+4665)*(10^(-4))</f>
        <v>0.4665</v>
      </c>
      <c r="K100" s="681">
        <f>(-0.214*(K99^2)-21.991*K99+4665)*(10^(-4))</f>
        <v>0.4665</v>
      </c>
      <c r="L100" s="681">
        <f>(-0.214*(L99^2)-21.991*L99+4665)*(10^(-4))</f>
        <v>0.4665</v>
      </c>
      <c r="M100" s="681">
        <f>(-0.214*(M99^2)-21.991*M99+4665)*(10^(-4))</f>
        <v>0.4665</v>
      </c>
      <c r="N100" s="681">
        <f>(-0.214*(N99^2)-21.991*N99+4665)*(10^(-4))</f>
        <v>0.4665</v>
      </c>
      <c r="Q100" s="705"/>
      <c r="R100" s="705"/>
      <c r="S100" s="705"/>
      <c r="T100" s="705"/>
      <c r="U100" s="705"/>
      <c r="V100" s="705"/>
      <c r="W100" s="705"/>
    </row>
    <row r="101" spans="1:23">
      <c r="A101" s="675" t="s">
        <v>1715</v>
      </c>
      <c r="B101" s="682" t="s">
        <v>1716</v>
      </c>
      <c r="C101" s="683">
        <f>$G$3</f>
        <v>0</v>
      </c>
      <c r="D101" s="683">
        <f t="shared" ref="D101:N101" si="31">$G$3</f>
        <v>0</v>
      </c>
      <c r="E101" s="683">
        <f t="shared" si="31"/>
        <v>0</v>
      </c>
      <c r="F101" s="683">
        <f t="shared" si="31"/>
        <v>0</v>
      </c>
      <c r="G101" s="683">
        <f t="shared" si="31"/>
        <v>0</v>
      </c>
      <c r="H101" s="683">
        <f t="shared" si="31"/>
        <v>0</v>
      </c>
      <c r="I101" s="683">
        <f t="shared" si="31"/>
        <v>0</v>
      </c>
      <c r="J101" s="683">
        <f t="shared" si="31"/>
        <v>0</v>
      </c>
      <c r="K101" s="683">
        <f t="shared" si="31"/>
        <v>0</v>
      </c>
      <c r="L101" s="683">
        <f t="shared" si="31"/>
        <v>0</v>
      </c>
      <c r="M101" s="683">
        <f t="shared" si="31"/>
        <v>0</v>
      </c>
      <c r="N101" s="683">
        <f t="shared" si="31"/>
        <v>0</v>
      </c>
      <c r="Q101" s="705"/>
      <c r="R101" s="705"/>
      <c r="S101" s="705"/>
      <c r="T101" s="705"/>
      <c r="U101" s="705"/>
      <c r="V101" s="705"/>
      <c r="W101" s="705"/>
    </row>
    <row r="102" spans="1:23">
      <c r="A102" s="678"/>
      <c r="B102" s="676">
        <v>1</v>
      </c>
      <c r="C102" s="677" t="e">
        <f>1.9362/C101</f>
        <v>#DIV/0!</v>
      </c>
      <c r="D102" s="677" t="e">
        <f>1.9362/D101</f>
        <v>#DIV/0!</v>
      </c>
      <c r="E102" s="677" t="e">
        <f>1.8629/E101</f>
        <v>#DIV/0!</v>
      </c>
      <c r="F102" s="677" t="e">
        <f>1.8629/F101</f>
        <v>#DIV/0!</v>
      </c>
      <c r="G102" s="677" t="e">
        <f>1.8629/G101</f>
        <v>#DIV/0!</v>
      </c>
      <c r="H102" s="677" t="e">
        <f>1.8629/H101</f>
        <v>#DIV/0!</v>
      </c>
      <c r="I102" s="677" t="e">
        <f>1.8629/I101</f>
        <v>#DIV/0!</v>
      </c>
      <c r="J102" s="677" t="e">
        <f>1.942/J101</f>
        <v>#DIV/0!</v>
      </c>
      <c r="K102" s="677" t="e">
        <f>1.942/K101</f>
        <v>#DIV/0!</v>
      </c>
      <c r="L102" s="677" t="e">
        <f>1.942/L101</f>
        <v>#DIV/0!</v>
      </c>
      <c r="M102" s="677" t="e">
        <f>1.942/M101</f>
        <v>#DIV/0!</v>
      </c>
      <c r="N102" s="677" t="e">
        <f>1.942/N101</f>
        <v>#DIV/0!</v>
      </c>
      <c r="Q102" s="705"/>
      <c r="R102" s="705"/>
      <c r="S102" s="705"/>
      <c r="T102" s="705"/>
      <c r="U102" s="705"/>
      <c r="V102" s="705"/>
      <c r="W102" s="705"/>
    </row>
    <row r="103" spans="1:23">
      <c r="A103" s="678"/>
      <c r="B103" s="676">
        <v>2</v>
      </c>
      <c r="C103" s="677" t="e">
        <f>1.4198/C101</f>
        <v>#DIV/0!</v>
      </c>
      <c r="D103" s="677" t="e">
        <f>1.4198/D101</f>
        <v>#DIV/0!</v>
      </c>
      <c r="E103" s="677" t="e">
        <f>1.3372/E101</f>
        <v>#DIV/0!</v>
      </c>
      <c r="F103" s="677" t="e">
        <f>1.3372/F101</f>
        <v>#DIV/0!</v>
      </c>
      <c r="G103" s="677" t="e">
        <f>1.3372/G101</f>
        <v>#DIV/0!</v>
      </c>
      <c r="H103" s="677" t="e">
        <f>1.3372/H101</f>
        <v>#DIV/0!</v>
      </c>
      <c r="I103" s="677" t="e">
        <f>1.3372/I101</f>
        <v>#DIV/0!</v>
      </c>
      <c r="J103" s="677" t="e">
        <f>1.2799/J101</f>
        <v>#DIV/0!</v>
      </c>
      <c r="K103" s="677" t="e">
        <f>1.2799/K101</f>
        <v>#DIV/0!</v>
      </c>
      <c r="L103" s="677" t="e">
        <f>1.2799/L101</f>
        <v>#DIV/0!</v>
      </c>
      <c r="M103" s="677" t="e">
        <f>1.2799/M101</f>
        <v>#DIV/0!</v>
      </c>
      <c r="N103" s="677" t="e">
        <f>1.2799/N101</f>
        <v>#DIV/0!</v>
      </c>
      <c r="Q103" s="705"/>
      <c r="R103" s="705"/>
      <c r="S103" s="705"/>
      <c r="T103" s="705"/>
      <c r="U103" s="705"/>
      <c r="V103" s="705"/>
      <c r="W103" s="705"/>
    </row>
    <row r="104" spans="1:23">
      <c r="A104" s="678"/>
      <c r="B104" s="676">
        <v>3</v>
      </c>
      <c r="C104" s="677" t="e">
        <f>1.1594/C101</f>
        <v>#DIV/0!</v>
      </c>
      <c r="D104" s="677" t="e">
        <f>1.1594/D101</f>
        <v>#DIV/0!</v>
      </c>
      <c r="E104" s="677" t="e">
        <f>1.0788/E101</f>
        <v>#DIV/0!</v>
      </c>
      <c r="F104" s="677" t="e">
        <f>1.0788/F101</f>
        <v>#DIV/0!</v>
      </c>
      <c r="G104" s="677" t="e">
        <f>1.0788/G101</f>
        <v>#DIV/0!</v>
      </c>
      <c r="H104" s="677" t="e">
        <f>1.0788/H101</f>
        <v>#DIV/0!</v>
      </c>
      <c r="I104" s="677" t="e">
        <f>1.0788/I101</f>
        <v>#DIV/0!</v>
      </c>
      <c r="J104" s="677" t="e">
        <f>1.0072/J101</f>
        <v>#DIV/0!</v>
      </c>
      <c r="K104" s="677" t="e">
        <f>1.0072/K101</f>
        <v>#DIV/0!</v>
      </c>
      <c r="L104" s="677" t="e">
        <f>1.0072/L101</f>
        <v>#DIV/0!</v>
      </c>
      <c r="M104" s="677" t="e">
        <f>1.0072/M101</f>
        <v>#DIV/0!</v>
      </c>
      <c r="N104" s="677" t="e">
        <f>1.0072/N101</f>
        <v>#DIV/0!</v>
      </c>
      <c r="Q104" s="705"/>
      <c r="R104" s="705"/>
      <c r="S104" s="705"/>
      <c r="T104" s="705"/>
      <c r="U104" s="705"/>
      <c r="V104" s="705"/>
      <c r="W104" s="705"/>
    </row>
    <row r="105" spans="1:23">
      <c r="A105" s="678"/>
      <c r="B105" s="676">
        <v>4</v>
      </c>
      <c r="C105" s="677" t="e">
        <f>0.9622/C101</f>
        <v>#DIV/0!</v>
      </c>
      <c r="D105" s="677" t="e">
        <f>0.9622/D101</f>
        <v>#DIV/0!</v>
      </c>
      <c r="E105" s="677" t="e">
        <f>0.8656/E101</f>
        <v>#DIV/0!</v>
      </c>
      <c r="F105" s="677" t="e">
        <f>0.8656/F101</f>
        <v>#DIV/0!</v>
      </c>
      <c r="G105" s="677" t="e">
        <f>0.8656/G101</f>
        <v>#DIV/0!</v>
      </c>
      <c r="H105" s="677" t="e">
        <f>0.8656/H101</f>
        <v>#DIV/0!</v>
      </c>
      <c r="I105" s="677" t="e">
        <f>0.8656/I101</f>
        <v>#DIV/0!</v>
      </c>
      <c r="J105" s="677" t="e">
        <f>0.7525/J101</f>
        <v>#DIV/0!</v>
      </c>
      <c r="K105" s="677" t="e">
        <f>0.7525/K101</f>
        <v>#DIV/0!</v>
      </c>
      <c r="L105" s="677" t="e">
        <f>0.7525/L101</f>
        <v>#DIV/0!</v>
      </c>
      <c r="M105" s="677" t="e">
        <f>0.7525/M101</f>
        <v>#DIV/0!</v>
      </c>
      <c r="N105" s="677" t="e">
        <f>0.7525/N101</f>
        <v>#DIV/0!</v>
      </c>
      <c r="Q105" s="705"/>
      <c r="R105" s="705"/>
      <c r="S105" s="705"/>
      <c r="T105" s="705"/>
      <c r="U105" s="705"/>
      <c r="V105" s="705"/>
      <c r="W105" s="705"/>
    </row>
    <row r="106" spans="1:23">
      <c r="A106" s="678"/>
      <c r="B106" s="676">
        <v>5</v>
      </c>
      <c r="C106" s="677" t="e">
        <f>0.8417/C101</f>
        <v>#DIV/0!</v>
      </c>
      <c r="D106" s="677" t="e">
        <f>0.8417/D101</f>
        <v>#DIV/0!</v>
      </c>
      <c r="E106" s="677" t="e">
        <f>0.7371/E101</f>
        <v>#DIV/0!</v>
      </c>
      <c r="F106" s="677" t="e">
        <f>0.7371/F101</f>
        <v>#DIV/0!</v>
      </c>
      <c r="G106" s="677" t="e">
        <f>0.7371/G101</f>
        <v>#DIV/0!</v>
      </c>
      <c r="H106" s="677" t="e">
        <f>0.7371/H101</f>
        <v>#DIV/0!</v>
      </c>
      <c r="I106" s="677" t="e">
        <f>0.7371/I101</f>
        <v>#DIV/0!</v>
      </c>
      <c r="J106" s="677" t="e">
        <f>0.5659/J101</f>
        <v>#DIV/0!</v>
      </c>
      <c r="K106" s="677" t="e">
        <f>0.5659/K101</f>
        <v>#DIV/0!</v>
      </c>
      <c r="L106" s="677" t="e">
        <f>0.5659/L101</f>
        <v>#DIV/0!</v>
      </c>
      <c r="M106" s="677" t="e">
        <f>0.5659/M101</f>
        <v>#DIV/0!</v>
      </c>
      <c r="N106" s="677" t="e">
        <f>0.5659/N101</f>
        <v>#DIV/0!</v>
      </c>
      <c r="Q106" s="705"/>
      <c r="R106" s="705"/>
      <c r="S106" s="705"/>
      <c r="T106" s="705"/>
      <c r="U106" s="705"/>
      <c r="V106" s="705"/>
      <c r="W106" s="705"/>
    </row>
    <row r="107" spans="1:23">
      <c r="A107" s="678"/>
      <c r="B107" s="676">
        <v>6</v>
      </c>
      <c r="C107" s="677" t="e">
        <f>0.7608/C101</f>
        <v>#DIV/0!</v>
      </c>
      <c r="D107" s="677" t="e">
        <f>0.7608/D101</f>
        <v>#DIV/0!</v>
      </c>
      <c r="E107" s="677" t="e">
        <f>0.6482/E101</f>
        <v>#DIV/0!</v>
      </c>
      <c r="F107" s="677" t="e">
        <f>0.6482/F101</f>
        <v>#DIV/0!</v>
      </c>
      <c r="G107" s="677" t="e">
        <f>0.6482/G101</f>
        <v>#DIV/0!</v>
      </c>
      <c r="H107" s="677" t="e">
        <f>0.6482/H101</f>
        <v>#DIV/0!</v>
      </c>
      <c r="I107" s="677" t="e">
        <f>0.6482/I101</f>
        <v>#DIV/0!</v>
      </c>
      <c r="J107" s="677" t="e">
        <f>0.4525/J101</f>
        <v>#DIV/0!</v>
      </c>
      <c r="K107" s="677" t="e">
        <f>0.4525/K101</f>
        <v>#DIV/0!</v>
      </c>
      <c r="L107" s="677" t="e">
        <f>0.4525/L101</f>
        <v>#DIV/0!</v>
      </c>
      <c r="M107" s="677" t="e">
        <f>0.4525/M101</f>
        <v>#DIV/0!</v>
      </c>
      <c r="N107" s="677" t="e">
        <f>0.4525/N101</f>
        <v>#DIV/0!</v>
      </c>
      <c r="Q107" s="705"/>
      <c r="R107" s="705"/>
      <c r="S107" s="705"/>
      <c r="T107" s="705"/>
      <c r="U107" s="705"/>
      <c r="V107" s="705"/>
      <c r="W107" s="705"/>
    </row>
    <row r="108" spans="1:23">
      <c r="A108" s="678"/>
      <c r="B108" s="444" t="s">
        <v>1601</v>
      </c>
      <c r="C108" s="679">
        <f>C99</f>
        <v>0</v>
      </c>
      <c r="D108" s="679">
        <f t="shared" ref="D108:N108" si="32">D99</f>
        <v>0</v>
      </c>
      <c r="E108" s="679">
        <f t="shared" si="32"/>
        <v>0</v>
      </c>
      <c r="F108" s="679">
        <f t="shared" si="32"/>
        <v>0</v>
      </c>
      <c r="G108" s="679">
        <f t="shared" si="32"/>
        <v>0</v>
      </c>
      <c r="H108" s="679">
        <f t="shared" si="32"/>
        <v>0</v>
      </c>
      <c r="I108" s="679">
        <f t="shared" si="32"/>
        <v>0</v>
      </c>
      <c r="J108" s="679">
        <f t="shared" si="32"/>
        <v>0</v>
      </c>
      <c r="K108" s="679">
        <f t="shared" si="32"/>
        <v>0</v>
      </c>
      <c r="L108" s="679">
        <f t="shared" si="32"/>
        <v>0</v>
      </c>
      <c r="M108" s="679">
        <f t="shared" si="32"/>
        <v>0</v>
      </c>
      <c r="N108" s="679">
        <f t="shared" si="32"/>
        <v>0</v>
      </c>
      <c r="Q108" s="705"/>
      <c r="R108" s="705"/>
      <c r="S108" s="705"/>
      <c r="T108" s="705"/>
      <c r="U108" s="705"/>
      <c r="V108" s="705"/>
      <c r="W108" s="705"/>
    </row>
    <row r="109" spans="1:23">
      <c r="A109" s="680"/>
      <c r="B109" s="446"/>
      <c r="C109" s="681" t="e">
        <f>(-0.163*(C108^2)-0.59*C108+7617)*(10^(-4))/C101</f>
        <v>#DIV/0!</v>
      </c>
      <c r="D109" s="681" t="e">
        <f>(-0.163*(D108^2)-0.59*D108+7617)*(10^(-4))/D101</f>
        <v>#DIV/0!</v>
      </c>
      <c r="E109" s="681" t="e">
        <f>(-0.161*(E108^2)-7.509*E108+6533)*(10^(-4))/E101</f>
        <v>#DIV/0!</v>
      </c>
      <c r="F109" s="681" t="e">
        <f>(-0.161*(F108^2)-7.509*F108+6533)*(10^(-4))/F101</f>
        <v>#DIV/0!</v>
      </c>
      <c r="G109" s="681" t="e">
        <f>(-0.161*(G108^2)-7.509*G108+6533)*(10^(-4))/G101</f>
        <v>#DIV/0!</v>
      </c>
      <c r="H109" s="681" t="e">
        <f>(-0.161*(H108^2)-7.509*H108+6533)*(10^(-4))/H101</f>
        <v>#DIV/0!</v>
      </c>
      <c r="I109" s="681" t="e">
        <f>(-0.161*(I108^2)-7.509*I108+6533)*(10^(-4))/I101</f>
        <v>#DIV/0!</v>
      </c>
      <c r="J109" s="681" t="e">
        <f>(-0.214*(J108^2)-21.991*J108+4665)*(10^(-4))/J101</f>
        <v>#DIV/0!</v>
      </c>
      <c r="K109" s="681" t="e">
        <f>(-0.214*(K108^2)-21.991*K108+4665)*(10^(-4))/K101</f>
        <v>#DIV/0!</v>
      </c>
      <c r="L109" s="681" t="e">
        <f>(-0.214*(L108^2)-21.991*L108+4665)*(10^(-4))/L101</f>
        <v>#DIV/0!</v>
      </c>
      <c r="M109" s="681" t="e">
        <f>(-0.214*(M108^2)-21.991*M108+4665)*(10^(-4))/M101</f>
        <v>#DIV/0!</v>
      </c>
      <c r="N109" s="681" t="e">
        <f>(-0.214*(N108^2)-21.991*N108+4665)*(10^(-4))/N101</f>
        <v>#DIV/0!</v>
      </c>
      <c r="Q109" s="705"/>
      <c r="R109" s="705"/>
      <c r="S109" s="705"/>
      <c r="T109" s="705"/>
      <c r="U109" s="705"/>
      <c r="V109" s="705"/>
      <c r="W109" s="705"/>
    </row>
    <row r="110" spans="1:23">
      <c r="A110" s="684" t="s">
        <v>1717</v>
      </c>
      <c r="B110" s="684"/>
      <c r="C110" s="684"/>
      <c r="D110" s="684"/>
      <c r="E110" s="684"/>
      <c r="F110" s="684"/>
      <c r="G110" s="684"/>
      <c r="H110" s="684"/>
      <c r="I110" s="684"/>
      <c r="J110" s="684"/>
      <c r="K110" s="684"/>
      <c r="L110" s="684"/>
      <c r="M110" s="684"/>
      <c r="N110" s="684"/>
      <c r="Q110" s="705"/>
      <c r="R110" s="705"/>
      <c r="S110" s="705"/>
      <c r="T110" s="705"/>
      <c r="U110" s="705"/>
      <c r="V110" s="705"/>
      <c r="W110" s="705"/>
    </row>
    <row r="112" ht="13.5"/>
    <row r="113" ht="25.5" spans="1:13">
      <c r="A113" s="685" t="s">
        <v>1718</v>
      </c>
      <c r="B113" s="686">
        <f>G3</f>
        <v>0</v>
      </c>
      <c r="C113" s="687" t="s">
        <v>1719</v>
      </c>
      <c r="D113" s="688">
        <f>SUMPRODUCT((A115:A118=F113)*(B114:M114=H113)*B115:M118)</f>
        <v>0</v>
      </c>
      <c r="E113" s="404" t="s">
        <v>1651</v>
      </c>
      <c r="F113" s="689" t="str">
        <f>E2</f>
        <v>住宅</v>
      </c>
      <c r="G113" s="404" t="s">
        <v>1556</v>
      </c>
      <c r="H113" s="689">
        <f>G2</f>
        <v>0</v>
      </c>
      <c r="I113" s="404"/>
      <c r="J113" s="700"/>
      <c r="K113" s="700"/>
      <c r="L113" s="700"/>
      <c r="M113" s="700"/>
    </row>
    <row r="114" spans="1:13">
      <c r="A114" s="690"/>
      <c r="B114" s="691" t="s">
        <v>1720</v>
      </c>
      <c r="C114" s="691" t="s">
        <v>1721</v>
      </c>
      <c r="D114" s="691" t="s">
        <v>1722</v>
      </c>
      <c r="E114" s="692" t="s">
        <v>1723</v>
      </c>
      <c r="F114" s="692" t="s">
        <v>1724</v>
      </c>
      <c r="G114" s="692" t="s">
        <v>1725</v>
      </c>
      <c r="H114" s="693" t="s">
        <v>1726</v>
      </c>
      <c r="I114" s="693" t="s">
        <v>1727</v>
      </c>
      <c r="J114" s="701" t="s">
        <v>1728</v>
      </c>
      <c r="K114" s="701" t="s">
        <v>1729</v>
      </c>
      <c r="L114" s="701" t="s">
        <v>1730</v>
      </c>
      <c r="M114" s="702" t="s">
        <v>1731</v>
      </c>
    </row>
    <row r="115" spans="1:13">
      <c r="A115" s="694" t="s">
        <v>1652</v>
      </c>
      <c r="B115" s="695">
        <f>ROUND(0.9335-0.0094*B113,4)</f>
        <v>0.9335</v>
      </c>
      <c r="C115" s="695">
        <f>B115</f>
        <v>0.9335</v>
      </c>
      <c r="D115" s="695">
        <f>ROUND(0.8331-0.0109*B113,4)</f>
        <v>0.8331</v>
      </c>
      <c r="E115" s="695">
        <f>D115</f>
        <v>0.8331</v>
      </c>
      <c r="F115" s="695">
        <f>E115</f>
        <v>0.8331</v>
      </c>
      <c r="G115" s="695">
        <f>F115</f>
        <v>0.8331</v>
      </c>
      <c r="H115" s="695">
        <f>G115</f>
        <v>0.8331</v>
      </c>
      <c r="I115" s="695">
        <f>ROUND(0.689-0.0155*B113,4)</f>
        <v>0.689</v>
      </c>
      <c r="J115" s="695">
        <f t="shared" ref="J115:M118" si="33">I115</f>
        <v>0.689</v>
      </c>
      <c r="K115" s="695">
        <f t="shared" si="33"/>
        <v>0.689</v>
      </c>
      <c r="L115" s="695">
        <f t="shared" si="33"/>
        <v>0.689</v>
      </c>
      <c r="M115" s="703">
        <f t="shared" si="33"/>
        <v>0.689</v>
      </c>
    </row>
    <row r="116" spans="1:13">
      <c r="A116" s="694" t="s">
        <v>1653</v>
      </c>
      <c r="B116" s="695">
        <f>ROUND(0.949-0.012*B113,4)</f>
        <v>0.949</v>
      </c>
      <c r="C116" s="695">
        <f>B116</f>
        <v>0.949</v>
      </c>
      <c r="D116" s="695">
        <f>ROUND(0.8567-0.013*B113,4)</f>
        <v>0.8567</v>
      </c>
      <c r="E116" s="695">
        <f t="shared" ref="E116:H117" si="34">D116</f>
        <v>0.8567</v>
      </c>
      <c r="F116" s="695">
        <f t="shared" si="34"/>
        <v>0.8567</v>
      </c>
      <c r="G116" s="695">
        <f t="shared" si="34"/>
        <v>0.8567</v>
      </c>
      <c r="H116" s="695">
        <f t="shared" si="34"/>
        <v>0.8567</v>
      </c>
      <c r="I116" s="695">
        <f>ROUND(0.7694-0.014*B113,4)</f>
        <v>0.7694</v>
      </c>
      <c r="J116" s="695">
        <f t="shared" si="33"/>
        <v>0.7694</v>
      </c>
      <c r="K116" s="695">
        <f t="shared" si="33"/>
        <v>0.7694</v>
      </c>
      <c r="L116" s="695">
        <f t="shared" si="33"/>
        <v>0.7694</v>
      </c>
      <c r="M116" s="703">
        <f t="shared" si="33"/>
        <v>0.7694</v>
      </c>
    </row>
    <row r="117" spans="1:13">
      <c r="A117" s="694" t="s">
        <v>1654</v>
      </c>
      <c r="B117" s="695">
        <f>ROUND(0.8808-0.006*B113,4)</f>
        <v>0.8808</v>
      </c>
      <c r="C117" s="695">
        <f>B117</f>
        <v>0.8808</v>
      </c>
      <c r="D117" s="695">
        <f>ROUND(0.8748-0.008*B113,4)</f>
        <v>0.8748</v>
      </c>
      <c r="E117" s="695">
        <f t="shared" si="34"/>
        <v>0.8748</v>
      </c>
      <c r="F117" s="695">
        <f t="shared" si="34"/>
        <v>0.8748</v>
      </c>
      <c r="G117" s="695">
        <f t="shared" si="34"/>
        <v>0.8748</v>
      </c>
      <c r="H117" s="695">
        <f t="shared" si="34"/>
        <v>0.8748</v>
      </c>
      <c r="I117" s="695">
        <f>ROUND(0.7412-0.0095*B113,4)</f>
        <v>0.7412</v>
      </c>
      <c r="J117" s="695">
        <f t="shared" si="33"/>
        <v>0.7412</v>
      </c>
      <c r="K117" s="695">
        <f t="shared" si="33"/>
        <v>0.7412</v>
      </c>
      <c r="L117" s="695">
        <f t="shared" si="33"/>
        <v>0.7412</v>
      </c>
      <c r="M117" s="703">
        <f t="shared" si="33"/>
        <v>0.7412</v>
      </c>
    </row>
    <row r="118" ht="13.5" spans="1:13">
      <c r="A118" s="696" t="s">
        <v>1655</v>
      </c>
      <c r="B118" s="697">
        <f>ROUND(0.7275-0.01*B113,4)</f>
        <v>0.7275</v>
      </c>
      <c r="C118" s="697">
        <f>B118</f>
        <v>0.7275</v>
      </c>
      <c r="D118" s="697">
        <f>ROUND(0.7043-0.012*B113,4)</f>
        <v>0.7043</v>
      </c>
      <c r="E118" s="697">
        <f>D118</f>
        <v>0.7043</v>
      </c>
      <c r="F118" s="697">
        <f>E118</f>
        <v>0.7043</v>
      </c>
      <c r="G118" s="697">
        <f>ROUND(0.6299-0.0122*B113,4)</f>
        <v>0.6299</v>
      </c>
      <c r="H118" s="697">
        <f>G118</f>
        <v>0.6299</v>
      </c>
      <c r="I118" s="697">
        <f>ROUND(0.5667-0.0136*B113,4)</f>
        <v>0.5667</v>
      </c>
      <c r="J118" s="697">
        <f t="shared" si="33"/>
        <v>0.5667</v>
      </c>
      <c r="K118" s="697">
        <f t="shared" si="33"/>
        <v>0.5667</v>
      </c>
      <c r="L118" s="697">
        <f t="shared" si="33"/>
        <v>0.5667</v>
      </c>
      <c r="M118" s="704">
        <f t="shared" si="33"/>
        <v>0.5667</v>
      </c>
    </row>
  </sheetData>
  <sheetProtection password="CEE9" sheet="1" formatCells="0" formatColumns="0" formatRows="0" objects="1" scenarios="1"/>
  <mergeCells count="17">
    <mergeCell ref="A4:J4"/>
    <mergeCell ref="W8:X8"/>
    <mergeCell ref="D16:E16"/>
    <mergeCell ref="F16:G16"/>
    <mergeCell ref="A90:J90"/>
    <mergeCell ref="A110:J110"/>
    <mergeCell ref="A7:A11"/>
    <mergeCell ref="A12:A15"/>
    <mergeCell ref="A16:A17"/>
    <mergeCell ref="A33:A36"/>
    <mergeCell ref="A91:A92"/>
    <mergeCell ref="A93:A100"/>
    <mergeCell ref="A101:A109"/>
    <mergeCell ref="B91:B92"/>
    <mergeCell ref="B108:B109"/>
    <mergeCell ref="W9:W10"/>
    <mergeCell ref="W11:W13"/>
  </mergeCells>
  <conditionalFormatting sqref="F48">
    <cfRule type="cellIs" dxfId="10" priority="5" stopIfTrue="1" operator="notEqual">
      <formula>"——"</formula>
    </cfRule>
  </conditionalFormatting>
  <conditionalFormatting sqref="F59">
    <cfRule type="cellIs" dxfId="10" priority="4" stopIfTrue="1" operator="notEqual">
      <formula>"——"</formula>
    </cfRule>
  </conditionalFormatting>
  <conditionalFormatting sqref="F70">
    <cfRule type="cellIs" dxfId="10" priority="3" stopIfTrue="1" operator="notEqual">
      <formula>"——"</formula>
    </cfRule>
  </conditionalFormatting>
  <conditionalFormatting sqref="F81">
    <cfRule type="cellIs" dxfId="10" priority="2" stopIfTrue="1" operator="notEqual">
      <formula>"——"</formula>
    </cfRule>
  </conditionalFormatting>
  <conditionalFormatting sqref="H48:H56 H59:H67 H70:H78 H81:H88">
    <cfRule type="cellIs" priority="1" operator="notEqual">
      <formula>"——"</formula>
    </cfRule>
  </conditionalFormatting>
  <dataValidations count="10">
    <dataValidation type="list" allowBlank="1" showInputMessage="1" showErrorMessage="1" sqref="E2">
      <formula1>"商业,办公,住宅,工业"</formula1>
    </dataValidation>
    <dataValidation type="list" allowBlank="1" showInputMessage="1" showErrorMessage="1" sqref="F17">
      <formula1>"与级别开发程度一致,与级别开发程度不一致"</formula1>
    </dataValidation>
    <dataValidation type="list" allowBlank="1" showInputMessage="1" showErrorMessage="1" sqref="E3">
      <formula1>二级分类</formula1>
    </dataValidation>
    <dataValidation type="list" allowBlank="1" showInputMessage="1" showErrorMessage="1" sqref="C8">
      <formula1>商业街名称</formula1>
    </dataValidation>
    <dataValidation type="list" allowBlank="1" showInputMessage="1" showErrorMessage="1" sqref="H16:O16">
      <formula1>七通一平</formula1>
    </dataValidation>
    <dataValidation type="list" allowBlank="1" showInputMessage="1" showErrorMessage="1" sqref="C14:E14">
      <formula1>"有,无"</formula1>
    </dataValidation>
    <dataValidation type="list" allowBlank="1" showInputMessage="1" showErrorMessage="1" sqref="F14">
      <formula1>"500米范围内,500-1000米,1000米以外"</formula1>
    </dataValidation>
    <dataValidation type="list" allowBlank="1" showInputMessage="1" showErrorMessage="1" sqref="H19">
      <formula1>"地价指数,季度增幅（自定义）,按公示增长率计算"</formula1>
    </dataValidation>
    <dataValidation type="list" allowBlank="1" showInputMessage="1" showErrorMessage="1" sqref="B21">
      <formula1>"容积率修正,楼层修正"</formula1>
    </dataValidation>
    <dataValidation type="list" allowBlank="1" showInputMessage="1" showErrorMessage="1" sqref="C48:C56 C59:C67 C70:C78 C81:C88">
      <formula1>五等判定</formula1>
    </dataValidation>
  </dataValidations>
  <pageMargins left="0.7" right="0.7" top="0.75" bottom="0.75" header="0.3" footer="0.3"/>
  <pageSetup paperSize="9" scale="46" orientation="portrait"/>
  <headerFooter/>
  <legacyDrawing r:id="rId2"/>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344"/>
  <sheetViews>
    <sheetView workbookViewId="0">
      <selection activeCell="A1" sqref="A1:IV65536"/>
    </sheetView>
  </sheetViews>
  <sheetFormatPr defaultColWidth="9" defaultRowHeight="13.5" outlineLevelCol="5"/>
  <cols>
    <col min="1" max="1" width="12.625" style="279" customWidth="1"/>
    <col min="2" max="2" width="10.25" style="280" customWidth="1"/>
  </cols>
  <sheetData>
    <row r="1" spans="1:2">
      <c r="A1" s="281" t="s">
        <v>1732</v>
      </c>
      <c r="B1" s="281"/>
    </row>
    <row r="2" ht="14.25" spans="1:2">
      <c r="A2" s="281"/>
      <c r="B2" s="281"/>
    </row>
    <row r="3" ht="14.25" spans="1:6">
      <c r="A3" s="281"/>
      <c r="B3" s="281"/>
      <c r="C3" s="372" t="s">
        <v>1733</v>
      </c>
      <c r="D3" s="372" t="s">
        <v>1734</v>
      </c>
      <c r="E3" s="372" t="s">
        <v>461</v>
      </c>
      <c r="F3" s="372" t="s">
        <v>1735</v>
      </c>
    </row>
    <row r="4" ht="14.25" spans="1:6">
      <c r="A4" s="373" t="s">
        <v>1736</v>
      </c>
      <c r="B4" s="374" t="s">
        <v>1737</v>
      </c>
      <c r="C4" s="372"/>
      <c r="D4" s="372"/>
      <c r="E4" s="372"/>
      <c r="F4" s="372"/>
    </row>
    <row r="5" ht="14.25" spans="1:6">
      <c r="A5" s="290" t="s">
        <v>1738</v>
      </c>
      <c r="B5" s="291" t="s">
        <v>1739</v>
      </c>
      <c r="C5" s="375">
        <v>0.089</v>
      </c>
      <c r="D5" s="375">
        <v>0.074</v>
      </c>
      <c r="E5" s="375">
        <v>0.075</v>
      </c>
      <c r="F5" s="376">
        <v>0.1</v>
      </c>
    </row>
    <row r="6" ht="14.25" spans="1:6">
      <c r="A6" s="290" t="s">
        <v>1738</v>
      </c>
      <c r="B6" s="295" t="s">
        <v>1740</v>
      </c>
      <c r="C6" s="377">
        <v>0.1</v>
      </c>
      <c r="D6" s="377">
        <v>0.091</v>
      </c>
      <c r="E6" s="377">
        <v>0.091</v>
      </c>
      <c r="F6" s="378">
        <v>0.1</v>
      </c>
    </row>
    <row r="7" ht="14.25" spans="1:6">
      <c r="A7" s="290" t="s">
        <v>1738</v>
      </c>
      <c r="B7" s="299" t="s">
        <v>1741</v>
      </c>
      <c r="C7" s="377">
        <v>0.086</v>
      </c>
      <c r="D7" s="377">
        <v>0.096</v>
      </c>
      <c r="E7" s="377">
        <v>0.076</v>
      </c>
      <c r="F7" s="378">
        <v>0.1</v>
      </c>
    </row>
    <row r="8" ht="14.25" spans="1:6">
      <c r="A8" s="290" t="s">
        <v>1738</v>
      </c>
      <c r="B8" s="295" t="s">
        <v>1742</v>
      </c>
      <c r="C8" s="377">
        <v>0.099</v>
      </c>
      <c r="D8" s="377">
        <v>0.098</v>
      </c>
      <c r="E8" s="377">
        <v>0.098</v>
      </c>
      <c r="F8" s="378">
        <v>0.1</v>
      </c>
    </row>
    <row r="9" ht="14.25" spans="1:6">
      <c r="A9" s="308" t="s">
        <v>1738</v>
      </c>
      <c r="B9" s="300" t="s">
        <v>1743</v>
      </c>
      <c r="C9" s="379">
        <v>0.05</v>
      </c>
      <c r="D9" s="380"/>
      <c r="E9" s="380"/>
      <c r="F9" s="381"/>
    </row>
    <row r="10" ht="14.25" spans="1:6">
      <c r="A10" s="290" t="s">
        <v>1744</v>
      </c>
      <c r="B10" s="291" t="s">
        <v>1745</v>
      </c>
      <c r="C10" s="375">
        <v>0.089</v>
      </c>
      <c r="D10" s="375">
        <v>0.073</v>
      </c>
      <c r="E10" s="375">
        <v>0.082</v>
      </c>
      <c r="F10" s="376">
        <v>0.1</v>
      </c>
    </row>
    <row r="11" ht="14.25" spans="1:6">
      <c r="A11" s="290" t="s">
        <v>1744</v>
      </c>
      <c r="B11" s="299" t="s">
        <v>1746</v>
      </c>
      <c r="C11" s="377">
        <v>0.089</v>
      </c>
      <c r="D11" s="377">
        <v>0.073</v>
      </c>
      <c r="E11" s="377">
        <v>0.082</v>
      </c>
      <c r="F11" s="378">
        <v>0.1</v>
      </c>
    </row>
    <row r="12" ht="14.25" spans="1:6">
      <c r="A12" s="290" t="s">
        <v>1744</v>
      </c>
      <c r="B12" s="299" t="s">
        <v>1747</v>
      </c>
      <c r="C12" s="377">
        <v>0.061</v>
      </c>
      <c r="D12" s="377">
        <v>0.071</v>
      </c>
      <c r="E12" s="377">
        <v>0.096</v>
      </c>
      <c r="F12" s="378">
        <v>0.1</v>
      </c>
    </row>
    <row r="13" ht="14.25" spans="1:6">
      <c r="A13" s="290" t="s">
        <v>1744</v>
      </c>
      <c r="B13" s="299" t="s">
        <v>1748</v>
      </c>
      <c r="C13" s="377">
        <v>0.069</v>
      </c>
      <c r="D13" s="377">
        <v>0.065</v>
      </c>
      <c r="E13" s="377">
        <v>0.066</v>
      </c>
      <c r="F13" s="378">
        <v>0.1</v>
      </c>
    </row>
    <row r="14" ht="14.25" spans="1:6">
      <c r="A14" s="290" t="s">
        <v>1744</v>
      </c>
      <c r="B14" s="299" t="s">
        <v>1749</v>
      </c>
      <c r="C14" s="377">
        <v>0.1</v>
      </c>
      <c r="D14" s="377">
        <v>0.065</v>
      </c>
      <c r="E14" s="377">
        <v>0.07</v>
      </c>
      <c r="F14" s="378">
        <v>0.1</v>
      </c>
    </row>
    <row r="15" ht="14.25" spans="1:6">
      <c r="A15" s="290" t="s">
        <v>1744</v>
      </c>
      <c r="B15" s="299" t="s">
        <v>1750</v>
      </c>
      <c r="C15" s="377">
        <v>0.098</v>
      </c>
      <c r="D15" s="377">
        <v>0.089</v>
      </c>
      <c r="E15" s="377">
        <v>0.089</v>
      </c>
      <c r="F15" s="378">
        <v>0.1</v>
      </c>
    </row>
    <row r="16" ht="14.25" spans="1:6">
      <c r="A16" s="290" t="s">
        <v>1744</v>
      </c>
      <c r="B16" s="299" t="s">
        <v>1751</v>
      </c>
      <c r="C16" s="377">
        <v>0.07</v>
      </c>
      <c r="D16" s="377">
        <v>0.093</v>
      </c>
      <c r="E16" s="377">
        <v>0.096</v>
      </c>
      <c r="F16" s="378">
        <v>0.1</v>
      </c>
    </row>
    <row r="17" ht="14.25" spans="1:6">
      <c r="A17" s="290" t="s">
        <v>1744</v>
      </c>
      <c r="B17" s="299" t="s">
        <v>1752</v>
      </c>
      <c r="C17" s="377">
        <v>0.095</v>
      </c>
      <c r="D17" s="377">
        <v>0.1</v>
      </c>
      <c r="E17" s="377">
        <v>0.1</v>
      </c>
      <c r="F17" s="382"/>
    </row>
    <row r="18" ht="14.25" spans="1:6">
      <c r="A18" s="290" t="s">
        <v>1744</v>
      </c>
      <c r="B18" s="299" t="s">
        <v>1753</v>
      </c>
      <c r="C18" s="377">
        <v>0.074</v>
      </c>
      <c r="D18" s="377">
        <v>0.099</v>
      </c>
      <c r="E18" s="377">
        <v>0.1</v>
      </c>
      <c r="F18" s="382"/>
    </row>
    <row r="19" ht="14.25" spans="1:6">
      <c r="A19" s="290" t="s">
        <v>1744</v>
      </c>
      <c r="B19" s="299" t="s">
        <v>1754</v>
      </c>
      <c r="C19" s="377">
        <v>0.099</v>
      </c>
      <c r="D19" s="377">
        <v>0.076</v>
      </c>
      <c r="E19" s="377">
        <v>0.087</v>
      </c>
      <c r="F19" s="382"/>
    </row>
    <row r="20" ht="14.25" spans="1:6">
      <c r="A20" s="290" t="s">
        <v>1744</v>
      </c>
      <c r="B20" s="299" t="s">
        <v>1755</v>
      </c>
      <c r="C20" s="377">
        <v>0.098</v>
      </c>
      <c r="D20" s="377">
        <v>0.085</v>
      </c>
      <c r="E20" s="377">
        <v>0.082</v>
      </c>
      <c r="F20" s="382"/>
    </row>
    <row r="21" ht="14.25" spans="1:6">
      <c r="A21" s="290" t="s">
        <v>1744</v>
      </c>
      <c r="B21" s="299" t="s">
        <v>1756</v>
      </c>
      <c r="C21" s="377">
        <v>0.066</v>
      </c>
      <c r="D21" s="377">
        <v>0.064</v>
      </c>
      <c r="E21" s="377">
        <v>0.065</v>
      </c>
      <c r="F21" s="382"/>
    </row>
    <row r="22" ht="14.25" spans="1:6">
      <c r="A22" s="290" t="s">
        <v>1744</v>
      </c>
      <c r="B22" s="299" t="s">
        <v>1757</v>
      </c>
      <c r="C22" s="377">
        <v>0.08</v>
      </c>
      <c r="D22" s="377">
        <v>0.098</v>
      </c>
      <c r="E22" s="377">
        <v>0.098</v>
      </c>
      <c r="F22" s="382"/>
    </row>
    <row r="23" ht="14.25" spans="1:6">
      <c r="A23" s="290" t="s">
        <v>1744</v>
      </c>
      <c r="B23" s="299" t="s">
        <v>1758</v>
      </c>
      <c r="C23" s="377">
        <v>0.099</v>
      </c>
      <c r="D23" s="377">
        <v>0.098</v>
      </c>
      <c r="E23" s="377">
        <v>0.091</v>
      </c>
      <c r="F23" s="382"/>
    </row>
    <row r="24" ht="14.25" spans="1:6">
      <c r="A24" s="290" t="s">
        <v>1744</v>
      </c>
      <c r="B24" s="299" t="s">
        <v>1759</v>
      </c>
      <c r="C24" s="377">
        <v>0.089</v>
      </c>
      <c r="D24" s="377">
        <v>0.097</v>
      </c>
      <c r="E24" s="377">
        <v>0.07</v>
      </c>
      <c r="F24" s="382"/>
    </row>
    <row r="25" ht="14.25" spans="1:6">
      <c r="A25" s="290" t="s">
        <v>1744</v>
      </c>
      <c r="B25" s="299" t="s">
        <v>1760</v>
      </c>
      <c r="C25" s="377">
        <v>0.089</v>
      </c>
      <c r="D25" s="377">
        <v>0.1</v>
      </c>
      <c r="E25" s="377">
        <v>0.081</v>
      </c>
      <c r="F25" s="382"/>
    </row>
    <row r="26" ht="14.25" spans="1:6">
      <c r="A26" s="290" t="s">
        <v>1744</v>
      </c>
      <c r="B26" s="299" t="s">
        <v>1761</v>
      </c>
      <c r="C26" s="383"/>
      <c r="D26" s="377">
        <v>0.096</v>
      </c>
      <c r="E26" s="377">
        <v>0.093</v>
      </c>
      <c r="F26" s="382"/>
    </row>
    <row r="27" ht="14.25" spans="1:6">
      <c r="A27" s="290" t="s">
        <v>1744</v>
      </c>
      <c r="B27" s="299" t="s">
        <v>1762</v>
      </c>
      <c r="C27" s="383"/>
      <c r="D27" s="377">
        <v>0.076</v>
      </c>
      <c r="E27" s="377">
        <v>0.092</v>
      </c>
      <c r="F27" s="382"/>
    </row>
    <row r="28" ht="14.25" spans="1:6">
      <c r="A28" s="308" t="s">
        <v>1744</v>
      </c>
      <c r="B28" s="300" t="s">
        <v>1763</v>
      </c>
      <c r="C28" s="380"/>
      <c r="D28" s="379">
        <v>0.076</v>
      </c>
      <c r="E28" s="379">
        <v>0.092</v>
      </c>
      <c r="F28" s="381"/>
    </row>
    <row r="29" ht="14.25" spans="1:6">
      <c r="A29" s="290" t="s">
        <v>1764</v>
      </c>
      <c r="B29" s="291" t="s">
        <v>1765</v>
      </c>
      <c r="C29" s="375">
        <v>0.064</v>
      </c>
      <c r="D29" s="375">
        <v>0.065</v>
      </c>
      <c r="E29" s="375">
        <v>0.069</v>
      </c>
      <c r="F29" s="376">
        <v>0.1</v>
      </c>
    </row>
    <row r="30" ht="14.25" spans="1:6">
      <c r="A30" s="290" t="s">
        <v>1764</v>
      </c>
      <c r="B30" s="299" t="s">
        <v>1766</v>
      </c>
      <c r="C30" s="377">
        <v>0.064</v>
      </c>
      <c r="D30" s="377">
        <v>0.099</v>
      </c>
      <c r="E30" s="377">
        <v>0.1</v>
      </c>
      <c r="F30" s="378">
        <v>0.1</v>
      </c>
    </row>
    <row r="31" ht="14.25" spans="1:6">
      <c r="A31" s="290" t="s">
        <v>1764</v>
      </c>
      <c r="B31" s="299" t="s">
        <v>1767</v>
      </c>
      <c r="C31" s="377">
        <v>0.1</v>
      </c>
      <c r="D31" s="377">
        <v>0.095</v>
      </c>
      <c r="E31" s="377">
        <v>0.089</v>
      </c>
      <c r="F31" s="378">
        <v>0.1</v>
      </c>
    </row>
    <row r="32" ht="14.25" spans="1:6">
      <c r="A32" s="290" t="s">
        <v>1764</v>
      </c>
      <c r="B32" s="299" t="s">
        <v>1768</v>
      </c>
      <c r="C32" s="377">
        <v>0.05</v>
      </c>
      <c r="D32" s="377">
        <v>0.05</v>
      </c>
      <c r="E32" s="377">
        <v>0.088</v>
      </c>
      <c r="F32" s="378">
        <v>0.1</v>
      </c>
    </row>
    <row r="33" ht="14.25" spans="1:6">
      <c r="A33" s="290" t="s">
        <v>1764</v>
      </c>
      <c r="B33" s="299" t="s">
        <v>1769</v>
      </c>
      <c r="C33" s="377">
        <v>0.075</v>
      </c>
      <c r="D33" s="377">
        <v>0.094</v>
      </c>
      <c r="E33" s="377">
        <v>0.097</v>
      </c>
      <c r="F33" s="378">
        <v>0.1</v>
      </c>
    </row>
    <row r="34" ht="14.25" spans="1:6">
      <c r="A34" s="290" t="s">
        <v>1764</v>
      </c>
      <c r="B34" s="299" t="s">
        <v>1770</v>
      </c>
      <c r="C34" s="377">
        <v>0.098</v>
      </c>
      <c r="D34" s="377">
        <v>0.086</v>
      </c>
      <c r="E34" s="377">
        <v>0.097</v>
      </c>
      <c r="F34" s="378">
        <v>0.1</v>
      </c>
    </row>
    <row r="35" ht="14.25" spans="1:6">
      <c r="A35" s="290" t="s">
        <v>1764</v>
      </c>
      <c r="B35" s="299" t="s">
        <v>1771</v>
      </c>
      <c r="C35" s="377">
        <v>0.059</v>
      </c>
      <c r="D35" s="377">
        <v>0.065</v>
      </c>
      <c r="E35" s="377">
        <v>0.07</v>
      </c>
      <c r="F35" s="378">
        <v>0.1</v>
      </c>
    </row>
    <row r="36" ht="14.25" spans="1:6">
      <c r="A36" s="290" t="s">
        <v>1764</v>
      </c>
      <c r="B36" s="299" t="s">
        <v>1772</v>
      </c>
      <c r="C36" s="377">
        <v>0.063</v>
      </c>
      <c r="D36" s="377">
        <v>0.1</v>
      </c>
      <c r="E36" s="377">
        <v>0.1</v>
      </c>
      <c r="F36" s="378">
        <v>0.1</v>
      </c>
    </row>
    <row r="37" ht="14.25" spans="1:6">
      <c r="A37" s="290" t="s">
        <v>1764</v>
      </c>
      <c r="B37" s="299" t="s">
        <v>1773</v>
      </c>
      <c r="C37" s="377">
        <v>0.074</v>
      </c>
      <c r="D37" s="377">
        <v>0.1</v>
      </c>
      <c r="E37" s="377">
        <v>0.1</v>
      </c>
      <c r="F37" s="378">
        <v>0.1</v>
      </c>
    </row>
    <row r="38" ht="14.25" spans="1:6">
      <c r="A38" s="290" t="s">
        <v>1764</v>
      </c>
      <c r="B38" s="299" t="s">
        <v>1774</v>
      </c>
      <c r="C38" s="377">
        <v>0.1</v>
      </c>
      <c r="D38" s="377">
        <v>0.096</v>
      </c>
      <c r="E38" s="377">
        <v>0.096</v>
      </c>
      <c r="F38" s="382"/>
    </row>
    <row r="39" ht="14.25" spans="1:6">
      <c r="A39" s="290" t="s">
        <v>1764</v>
      </c>
      <c r="B39" s="299" t="s">
        <v>1775</v>
      </c>
      <c r="C39" s="377">
        <v>0.1</v>
      </c>
      <c r="D39" s="377">
        <v>0.096</v>
      </c>
      <c r="E39" s="377">
        <v>0.096</v>
      </c>
      <c r="F39" s="382"/>
    </row>
    <row r="40" ht="14.25" spans="1:6">
      <c r="A40" s="290" t="s">
        <v>1764</v>
      </c>
      <c r="B40" s="299" t="s">
        <v>1776</v>
      </c>
      <c r="C40" s="377">
        <v>0.096</v>
      </c>
      <c r="D40" s="377">
        <v>0.1</v>
      </c>
      <c r="E40" s="377">
        <v>0.099</v>
      </c>
      <c r="F40" s="382"/>
    </row>
    <row r="41" ht="14.25" spans="1:6">
      <c r="A41" s="290" t="s">
        <v>1764</v>
      </c>
      <c r="B41" s="299" t="s">
        <v>1777</v>
      </c>
      <c r="C41" s="377">
        <v>0.096</v>
      </c>
      <c r="D41" s="377">
        <v>0.098</v>
      </c>
      <c r="E41" s="377">
        <v>0.098</v>
      </c>
      <c r="F41" s="382"/>
    </row>
    <row r="42" ht="14.25" spans="1:6">
      <c r="A42" s="290" t="s">
        <v>1764</v>
      </c>
      <c r="B42" s="299" t="s">
        <v>1778</v>
      </c>
      <c r="C42" s="377">
        <v>0.1</v>
      </c>
      <c r="D42" s="377">
        <v>0.088</v>
      </c>
      <c r="E42" s="377">
        <v>0.1</v>
      </c>
      <c r="F42" s="382"/>
    </row>
    <row r="43" ht="14.25" spans="1:6">
      <c r="A43" s="290" t="s">
        <v>1764</v>
      </c>
      <c r="B43" s="299" t="s">
        <v>1779</v>
      </c>
      <c r="C43" s="377">
        <v>0.098</v>
      </c>
      <c r="D43" s="377">
        <v>0.097</v>
      </c>
      <c r="E43" s="377">
        <v>0.096</v>
      </c>
      <c r="F43" s="382"/>
    </row>
    <row r="44" ht="14.25" spans="1:6">
      <c r="A44" s="290" t="s">
        <v>1764</v>
      </c>
      <c r="B44" s="299" t="s">
        <v>1780</v>
      </c>
      <c r="C44" s="377">
        <v>0.086</v>
      </c>
      <c r="D44" s="377">
        <v>0.079</v>
      </c>
      <c r="E44" s="377">
        <v>0.071</v>
      </c>
      <c r="F44" s="382"/>
    </row>
    <row r="45" ht="14.25" spans="1:6">
      <c r="A45" s="290" t="s">
        <v>1764</v>
      </c>
      <c r="B45" s="299" t="s">
        <v>1781</v>
      </c>
      <c r="C45" s="377">
        <v>0.098</v>
      </c>
      <c r="D45" s="377">
        <v>0.096</v>
      </c>
      <c r="E45" s="377">
        <v>0.096</v>
      </c>
      <c r="F45" s="382"/>
    </row>
    <row r="46" ht="14.25" spans="1:6">
      <c r="A46" s="290" t="s">
        <v>1764</v>
      </c>
      <c r="B46" s="299" t="s">
        <v>1782</v>
      </c>
      <c r="C46" s="377">
        <v>0.086</v>
      </c>
      <c r="D46" s="377">
        <v>0.098</v>
      </c>
      <c r="E46" s="377">
        <v>0.088</v>
      </c>
      <c r="F46" s="382"/>
    </row>
    <row r="47" ht="14.25" spans="1:6">
      <c r="A47" s="290" t="s">
        <v>1764</v>
      </c>
      <c r="B47" s="299" t="s">
        <v>1783</v>
      </c>
      <c r="C47" s="377">
        <v>0.096</v>
      </c>
      <c r="D47" s="383"/>
      <c r="E47" s="377">
        <v>0.069</v>
      </c>
      <c r="F47" s="382"/>
    </row>
    <row r="48" ht="14.25" spans="1:6">
      <c r="A48" s="308" t="s">
        <v>1764</v>
      </c>
      <c r="B48" s="300" t="s">
        <v>1784</v>
      </c>
      <c r="C48" s="379">
        <v>0.098</v>
      </c>
      <c r="D48" s="380"/>
      <c r="E48" s="379">
        <v>0.095</v>
      </c>
      <c r="F48" s="381"/>
    </row>
    <row r="49" ht="14.25" spans="1:6">
      <c r="A49" s="290" t="s">
        <v>1785</v>
      </c>
      <c r="B49" s="291" t="s">
        <v>1786</v>
      </c>
      <c r="C49" s="375">
        <v>0.097</v>
      </c>
      <c r="D49" s="375">
        <v>0.095</v>
      </c>
      <c r="E49" s="375">
        <v>0.097</v>
      </c>
      <c r="F49" s="376">
        <v>0.1</v>
      </c>
    </row>
    <row r="50" ht="14.25" spans="1:6">
      <c r="A50" s="290" t="s">
        <v>1785</v>
      </c>
      <c r="B50" s="295" t="s">
        <v>1787</v>
      </c>
      <c r="C50" s="377">
        <v>0.075</v>
      </c>
      <c r="D50" s="377">
        <v>0.095</v>
      </c>
      <c r="E50" s="377">
        <v>0.1</v>
      </c>
      <c r="F50" s="378">
        <v>0.1</v>
      </c>
    </row>
    <row r="51" ht="14.25" spans="1:6">
      <c r="A51" s="290" t="s">
        <v>1785</v>
      </c>
      <c r="B51" s="295" t="s">
        <v>1788</v>
      </c>
      <c r="C51" s="377">
        <v>0.098</v>
      </c>
      <c r="D51" s="377">
        <v>0.089</v>
      </c>
      <c r="E51" s="377">
        <v>0.1</v>
      </c>
      <c r="F51" s="378">
        <v>0.1</v>
      </c>
    </row>
    <row r="52" ht="14.25" spans="1:6">
      <c r="A52" s="290" t="s">
        <v>1785</v>
      </c>
      <c r="B52" s="295" t="s">
        <v>1789</v>
      </c>
      <c r="C52" s="377">
        <v>0.098</v>
      </c>
      <c r="D52" s="377">
        <v>0.097</v>
      </c>
      <c r="E52" s="377">
        <v>0.081</v>
      </c>
      <c r="F52" s="378">
        <v>0.1</v>
      </c>
    </row>
    <row r="53" ht="14.25" spans="1:6">
      <c r="A53" s="290" t="s">
        <v>1785</v>
      </c>
      <c r="B53" s="295" t="s">
        <v>1790</v>
      </c>
      <c r="C53" s="377">
        <v>0.097</v>
      </c>
      <c r="D53" s="377">
        <v>0.076</v>
      </c>
      <c r="E53" s="377">
        <v>0.071</v>
      </c>
      <c r="F53" s="378">
        <v>0.1</v>
      </c>
    </row>
    <row r="54" ht="14.25" spans="1:6">
      <c r="A54" s="290" t="s">
        <v>1785</v>
      </c>
      <c r="B54" s="295" t="s">
        <v>1791</v>
      </c>
      <c r="C54" s="377">
        <v>0.076</v>
      </c>
      <c r="D54" s="377">
        <v>0.1</v>
      </c>
      <c r="E54" s="377">
        <v>0.099</v>
      </c>
      <c r="F54" s="378">
        <v>0.1</v>
      </c>
    </row>
    <row r="55" ht="14.25" spans="1:6">
      <c r="A55" s="290" t="s">
        <v>1785</v>
      </c>
      <c r="B55" s="295" t="s">
        <v>1792</v>
      </c>
      <c r="C55" s="377">
        <v>0.1</v>
      </c>
      <c r="D55" s="377">
        <v>0.1</v>
      </c>
      <c r="E55" s="377">
        <v>0.096</v>
      </c>
      <c r="F55" s="378">
        <v>0.1</v>
      </c>
    </row>
    <row r="56" ht="14.25" spans="1:6">
      <c r="A56" s="290" t="s">
        <v>1785</v>
      </c>
      <c r="B56" s="295" t="s">
        <v>1793</v>
      </c>
      <c r="C56" s="377">
        <v>0.1</v>
      </c>
      <c r="D56" s="377">
        <v>0.096</v>
      </c>
      <c r="E56" s="377">
        <v>0.052</v>
      </c>
      <c r="F56" s="378">
        <v>0.1</v>
      </c>
    </row>
    <row r="57" ht="14.25" spans="1:6">
      <c r="A57" s="290" t="s">
        <v>1785</v>
      </c>
      <c r="B57" s="295" t="s">
        <v>1794</v>
      </c>
      <c r="C57" s="377">
        <v>0.097</v>
      </c>
      <c r="D57" s="377">
        <v>0.096</v>
      </c>
      <c r="E57" s="377">
        <v>0.096</v>
      </c>
      <c r="F57" s="378">
        <v>0.1</v>
      </c>
    </row>
    <row r="58" ht="14.25" spans="1:6">
      <c r="A58" s="290" t="s">
        <v>1785</v>
      </c>
      <c r="B58" s="295" t="s">
        <v>1795</v>
      </c>
      <c r="C58" s="377">
        <v>0.096</v>
      </c>
      <c r="D58" s="377">
        <v>0.099</v>
      </c>
      <c r="E58" s="377">
        <v>0.096</v>
      </c>
      <c r="F58" s="378">
        <v>0.1</v>
      </c>
    </row>
    <row r="59" ht="14.25" spans="1:6">
      <c r="A59" s="290" t="s">
        <v>1785</v>
      </c>
      <c r="B59" s="295" t="s">
        <v>1796</v>
      </c>
      <c r="C59" s="377">
        <v>0.072</v>
      </c>
      <c r="D59" s="377">
        <v>0.096</v>
      </c>
      <c r="E59" s="377">
        <v>0.071</v>
      </c>
      <c r="F59" s="378">
        <v>0.1</v>
      </c>
    </row>
    <row r="60" ht="14.25" spans="1:6">
      <c r="A60" s="290" t="s">
        <v>1785</v>
      </c>
      <c r="B60" s="295" t="s">
        <v>1797</v>
      </c>
      <c r="C60" s="377">
        <v>0.096</v>
      </c>
      <c r="D60" s="377">
        <v>0.089</v>
      </c>
      <c r="E60" s="377">
        <v>0.096</v>
      </c>
      <c r="F60" s="378">
        <v>0.1</v>
      </c>
    </row>
    <row r="61" ht="14.25" spans="1:6">
      <c r="A61" s="290" t="s">
        <v>1785</v>
      </c>
      <c r="B61" s="295" t="s">
        <v>1798</v>
      </c>
      <c r="C61" s="377">
        <v>0.089</v>
      </c>
      <c r="D61" s="377">
        <v>0.098</v>
      </c>
      <c r="E61" s="377">
        <v>0.088</v>
      </c>
      <c r="F61" s="382"/>
    </row>
    <row r="62" ht="14.25" spans="1:6">
      <c r="A62" s="290" t="s">
        <v>1785</v>
      </c>
      <c r="B62" s="295" t="s">
        <v>1799</v>
      </c>
      <c r="C62" s="377">
        <v>0.098</v>
      </c>
      <c r="D62" s="377">
        <v>0.093</v>
      </c>
      <c r="E62" s="377">
        <v>0.097</v>
      </c>
      <c r="F62" s="382"/>
    </row>
    <row r="63" ht="14.25" spans="1:6">
      <c r="A63" s="290" t="s">
        <v>1785</v>
      </c>
      <c r="B63" s="295" t="s">
        <v>1800</v>
      </c>
      <c r="C63" s="377">
        <v>0.096</v>
      </c>
      <c r="D63" s="377">
        <v>0.098</v>
      </c>
      <c r="E63" s="377">
        <v>0.09</v>
      </c>
      <c r="F63" s="382"/>
    </row>
    <row r="64" ht="14.25" spans="1:6">
      <c r="A64" s="290" t="s">
        <v>1785</v>
      </c>
      <c r="B64" s="295" t="s">
        <v>1801</v>
      </c>
      <c r="C64" s="377">
        <v>0.099</v>
      </c>
      <c r="D64" s="377">
        <v>0.097</v>
      </c>
      <c r="E64" s="377">
        <v>0.099</v>
      </c>
      <c r="F64" s="382"/>
    </row>
    <row r="65" ht="14.25" spans="1:6">
      <c r="A65" s="290" t="s">
        <v>1785</v>
      </c>
      <c r="B65" s="295" t="s">
        <v>1802</v>
      </c>
      <c r="C65" s="377">
        <v>0.098</v>
      </c>
      <c r="D65" s="377">
        <v>0.096</v>
      </c>
      <c r="E65" s="377">
        <v>0.096</v>
      </c>
      <c r="F65" s="382"/>
    </row>
    <row r="66" ht="14.25" spans="1:6">
      <c r="A66" s="290" t="s">
        <v>1785</v>
      </c>
      <c r="B66" s="295" t="s">
        <v>1803</v>
      </c>
      <c r="C66" s="377">
        <v>0.096</v>
      </c>
      <c r="D66" s="377">
        <v>0.092</v>
      </c>
      <c r="E66" s="377">
        <v>0.096</v>
      </c>
      <c r="F66" s="382"/>
    </row>
    <row r="67" ht="14.25" spans="1:6">
      <c r="A67" s="290" t="s">
        <v>1785</v>
      </c>
      <c r="B67" s="295" t="s">
        <v>1804</v>
      </c>
      <c r="C67" s="377">
        <v>0.094</v>
      </c>
      <c r="D67" s="377">
        <v>0.1</v>
      </c>
      <c r="E67" s="377">
        <v>0.088</v>
      </c>
      <c r="F67" s="382"/>
    </row>
    <row r="68" ht="14.25" spans="1:6">
      <c r="A68" s="290" t="s">
        <v>1785</v>
      </c>
      <c r="B68" s="295" t="s">
        <v>1805</v>
      </c>
      <c r="C68" s="377">
        <v>0.1</v>
      </c>
      <c r="D68" s="377">
        <v>0.088</v>
      </c>
      <c r="E68" s="377">
        <v>0.097</v>
      </c>
      <c r="F68" s="382"/>
    </row>
    <row r="69" ht="14.25" spans="1:6">
      <c r="A69" s="290" t="s">
        <v>1785</v>
      </c>
      <c r="B69" s="295" t="s">
        <v>1806</v>
      </c>
      <c r="C69" s="377">
        <v>0.064</v>
      </c>
      <c r="D69" s="377">
        <v>0.1</v>
      </c>
      <c r="E69" s="377">
        <v>0.1</v>
      </c>
      <c r="F69" s="382"/>
    </row>
    <row r="70" ht="14.25" spans="1:6">
      <c r="A70" s="290" t="s">
        <v>1785</v>
      </c>
      <c r="B70" s="295" t="s">
        <v>1807</v>
      </c>
      <c r="C70" s="377">
        <v>0.091</v>
      </c>
      <c r="D70" s="383"/>
      <c r="E70" s="383"/>
      <c r="F70" s="382"/>
    </row>
    <row r="71" ht="14.25" spans="1:6">
      <c r="A71" s="290" t="s">
        <v>1785</v>
      </c>
      <c r="B71" s="295" t="s">
        <v>1808</v>
      </c>
      <c r="C71" s="377">
        <v>0.1</v>
      </c>
      <c r="D71" s="383"/>
      <c r="E71" s="383"/>
      <c r="F71" s="382"/>
    </row>
    <row r="72" ht="14.25" spans="1:6">
      <c r="A72" s="290" t="s">
        <v>1785</v>
      </c>
      <c r="B72" s="295" t="s">
        <v>1809</v>
      </c>
      <c r="C72" s="383"/>
      <c r="D72" s="383"/>
      <c r="E72" s="383"/>
      <c r="F72" s="378">
        <v>0.05</v>
      </c>
    </row>
    <row r="73" ht="14.25" spans="1:6">
      <c r="A73" s="290" t="s">
        <v>1785</v>
      </c>
      <c r="B73" s="295" t="s">
        <v>1810</v>
      </c>
      <c r="C73" s="383"/>
      <c r="D73" s="383"/>
      <c r="E73" s="383"/>
      <c r="F73" s="378">
        <v>0.05</v>
      </c>
    </row>
    <row r="74" ht="14.25" spans="1:6">
      <c r="A74" s="290" t="s">
        <v>1785</v>
      </c>
      <c r="B74" s="295" t="s">
        <v>1811</v>
      </c>
      <c r="C74" s="383"/>
      <c r="D74" s="383"/>
      <c r="E74" s="383"/>
      <c r="F74" s="378">
        <v>0.05</v>
      </c>
    </row>
    <row r="75" ht="14.25" spans="1:6">
      <c r="A75" s="308" t="s">
        <v>1785</v>
      </c>
      <c r="B75" s="301" t="s">
        <v>1812</v>
      </c>
      <c r="C75" s="380"/>
      <c r="D75" s="380"/>
      <c r="E75" s="380"/>
      <c r="F75" s="384">
        <v>0.05</v>
      </c>
    </row>
    <row r="76" ht="14.25" spans="1:6">
      <c r="A76" s="290" t="s">
        <v>1813</v>
      </c>
      <c r="B76" s="291" t="s">
        <v>1814</v>
      </c>
      <c r="C76" s="375">
        <v>0.1</v>
      </c>
      <c r="D76" s="375">
        <v>0.1</v>
      </c>
      <c r="E76" s="375">
        <v>0.1</v>
      </c>
      <c r="F76" s="376">
        <v>0.1</v>
      </c>
    </row>
    <row r="77" ht="14.25" spans="1:6">
      <c r="A77" s="290" t="s">
        <v>1813</v>
      </c>
      <c r="B77" s="295" t="s">
        <v>1815</v>
      </c>
      <c r="C77" s="377">
        <v>0.088</v>
      </c>
      <c r="D77" s="377">
        <v>0.087</v>
      </c>
      <c r="E77" s="377">
        <v>0.079</v>
      </c>
      <c r="F77" s="378">
        <v>0.1</v>
      </c>
    </row>
    <row r="78" ht="14.25" spans="1:6">
      <c r="A78" s="290" t="s">
        <v>1813</v>
      </c>
      <c r="B78" s="295" t="s">
        <v>1816</v>
      </c>
      <c r="C78" s="377">
        <v>0.087</v>
      </c>
      <c r="D78" s="377">
        <v>0.084</v>
      </c>
      <c r="E78" s="377">
        <v>0.096</v>
      </c>
      <c r="F78" s="378">
        <v>0.1</v>
      </c>
    </row>
    <row r="79" ht="14.25" spans="1:6">
      <c r="A79" s="290" t="s">
        <v>1813</v>
      </c>
      <c r="B79" s="295" t="s">
        <v>1817</v>
      </c>
      <c r="C79" s="377">
        <v>0.098</v>
      </c>
      <c r="D79" s="377">
        <v>0.098</v>
      </c>
      <c r="E79" s="377">
        <v>0.091</v>
      </c>
      <c r="F79" s="378">
        <v>0.1</v>
      </c>
    </row>
    <row r="80" ht="14.25" spans="1:6">
      <c r="A80" s="290" t="s">
        <v>1813</v>
      </c>
      <c r="B80" s="295" t="s">
        <v>1818</v>
      </c>
      <c r="C80" s="377">
        <v>0.096</v>
      </c>
      <c r="D80" s="377">
        <v>0.096</v>
      </c>
      <c r="E80" s="377">
        <v>0.1</v>
      </c>
      <c r="F80" s="378">
        <v>0.1</v>
      </c>
    </row>
    <row r="81" ht="14.25" spans="1:6">
      <c r="A81" s="290" t="s">
        <v>1813</v>
      </c>
      <c r="B81" s="295" t="s">
        <v>1819</v>
      </c>
      <c r="C81" s="377">
        <v>0.099</v>
      </c>
      <c r="D81" s="377">
        <v>0.099</v>
      </c>
      <c r="E81" s="377">
        <v>0.098</v>
      </c>
      <c r="F81" s="378">
        <v>0.1</v>
      </c>
    </row>
    <row r="82" ht="14.25" spans="1:6">
      <c r="A82" s="290" t="s">
        <v>1813</v>
      </c>
      <c r="B82" s="295" t="s">
        <v>1820</v>
      </c>
      <c r="C82" s="377">
        <v>0.099</v>
      </c>
      <c r="D82" s="377">
        <v>0.099</v>
      </c>
      <c r="E82" s="377">
        <v>0.097</v>
      </c>
      <c r="F82" s="378">
        <v>0.1</v>
      </c>
    </row>
    <row r="83" ht="14.25" spans="1:6">
      <c r="A83" s="290" t="s">
        <v>1813</v>
      </c>
      <c r="B83" s="295" t="s">
        <v>1821</v>
      </c>
      <c r="C83" s="377">
        <v>0.098</v>
      </c>
      <c r="D83" s="377">
        <v>0.098</v>
      </c>
      <c r="E83" s="377">
        <v>0.098</v>
      </c>
      <c r="F83" s="378">
        <v>0.1</v>
      </c>
    </row>
    <row r="84" ht="14.25" spans="1:6">
      <c r="A84" s="290" t="s">
        <v>1813</v>
      </c>
      <c r="B84" s="295" t="s">
        <v>1822</v>
      </c>
      <c r="C84" s="377">
        <v>0.099</v>
      </c>
      <c r="D84" s="377">
        <v>0.099</v>
      </c>
      <c r="E84" s="377">
        <v>0.099</v>
      </c>
      <c r="F84" s="378">
        <v>0.1</v>
      </c>
    </row>
    <row r="85" ht="14.25" spans="1:6">
      <c r="A85" s="290" t="s">
        <v>1813</v>
      </c>
      <c r="B85" s="295" t="s">
        <v>1823</v>
      </c>
      <c r="C85" s="377">
        <v>0.099</v>
      </c>
      <c r="D85" s="377">
        <v>0.099</v>
      </c>
      <c r="E85" s="377">
        <v>0.099</v>
      </c>
      <c r="F85" s="378">
        <v>0.1</v>
      </c>
    </row>
    <row r="86" ht="14.25" spans="1:6">
      <c r="A86" s="290" t="s">
        <v>1813</v>
      </c>
      <c r="B86" s="295" t="s">
        <v>1824</v>
      </c>
      <c r="C86" s="377">
        <v>0.1</v>
      </c>
      <c r="D86" s="377">
        <v>0.1</v>
      </c>
      <c r="E86" s="377">
        <v>0.077</v>
      </c>
      <c r="F86" s="378">
        <v>0.1</v>
      </c>
    </row>
    <row r="87" ht="14.25" spans="1:6">
      <c r="A87" s="290" t="s">
        <v>1813</v>
      </c>
      <c r="B87" s="295" t="s">
        <v>1825</v>
      </c>
      <c r="C87" s="377">
        <v>0.1</v>
      </c>
      <c r="D87" s="377">
        <v>0.1</v>
      </c>
      <c r="E87" s="377">
        <v>0.098</v>
      </c>
      <c r="F87" s="382"/>
    </row>
    <row r="88" ht="14.25" spans="1:6">
      <c r="A88" s="290" t="s">
        <v>1813</v>
      </c>
      <c r="B88" s="295" t="s">
        <v>1826</v>
      </c>
      <c r="C88" s="377">
        <v>0.092</v>
      </c>
      <c r="D88" s="377">
        <v>0.085</v>
      </c>
      <c r="E88" s="377">
        <v>0.096</v>
      </c>
      <c r="F88" s="382"/>
    </row>
    <row r="89" ht="14.25" spans="1:6">
      <c r="A89" s="290" t="s">
        <v>1813</v>
      </c>
      <c r="B89" s="295" t="s">
        <v>1827</v>
      </c>
      <c r="C89" s="377">
        <v>0.1</v>
      </c>
      <c r="D89" s="377">
        <v>0.1</v>
      </c>
      <c r="E89" s="377">
        <v>0.097</v>
      </c>
      <c r="F89" s="382"/>
    </row>
    <row r="90" ht="14.25" spans="1:6">
      <c r="A90" s="290" t="s">
        <v>1813</v>
      </c>
      <c r="B90" s="295" t="s">
        <v>1828</v>
      </c>
      <c r="C90" s="377">
        <v>0.098</v>
      </c>
      <c r="D90" s="377">
        <v>0.098</v>
      </c>
      <c r="E90" s="377">
        <v>0.088</v>
      </c>
      <c r="F90" s="382"/>
    </row>
    <row r="91" ht="14.25" spans="1:6">
      <c r="A91" s="290" t="s">
        <v>1813</v>
      </c>
      <c r="B91" s="295" t="s">
        <v>1829</v>
      </c>
      <c r="C91" s="377">
        <v>0.099</v>
      </c>
      <c r="D91" s="377">
        <v>0.099</v>
      </c>
      <c r="E91" s="377">
        <v>0.091</v>
      </c>
      <c r="F91" s="382"/>
    </row>
    <row r="92" ht="14.25" spans="1:6">
      <c r="A92" s="290" t="s">
        <v>1813</v>
      </c>
      <c r="B92" s="295" t="s">
        <v>1830</v>
      </c>
      <c r="C92" s="377">
        <v>0.096</v>
      </c>
      <c r="D92" s="377">
        <v>0.096</v>
      </c>
      <c r="E92" s="377">
        <v>0.073</v>
      </c>
      <c r="F92" s="382"/>
    </row>
    <row r="93" ht="14.25" spans="1:6">
      <c r="A93" s="290" t="s">
        <v>1813</v>
      </c>
      <c r="B93" s="295" t="s">
        <v>1831</v>
      </c>
      <c r="C93" s="377">
        <v>0.096</v>
      </c>
      <c r="D93" s="377">
        <v>0.096</v>
      </c>
      <c r="E93" s="377">
        <v>0.099</v>
      </c>
      <c r="F93" s="382"/>
    </row>
    <row r="94" ht="14.25" spans="1:6">
      <c r="A94" s="290" t="s">
        <v>1813</v>
      </c>
      <c r="B94" s="295" t="s">
        <v>1832</v>
      </c>
      <c r="C94" s="377">
        <v>0.076</v>
      </c>
      <c r="D94" s="377">
        <v>0.074</v>
      </c>
      <c r="E94" s="377">
        <v>0.097</v>
      </c>
      <c r="F94" s="382"/>
    </row>
    <row r="95" ht="14.25" spans="1:6">
      <c r="A95" s="290" t="s">
        <v>1813</v>
      </c>
      <c r="B95" s="295" t="s">
        <v>1833</v>
      </c>
      <c r="C95" s="377">
        <v>0.099</v>
      </c>
      <c r="D95" s="377">
        <v>0.094</v>
      </c>
      <c r="E95" s="377">
        <v>0.096</v>
      </c>
      <c r="F95" s="382"/>
    </row>
    <row r="96" ht="14.25" spans="1:6">
      <c r="A96" s="290" t="s">
        <v>1813</v>
      </c>
      <c r="B96" s="295" t="s">
        <v>1834</v>
      </c>
      <c r="C96" s="377">
        <v>0.099</v>
      </c>
      <c r="D96" s="377">
        <v>0.099</v>
      </c>
      <c r="E96" s="377">
        <v>0.099</v>
      </c>
      <c r="F96" s="382"/>
    </row>
    <row r="97" ht="14.25" spans="1:6">
      <c r="A97" s="290" t="s">
        <v>1813</v>
      </c>
      <c r="B97" s="295" t="s">
        <v>1835</v>
      </c>
      <c r="C97" s="377">
        <v>0.098</v>
      </c>
      <c r="D97" s="377">
        <v>0.098</v>
      </c>
      <c r="E97" s="377">
        <v>0.097</v>
      </c>
      <c r="F97" s="382"/>
    </row>
    <row r="98" ht="14.25" spans="1:6">
      <c r="A98" s="290" t="s">
        <v>1813</v>
      </c>
      <c r="B98" s="295" t="s">
        <v>1836</v>
      </c>
      <c r="C98" s="377">
        <v>0.1</v>
      </c>
      <c r="D98" s="377">
        <v>0.1</v>
      </c>
      <c r="E98" s="377">
        <v>0.097</v>
      </c>
      <c r="F98" s="382"/>
    </row>
    <row r="99" ht="14.25" spans="1:6">
      <c r="A99" s="290" t="s">
        <v>1813</v>
      </c>
      <c r="B99" s="295" t="s">
        <v>1837</v>
      </c>
      <c r="C99" s="377">
        <v>0.1</v>
      </c>
      <c r="D99" s="377">
        <v>0.1</v>
      </c>
      <c r="E99" s="383"/>
      <c r="F99" s="382"/>
    </row>
    <row r="100" ht="14.25" spans="1:6">
      <c r="A100" s="290" t="s">
        <v>1813</v>
      </c>
      <c r="B100" s="295" t="s">
        <v>1838</v>
      </c>
      <c r="C100" s="377">
        <v>0.09</v>
      </c>
      <c r="D100" s="377">
        <v>0.089</v>
      </c>
      <c r="E100" s="383"/>
      <c r="F100" s="382"/>
    </row>
    <row r="101" ht="14.25" spans="1:6">
      <c r="A101" s="290" t="s">
        <v>1813</v>
      </c>
      <c r="B101" s="295" t="s">
        <v>1839</v>
      </c>
      <c r="C101" s="377">
        <v>0.098</v>
      </c>
      <c r="D101" s="377">
        <v>0.097</v>
      </c>
      <c r="E101" s="383"/>
      <c r="F101" s="382"/>
    </row>
    <row r="102" ht="14.25" spans="1:6">
      <c r="A102" s="290" t="s">
        <v>1813</v>
      </c>
      <c r="B102" s="295" t="s">
        <v>1840</v>
      </c>
      <c r="C102" s="383"/>
      <c r="D102" s="383"/>
      <c r="E102" s="383"/>
      <c r="F102" s="378">
        <v>0.05</v>
      </c>
    </row>
    <row r="103" ht="24.75" spans="1:6">
      <c r="A103" s="290" t="s">
        <v>1813</v>
      </c>
      <c r="B103" s="295" t="s">
        <v>1841</v>
      </c>
      <c r="C103" s="383"/>
      <c r="D103" s="383"/>
      <c r="E103" s="383"/>
      <c r="F103" s="378">
        <v>0.05</v>
      </c>
    </row>
    <row r="104" ht="14.25" spans="1:6">
      <c r="A104" s="290" t="s">
        <v>1813</v>
      </c>
      <c r="B104" s="295" t="s">
        <v>1842</v>
      </c>
      <c r="C104" s="383"/>
      <c r="D104" s="383"/>
      <c r="E104" s="383"/>
      <c r="F104" s="378">
        <v>0.05</v>
      </c>
    </row>
    <row r="105" ht="14.25" spans="1:6">
      <c r="A105" s="290" t="s">
        <v>1813</v>
      </c>
      <c r="B105" s="295" t="s">
        <v>1843</v>
      </c>
      <c r="C105" s="383"/>
      <c r="D105" s="383"/>
      <c r="E105" s="383"/>
      <c r="F105" s="378">
        <v>0.05</v>
      </c>
    </row>
    <row r="106" ht="14.25" spans="1:6">
      <c r="A106" s="290" t="s">
        <v>1813</v>
      </c>
      <c r="B106" s="295" t="s">
        <v>1844</v>
      </c>
      <c r="C106" s="383"/>
      <c r="D106" s="383"/>
      <c r="E106" s="383"/>
      <c r="F106" s="378">
        <v>0.05</v>
      </c>
    </row>
    <row r="107" ht="24.75" spans="1:6">
      <c r="A107" s="290" t="s">
        <v>1813</v>
      </c>
      <c r="B107" s="295" t="s">
        <v>1845</v>
      </c>
      <c r="C107" s="383"/>
      <c r="D107" s="383"/>
      <c r="E107" s="383"/>
      <c r="F107" s="378">
        <v>0.05</v>
      </c>
    </row>
    <row r="108" ht="24.75" spans="1:6">
      <c r="A108" s="290" t="s">
        <v>1813</v>
      </c>
      <c r="B108" s="295" t="s">
        <v>1846</v>
      </c>
      <c r="C108" s="383"/>
      <c r="D108" s="383"/>
      <c r="E108" s="383"/>
      <c r="F108" s="378">
        <v>0.05</v>
      </c>
    </row>
    <row r="109" ht="24.75" spans="1:6">
      <c r="A109" s="308" t="s">
        <v>1813</v>
      </c>
      <c r="B109" s="301" t="s">
        <v>1847</v>
      </c>
      <c r="C109" s="380"/>
      <c r="D109" s="380"/>
      <c r="E109" s="380"/>
      <c r="F109" s="384">
        <v>0.05</v>
      </c>
    </row>
    <row r="110" ht="14.25" spans="1:6">
      <c r="A110" s="290" t="s">
        <v>1848</v>
      </c>
      <c r="B110" s="291" t="s">
        <v>1849</v>
      </c>
      <c r="C110" s="375">
        <v>0.129</v>
      </c>
      <c r="D110" s="375">
        <v>0.129</v>
      </c>
      <c r="E110" s="375">
        <v>0.126</v>
      </c>
      <c r="F110" s="376">
        <v>0.13</v>
      </c>
    </row>
    <row r="111" ht="14.25" spans="1:6">
      <c r="A111" s="290" t="s">
        <v>1848</v>
      </c>
      <c r="B111" s="295" t="s">
        <v>1850</v>
      </c>
      <c r="C111" s="377">
        <v>0.11</v>
      </c>
      <c r="D111" s="377">
        <v>0.11</v>
      </c>
      <c r="E111" s="377">
        <v>0.099</v>
      </c>
      <c r="F111" s="378">
        <v>0.128</v>
      </c>
    </row>
    <row r="112" ht="14.25" spans="1:6">
      <c r="A112" s="290" t="s">
        <v>1848</v>
      </c>
      <c r="B112" s="295" t="s">
        <v>1851</v>
      </c>
      <c r="C112" s="377">
        <v>0.125</v>
      </c>
      <c r="D112" s="377">
        <v>0.125</v>
      </c>
      <c r="E112" s="377">
        <v>0.12</v>
      </c>
      <c r="F112" s="378">
        <v>0.125</v>
      </c>
    </row>
    <row r="113" ht="14.25" spans="1:6">
      <c r="A113" s="290" t="s">
        <v>1848</v>
      </c>
      <c r="B113" s="295" t="s">
        <v>1852</v>
      </c>
      <c r="C113" s="377">
        <v>0.13</v>
      </c>
      <c r="D113" s="377">
        <v>0.13</v>
      </c>
      <c r="E113" s="377">
        <v>0.13</v>
      </c>
      <c r="F113" s="378">
        <v>0.13</v>
      </c>
    </row>
    <row r="114" ht="14.25" spans="1:6">
      <c r="A114" s="290" t="s">
        <v>1848</v>
      </c>
      <c r="B114" s="295" t="s">
        <v>1853</v>
      </c>
      <c r="C114" s="377">
        <v>0.123</v>
      </c>
      <c r="D114" s="377">
        <v>0.123</v>
      </c>
      <c r="E114" s="377">
        <v>0.12</v>
      </c>
      <c r="F114" s="378">
        <v>0.13</v>
      </c>
    </row>
    <row r="115" ht="14.25" spans="1:6">
      <c r="A115" s="290" t="s">
        <v>1848</v>
      </c>
      <c r="B115" s="295" t="s">
        <v>1854</v>
      </c>
      <c r="C115" s="377">
        <v>0.125</v>
      </c>
      <c r="D115" s="377">
        <v>0.125</v>
      </c>
      <c r="E115" s="377">
        <v>0.117</v>
      </c>
      <c r="F115" s="378">
        <v>0.13</v>
      </c>
    </row>
    <row r="116" ht="14.25" spans="1:6">
      <c r="A116" s="290" t="s">
        <v>1848</v>
      </c>
      <c r="B116" s="295" t="s">
        <v>1855</v>
      </c>
      <c r="C116" s="377">
        <v>0.117</v>
      </c>
      <c r="D116" s="377">
        <v>0.117</v>
      </c>
      <c r="E116" s="377">
        <v>0.088</v>
      </c>
      <c r="F116" s="378">
        <v>0.13</v>
      </c>
    </row>
    <row r="117" ht="14.25" spans="1:6">
      <c r="A117" s="290" t="s">
        <v>1848</v>
      </c>
      <c r="B117" s="295" t="s">
        <v>1856</v>
      </c>
      <c r="C117" s="377">
        <v>0.13</v>
      </c>
      <c r="D117" s="377">
        <v>0.13</v>
      </c>
      <c r="E117" s="377">
        <v>0.129</v>
      </c>
      <c r="F117" s="378">
        <v>0.13</v>
      </c>
    </row>
    <row r="118" ht="14.25" spans="1:6">
      <c r="A118" s="290" t="s">
        <v>1848</v>
      </c>
      <c r="B118" s="295" t="s">
        <v>1857</v>
      </c>
      <c r="C118" s="377">
        <v>0.123</v>
      </c>
      <c r="D118" s="377">
        <v>0.123</v>
      </c>
      <c r="E118" s="377">
        <v>0.116</v>
      </c>
      <c r="F118" s="378">
        <v>0.13</v>
      </c>
    </row>
    <row r="119" ht="14.25" spans="1:6">
      <c r="A119" s="290" t="s">
        <v>1848</v>
      </c>
      <c r="B119" s="295" t="s">
        <v>1858</v>
      </c>
      <c r="C119" s="377">
        <v>0.127</v>
      </c>
      <c r="D119" s="377">
        <v>0.127</v>
      </c>
      <c r="E119" s="377">
        <v>0.124</v>
      </c>
      <c r="F119" s="378">
        <v>0.13</v>
      </c>
    </row>
    <row r="120" ht="14.25" spans="1:6">
      <c r="A120" s="290" t="s">
        <v>1848</v>
      </c>
      <c r="B120" s="295" t="s">
        <v>1859</v>
      </c>
      <c r="C120" s="377">
        <v>0.125</v>
      </c>
      <c r="D120" s="377">
        <v>0.125</v>
      </c>
      <c r="E120" s="377">
        <v>0.122</v>
      </c>
      <c r="F120" s="378">
        <v>0.13</v>
      </c>
    </row>
    <row r="121" ht="14.25" spans="1:6">
      <c r="A121" s="290" t="s">
        <v>1848</v>
      </c>
      <c r="B121" s="295" t="s">
        <v>1860</v>
      </c>
      <c r="C121" s="377">
        <v>0.13</v>
      </c>
      <c r="D121" s="377">
        <v>0.13</v>
      </c>
      <c r="E121" s="377">
        <v>0.13</v>
      </c>
      <c r="F121" s="378">
        <v>0.13</v>
      </c>
    </row>
    <row r="122" ht="14.25" spans="1:6">
      <c r="A122" s="290" t="s">
        <v>1848</v>
      </c>
      <c r="B122" s="295" t="s">
        <v>1861</v>
      </c>
      <c r="C122" s="377">
        <v>0.13</v>
      </c>
      <c r="D122" s="377">
        <v>0.13</v>
      </c>
      <c r="E122" s="377">
        <v>0.125</v>
      </c>
      <c r="F122" s="378">
        <v>0.13</v>
      </c>
    </row>
    <row r="123" ht="14.25" spans="1:6">
      <c r="A123" s="290" t="s">
        <v>1848</v>
      </c>
      <c r="B123" s="295" t="s">
        <v>1862</v>
      </c>
      <c r="C123" s="377">
        <v>0.129</v>
      </c>
      <c r="D123" s="377">
        <v>0.129</v>
      </c>
      <c r="E123" s="377">
        <v>0.123</v>
      </c>
      <c r="F123" s="378">
        <v>0.13</v>
      </c>
    </row>
    <row r="124" ht="14.25" spans="1:6">
      <c r="A124" s="290" t="s">
        <v>1848</v>
      </c>
      <c r="B124" s="295" t="s">
        <v>1863</v>
      </c>
      <c r="C124" s="377">
        <v>0.102</v>
      </c>
      <c r="D124" s="377">
        <v>0.101</v>
      </c>
      <c r="E124" s="377">
        <v>0.08</v>
      </c>
      <c r="F124" s="382"/>
    </row>
    <row r="125" ht="14.25" spans="1:6">
      <c r="A125" s="290" t="s">
        <v>1848</v>
      </c>
      <c r="B125" s="295" t="s">
        <v>1864</v>
      </c>
      <c r="C125" s="377">
        <v>0.13</v>
      </c>
      <c r="D125" s="377">
        <v>0.13</v>
      </c>
      <c r="E125" s="377">
        <v>0.129</v>
      </c>
      <c r="F125" s="382"/>
    </row>
    <row r="126" ht="14.25" spans="1:6">
      <c r="A126" s="290" t="s">
        <v>1848</v>
      </c>
      <c r="B126" s="295" t="s">
        <v>1865</v>
      </c>
      <c r="C126" s="377">
        <v>0.13</v>
      </c>
      <c r="D126" s="377">
        <v>0.13</v>
      </c>
      <c r="E126" s="377">
        <v>0.126</v>
      </c>
      <c r="F126" s="382"/>
    </row>
    <row r="127" ht="14.25" spans="1:6">
      <c r="A127" s="290" t="s">
        <v>1848</v>
      </c>
      <c r="B127" s="295" t="s">
        <v>1866</v>
      </c>
      <c r="C127" s="377">
        <v>0.125</v>
      </c>
      <c r="D127" s="377">
        <v>0.125</v>
      </c>
      <c r="E127" s="377">
        <v>0.121</v>
      </c>
      <c r="F127" s="382"/>
    </row>
    <row r="128" ht="14.25" spans="1:6">
      <c r="A128" s="290" t="s">
        <v>1848</v>
      </c>
      <c r="B128" s="295" t="s">
        <v>1867</v>
      </c>
      <c r="C128" s="377">
        <v>0.12</v>
      </c>
      <c r="D128" s="377">
        <v>0.12</v>
      </c>
      <c r="E128" s="377">
        <v>0.105</v>
      </c>
      <c r="F128" s="382"/>
    </row>
    <row r="129" ht="14.25" spans="1:6">
      <c r="A129" s="290" t="s">
        <v>1848</v>
      </c>
      <c r="B129" s="295" t="s">
        <v>1868</v>
      </c>
      <c r="C129" s="377">
        <v>0.13</v>
      </c>
      <c r="D129" s="377">
        <v>0.13</v>
      </c>
      <c r="E129" s="377">
        <v>0.126</v>
      </c>
      <c r="F129" s="382"/>
    </row>
    <row r="130" ht="14.25" spans="1:6">
      <c r="A130" s="290" t="s">
        <v>1848</v>
      </c>
      <c r="B130" s="295" t="s">
        <v>1869</v>
      </c>
      <c r="C130" s="377">
        <v>0.125</v>
      </c>
      <c r="D130" s="377">
        <v>0.125</v>
      </c>
      <c r="E130" s="377">
        <v>0.122</v>
      </c>
      <c r="F130" s="382"/>
    </row>
    <row r="131" ht="14.25" spans="1:6">
      <c r="A131" s="290" t="s">
        <v>1848</v>
      </c>
      <c r="B131" s="295" t="s">
        <v>1870</v>
      </c>
      <c r="C131" s="377">
        <v>0.127</v>
      </c>
      <c r="D131" s="377">
        <v>0.126</v>
      </c>
      <c r="E131" s="377">
        <v>0.123</v>
      </c>
      <c r="F131" s="382"/>
    </row>
    <row r="132" ht="14.25" spans="1:6">
      <c r="A132" s="290" t="s">
        <v>1848</v>
      </c>
      <c r="B132" s="295" t="s">
        <v>1871</v>
      </c>
      <c r="C132" s="377">
        <v>0.091</v>
      </c>
      <c r="D132" s="377">
        <v>0.121</v>
      </c>
      <c r="E132" s="377">
        <v>0.099</v>
      </c>
      <c r="F132" s="382"/>
    </row>
    <row r="133" ht="14.25" spans="1:6">
      <c r="A133" s="290" t="s">
        <v>1848</v>
      </c>
      <c r="B133" s="295" t="s">
        <v>1872</v>
      </c>
      <c r="C133" s="377">
        <v>0.13</v>
      </c>
      <c r="D133" s="377">
        <v>0.13</v>
      </c>
      <c r="E133" s="377">
        <v>0.129</v>
      </c>
      <c r="F133" s="382"/>
    </row>
    <row r="134" ht="14.25" spans="1:6">
      <c r="A134" s="290" t="s">
        <v>1848</v>
      </c>
      <c r="B134" s="295" t="s">
        <v>1873</v>
      </c>
      <c r="C134" s="377">
        <v>0.068</v>
      </c>
      <c r="D134" s="377">
        <v>0.065</v>
      </c>
      <c r="E134" s="377">
        <v>0.065</v>
      </c>
      <c r="F134" s="378">
        <v>0.13</v>
      </c>
    </row>
    <row r="135" ht="14.25" spans="1:6">
      <c r="A135" s="290" t="s">
        <v>1848</v>
      </c>
      <c r="B135" s="295" t="s">
        <v>1874</v>
      </c>
      <c r="C135" s="377">
        <v>0.123</v>
      </c>
      <c r="D135" s="377">
        <v>0.123</v>
      </c>
      <c r="E135" s="377">
        <v>0.11</v>
      </c>
      <c r="F135" s="382"/>
    </row>
    <row r="136" ht="14.25" spans="1:6">
      <c r="A136" s="290" t="s">
        <v>1848</v>
      </c>
      <c r="B136" s="295" t="s">
        <v>1875</v>
      </c>
      <c r="C136" s="377">
        <v>0.13</v>
      </c>
      <c r="D136" s="377">
        <v>0.13</v>
      </c>
      <c r="E136" s="377">
        <v>0.125</v>
      </c>
      <c r="F136" s="382"/>
    </row>
    <row r="137" ht="14.25" spans="1:6">
      <c r="A137" s="290" t="s">
        <v>1848</v>
      </c>
      <c r="B137" s="295" t="s">
        <v>1876</v>
      </c>
      <c r="C137" s="377">
        <v>0.121</v>
      </c>
      <c r="D137" s="377">
        <v>0.122</v>
      </c>
      <c r="E137" s="377">
        <v>0.115</v>
      </c>
      <c r="F137" s="382"/>
    </row>
    <row r="138" ht="14.25" spans="1:6">
      <c r="A138" s="290" t="s">
        <v>1848</v>
      </c>
      <c r="B138" s="295" t="s">
        <v>1877</v>
      </c>
      <c r="C138" s="377">
        <v>0.105</v>
      </c>
      <c r="D138" s="377">
        <v>0.125</v>
      </c>
      <c r="E138" s="377">
        <v>0.112</v>
      </c>
      <c r="F138" s="382"/>
    </row>
    <row r="139" ht="14.25" spans="1:6">
      <c r="A139" s="290" t="s">
        <v>1848</v>
      </c>
      <c r="B139" s="295" t="s">
        <v>1878</v>
      </c>
      <c r="C139" s="377">
        <v>0.127</v>
      </c>
      <c r="D139" s="377">
        <v>0.127</v>
      </c>
      <c r="E139" s="377">
        <v>0.122</v>
      </c>
      <c r="F139" s="378">
        <v>0.13</v>
      </c>
    </row>
    <row r="140" ht="14.25" spans="1:6">
      <c r="A140" s="290" t="s">
        <v>1848</v>
      </c>
      <c r="B140" s="295" t="s">
        <v>1879</v>
      </c>
      <c r="C140" s="377">
        <v>0.125</v>
      </c>
      <c r="D140" s="377">
        <v>0.125</v>
      </c>
      <c r="E140" s="377">
        <v>0.119</v>
      </c>
      <c r="F140" s="378">
        <v>0.13</v>
      </c>
    </row>
    <row r="141" ht="14.25" spans="1:6">
      <c r="A141" s="290" t="s">
        <v>1848</v>
      </c>
      <c r="B141" s="295" t="s">
        <v>1880</v>
      </c>
      <c r="C141" s="377">
        <v>0.125</v>
      </c>
      <c r="D141" s="377">
        <v>0.125</v>
      </c>
      <c r="E141" s="377">
        <v>0.117</v>
      </c>
      <c r="F141" s="382"/>
    </row>
    <row r="142" ht="14.25" spans="1:6">
      <c r="A142" s="290" t="s">
        <v>1848</v>
      </c>
      <c r="B142" s="295" t="s">
        <v>1881</v>
      </c>
      <c r="C142" s="377">
        <v>0.125</v>
      </c>
      <c r="D142" s="377">
        <v>0.125</v>
      </c>
      <c r="E142" s="377">
        <v>0.115</v>
      </c>
      <c r="F142" s="382"/>
    </row>
    <row r="143" ht="14.25" spans="1:6">
      <c r="A143" s="290" t="s">
        <v>1848</v>
      </c>
      <c r="B143" s="295" t="s">
        <v>1882</v>
      </c>
      <c r="C143" s="377">
        <v>0.121</v>
      </c>
      <c r="D143" s="377">
        <v>0.121</v>
      </c>
      <c r="E143" s="377">
        <v>0.108</v>
      </c>
      <c r="F143" s="382"/>
    </row>
    <row r="144" ht="14.25" spans="1:6">
      <c r="A144" s="290" t="s">
        <v>1848</v>
      </c>
      <c r="B144" s="385" t="s">
        <v>1883</v>
      </c>
      <c r="C144" s="386">
        <v>0.126</v>
      </c>
      <c r="D144" s="386">
        <v>0.126</v>
      </c>
      <c r="E144" s="386">
        <v>0.121</v>
      </c>
      <c r="F144" s="382"/>
    </row>
    <row r="145" ht="14.25" spans="1:6">
      <c r="A145" s="308" t="s">
        <v>1848</v>
      </c>
      <c r="B145" s="387" t="s">
        <v>1884</v>
      </c>
      <c r="C145" s="388"/>
      <c r="D145" s="388"/>
      <c r="E145" s="388"/>
      <c r="F145" s="389">
        <v>0.05</v>
      </c>
    </row>
    <row r="146" ht="24.75" spans="1:6">
      <c r="A146" s="390" t="s">
        <v>1848</v>
      </c>
      <c r="B146" s="299" t="s">
        <v>1885</v>
      </c>
      <c r="C146" s="383"/>
      <c r="D146" s="383"/>
      <c r="E146" s="383"/>
      <c r="F146" s="391">
        <v>0.05</v>
      </c>
    </row>
    <row r="147" ht="24.75" spans="1:6">
      <c r="A147" s="290" t="s">
        <v>1848</v>
      </c>
      <c r="B147" s="295" t="s">
        <v>1886</v>
      </c>
      <c r="C147" s="383"/>
      <c r="D147" s="383"/>
      <c r="E147" s="383"/>
      <c r="F147" s="378">
        <v>0.05</v>
      </c>
    </row>
    <row r="148" ht="24.75" spans="1:6">
      <c r="A148" s="290" t="s">
        <v>1848</v>
      </c>
      <c r="B148" s="295" t="s">
        <v>1887</v>
      </c>
      <c r="C148" s="383"/>
      <c r="D148" s="383"/>
      <c r="E148" s="383"/>
      <c r="F148" s="378">
        <v>0.05</v>
      </c>
    </row>
    <row r="149" ht="24.75" spans="1:6">
      <c r="A149" s="290" t="s">
        <v>1848</v>
      </c>
      <c r="B149" s="295" t="s">
        <v>1888</v>
      </c>
      <c r="C149" s="383"/>
      <c r="D149" s="383"/>
      <c r="E149" s="383"/>
      <c r="F149" s="378">
        <v>0.05</v>
      </c>
    </row>
    <row r="150" ht="24.75" spans="1:6">
      <c r="A150" s="290" t="s">
        <v>1848</v>
      </c>
      <c r="B150" s="295" t="s">
        <v>1889</v>
      </c>
      <c r="C150" s="383"/>
      <c r="D150" s="383"/>
      <c r="E150" s="383"/>
      <c r="F150" s="378">
        <v>0.05</v>
      </c>
    </row>
    <row r="151" ht="24.75" spans="1:6">
      <c r="A151" s="290" t="s">
        <v>1848</v>
      </c>
      <c r="B151" s="295" t="s">
        <v>1890</v>
      </c>
      <c r="C151" s="383"/>
      <c r="D151" s="383"/>
      <c r="E151" s="383"/>
      <c r="F151" s="378">
        <v>0.05</v>
      </c>
    </row>
    <row r="152" ht="24.75" spans="1:6">
      <c r="A152" s="290" t="s">
        <v>1848</v>
      </c>
      <c r="B152" s="295" t="s">
        <v>1891</v>
      </c>
      <c r="C152" s="383"/>
      <c r="D152" s="383"/>
      <c r="E152" s="383"/>
      <c r="F152" s="378">
        <v>0.05</v>
      </c>
    </row>
    <row r="153" ht="14.25" spans="1:6">
      <c r="A153" s="290" t="s">
        <v>1848</v>
      </c>
      <c r="B153" s="295" t="s">
        <v>1892</v>
      </c>
      <c r="C153" s="383"/>
      <c r="D153" s="383"/>
      <c r="E153" s="383"/>
      <c r="F153" s="378">
        <v>0.05</v>
      </c>
    </row>
    <row r="154" ht="14.25" spans="1:6">
      <c r="A154" s="290" t="s">
        <v>1848</v>
      </c>
      <c r="B154" s="295" t="s">
        <v>1893</v>
      </c>
      <c r="C154" s="383"/>
      <c r="D154" s="383"/>
      <c r="E154" s="383"/>
      <c r="F154" s="378">
        <v>0.05</v>
      </c>
    </row>
    <row r="155" ht="24.75" spans="1:6">
      <c r="A155" s="290" t="s">
        <v>1848</v>
      </c>
      <c r="B155" s="295" t="s">
        <v>1894</v>
      </c>
      <c r="C155" s="383"/>
      <c r="D155" s="383"/>
      <c r="E155" s="383"/>
      <c r="F155" s="378">
        <v>0.05</v>
      </c>
    </row>
    <row r="156" ht="24.75" spans="1:6">
      <c r="A156" s="290" t="s">
        <v>1848</v>
      </c>
      <c r="B156" s="295" t="s">
        <v>1895</v>
      </c>
      <c r="C156" s="383"/>
      <c r="D156" s="383"/>
      <c r="E156" s="383"/>
      <c r="F156" s="378">
        <v>0.05</v>
      </c>
    </row>
    <row r="157" ht="14.25" spans="1:6">
      <c r="A157" s="308" t="s">
        <v>1848</v>
      </c>
      <c r="B157" s="301" t="s">
        <v>1896</v>
      </c>
      <c r="C157" s="380"/>
      <c r="D157" s="380"/>
      <c r="E157" s="380"/>
      <c r="F157" s="384">
        <v>0.05</v>
      </c>
    </row>
    <row r="158" ht="14.25" spans="1:6">
      <c r="A158" s="290" t="s">
        <v>1897</v>
      </c>
      <c r="B158" s="291" t="s">
        <v>1898</v>
      </c>
      <c r="C158" s="375">
        <v>0.13</v>
      </c>
      <c r="D158" s="375">
        <v>0.13</v>
      </c>
      <c r="E158" s="375">
        <v>0.13</v>
      </c>
      <c r="F158" s="376">
        <v>0.13</v>
      </c>
    </row>
    <row r="159" ht="14.25" spans="1:6">
      <c r="A159" s="290" t="s">
        <v>1897</v>
      </c>
      <c r="B159" s="295" t="s">
        <v>1899</v>
      </c>
      <c r="C159" s="377">
        <v>0.13</v>
      </c>
      <c r="D159" s="377">
        <v>0.13</v>
      </c>
      <c r="E159" s="377">
        <v>0.13</v>
      </c>
      <c r="F159" s="378">
        <v>0.13</v>
      </c>
    </row>
    <row r="160" ht="14.25" spans="1:6">
      <c r="A160" s="290" t="s">
        <v>1897</v>
      </c>
      <c r="B160" s="295" t="s">
        <v>1900</v>
      </c>
      <c r="C160" s="377">
        <v>0.13</v>
      </c>
      <c r="D160" s="377">
        <v>0.13</v>
      </c>
      <c r="E160" s="377">
        <v>0.129</v>
      </c>
      <c r="F160" s="378">
        <v>0.13</v>
      </c>
    </row>
    <row r="161" ht="14.25" spans="1:6">
      <c r="A161" s="290" t="s">
        <v>1897</v>
      </c>
      <c r="B161" s="295" t="s">
        <v>1901</v>
      </c>
      <c r="C161" s="377">
        <v>0.128</v>
      </c>
      <c r="D161" s="377">
        <v>0.128</v>
      </c>
      <c r="E161" s="377">
        <v>0.125</v>
      </c>
      <c r="F161" s="378">
        <v>0.13</v>
      </c>
    </row>
    <row r="162" ht="14.25" spans="1:6">
      <c r="A162" s="290" t="s">
        <v>1897</v>
      </c>
      <c r="B162" s="295" t="s">
        <v>1902</v>
      </c>
      <c r="C162" s="377">
        <v>0.122</v>
      </c>
      <c r="D162" s="377">
        <v>0.122</v>
      </c>
      <c r="E162" s="377">
        <v>0.126</v>
      </c>
      <c r="F162" s="378">
        <v>0.122</v>
      </c>
    </row>
    <row r="163" ht="14.25" spans="1:6">
      <c r="A163" s="290" t="s">
        <v>1897</v>
      </c>
      <c r="B163" s="295" t="s">
        <v>1903</v>
      </c>
      <c r="C163" s="377">
        <v>0.13</v>
      </c>
      <c r="D163" s="377">
        <v>0.13</v>
      </c>
      <c r="E163" s="377">
        <v>0.125</v>
      </c>
      <c r="F163" s="378">
        <v>0.13</v>
      </c>
    </row>
    <row r="164" ht="14.25" spans="1:6">
      <c r="A164" s="290" t="s">
        <v>1897</v>
      </c>
      <c r="B164" s="295" t="s">
        <v>1904</v>
      </c>
      <c r="C164" s="377">
        <v>0.13</v>
      </c>
      <c r="D164" s="377">
        <v>0.13</v>
      </c>
      <c r="E164" s="377">
        <v>0.13</v>
      </c>
      <c r="F164" s="378">
        <v>0.13</v>
      </c>
    </row>
    <row r="165" ht="14.25" spans="1:6">
      <c r="A165" s="290" t="s">
        <v>1897</v>
      </c>
      <c r="B165" s="295" t="s">
        <v>1905</v>
      </c>
      <c r="C165" s="377">
        <v>0.13</v>
      </c>
      <c r="D165" s="377">
        <v>0.13</v>
      </c>
      <c r="E165" s="377">
        <v>0.124</v>
      </c>
      <c r="F165" s="378">
        <v>0.13</v>
      </c>
    </row>
    <row r="166" ht="14.25" spans="1:6">
      <c r="A166" s="290" t="s">
        <v>1897</v>
      </c>
      <c r="B166" s="295" t="s">
        <v>1906</v>
      </c>
      <c r="C166" s="377">
        <v>0.13</v>
      </c>
      <c r="D166" s="377">
        <v>0.13</v>
      </c>
      <c r="E166" s="377">
        <v>0.13</v>
      </c>
      <c r="F166" s="378">
        <v>0.13</v>
      </c>
    </row>
    <row r="167" ht="14.25" spans="1:6">
      <c r="A167" s="290" t="s">
        <v>1897</v>
      </c>
      <c r="B167" s="295" t="s">
        <v>1907</v>
      </c>
      <c r="C167" s="377">
        <v>0.125</v>
      </c>
      <c r="D167" s="377">
        <v>0.125</v>
      </c>
      <c r="E167" s="377">
        <v>0.121</v>
      </c>
      <c r="F167" s="382"/>
    </row>
    <row r="168" ht="14.25" spans="1:6">
      <c r="A168" s="290" t="s">
        <v>1897</v>
      </c>
      <c r="B168" s="295" t="s">
        <v>1908</v>
      </c>
      <c r="C168" s="377">
        <v>0.13</v>
      </c>
      <c r="D168" s="377">
        <v>0.13</v>
      </c>
      <c r="E168" s="377">
        <v>0.126</v>
      </c>
      <c r="F168" s="382"/>
    </row>
    <row r="169" ht="14.25" spans="1:6">
      <c r="A169" s="290" t="s">
        <v>1897</v>
      </c>
      <c r="B169" s="295" t="s">
        <v>1909</v>
      </c>
      <c r="C169" s="377">
        <v>0.128</v>
      </c>
      <c r="D169" s="377">
        <v>0.129</v>
      </c>
      <c r="E169" s="377">
        <v>0.13</v>
      </c>
      <c r="F169" s="382"/>
    </row>
    <row r="170" ht="14.25" spans="1:6">
      <c r="A170" s="290" t="s">
        <v>1897</v>
      </c>
      <c r="B170" s="295" t="s">
        <v>1910</v>
      </c>
      <c r="C170" s="377">
        <v>0.141</v>
      </c>
      <c r="D170" s="377">
        <v>0.13</v>
      </c>
      <c r="E170" s="377">
        <v>0.125</v>
      </c>
      <c r="F170" s="382"/>
    </row>
    <row r="171" ht="14.25" spans="1:6">
      <c r="A171" s="290" t="s">
        <v>1897</v>
      </c>
      <c r="B171" s="295" t="s">
        <v>1911</v>
      </c>
      <c r="C171" s="377">
        <v>0.127</v>
      </c>
      <c r="D171" s="377">
        <v>0.126</v>
      </c>
      <c r="E171" s="377">
        <v>0.126</v>
      </c>
      <c r="F171" s="378">
        <v>0.118</v>
      </c>
    </row>
    <row r="172" ht="14.25" spans="1:6">
      <c r="A172" s="290" t="s">
        <v>1897</v>
      </c>
      <c r="B172" s="295" t="s">
        <v>1912</v>
      </c>
      <c r="C172" s="377">
        <v>0.13</v>
      </c>
      <c r="D172" s="377">
        <v>0.13</v>
      </c>
      <c r="E172" s="377">
        <v>0.13</v>
      </c>
      <c r="F172" s="382"/>
    </row>
    <row r="173" ht="14.25" spans="1:6">
      <c r="A173" s="290" t="s">
        <v>1897</v>
      </c>
      <c r="B173" s="295" t="s">
        <v>1913</v>
      </c>
      <c r="C173" s="377">
        <v>0.13</v>
      </c>
      <c r="D173" s="377">
        <v>0.13</v>
      </c>
      <c r="E173" s="377">
        <v>0.13</v>
      </c>
      <c r="F173" s="382"/>
    </row>
    <row r="174" ht="14.25" spans="1:6">
      <c r="A174" s="290" t="s">
        <v>1897</v>
      </c>
      <c r="B174" s="295" t="s">
        <v>1914</v>
      </c>
      <c r="C174" s="377">
        <v>0.13</v>
      </c>
      <c r="D174" s="377">
        <v>0.13</v>
      </c>
      <c r="E174" s="377">
        <v>0.13</v>
      </c>
      <c r="F174" s="378">
        <v>0.13</v>
      </c>
    </row>
    <row r="175" ht="14.25" spans="1:6">
      <c r="A175" s="290" t="s">
        <v>1897</v>
      </c>
      <c r="B175" s="295" t="s">
        <v>1915</v>
      </c>
      <c r="C175" s="377">
        <v>0.13</v>
      </c>
      <c r="D175" s="377">
        <v>0.13</v>
      </c>
      <c r="E175" s="377">
        <v>0.13</v>
      </c>
      <c r="F175" s="378">
        <v>0.13</v>
      </c>
    </row>
    <row r="176" ht="14.25" spans="1:6">
      <c r="A176" s="290" t="s">
        <v>1897</v>
      </c>
      <c r="B176" s="295" t="s">
        <v>1916</v>
      </c>
      <c r="C176" s="377">
        <v>0.13</v>
      </c>
      <c r="D176" s="377">
        <v>0.13</v>
      </c>
      <c r="E176" s="377">
        <v>0.13</v>
      </c>
      <c r="F176" s="378">
        <v>0.13</v>
      </c>
    </row>
    <row r="177" ht="14.25" spans="1:6">
      <c r="A177" s="290" t="s">
        <v>1897</v>
      </c>
      <c r="B177" s="295" t="s">
        <v>1917</v>
      </c>
      <c r="C177" s="377">
        <v>0.13</v>
      </c>
      <c r="D177" s="377">
        <v>0.13</v>
      </c>
      <c r="E177" s="377">
        <v>0.13</v>
      </c>
      <c r="F177" s="378">
        <v>0.13</v>
      </c>
    </row>
    <row r="178" ht="14.25" spans="1:6">
      <c r="A178" s="290" t="s">
        <v>1897</v>
      </c>
      <c r="B178" s="295" t="s">
        <v>1918</v>
      </c>
      <c r="C178" s="377">
        <v>0.13</v>
      </c>
      <c r="D178" s="377">
        <v>0.13</v>
      </c>
      <c r="E178" s="377">
        <v>0.13</v>
      </c>
      <c r="F178" s="378">
        <v>0.127</v>
      </c>
    </row>
    <row r="179" ht="14.25" spans="1:6">
      <c r="A179" s="290" t="s">
        <v>1897</v>
      </c>
      <c r="B179" s="295" t="s">
        <v>1919</v>
      </c>
      <c r="C179" s="377">
        <v>0.13</v>
      </c>
      <c r="D179" s="377">
        <v>0.13</v>
      </c>
      <c r="E179" s="377">
        <v>0.13</v>
      </c>
      <c r="F179" s="382"/>
    </row>
    <row r="180" ht="14.25" spans="1:6">
      <c r="A180" s="290" t="s">
        <v>1897</v>
      </c>
      <c r="B180" s="295" t="s">
        <v>1920</v>
      </c>
      <c r="C180" s="377">
        <v>0.13</v>
      </c>
      <c r="D180" s="377">
        <v>0.13</v>
      </c>
      <c r="E180" s="377">
        <v>0.125</v>
      </c>
      <c r="F180" s="378">
        <v>0.13</v>
      </c>
    </row>
    <row r="181" ht="14.25" spans="1:6">
      <c r="A181" s="290" t="s">
        <v>1897</v>
      </c>
      <c r="B181" s="295" t="s">
        <v>1921</v>
      </c>
      <c r="C181" s="377">
        <v>0.122</v>
      </c>
      <c r="D181" s="377">
        <v>0.123</v>
      </c>
      <c r="E181" s="377">
        <v>0.126</v>
      </c>
      <c r="F181" s="378">
        <v>0.121</v>
      </c>
    </row>
    <row r="182" ht="14.25" spans="1:6">
      <c r="A182" s="290" t="s">
        <v>1897</v>
      </c>
      <c r="B182" s="295" t="s">
        <v>1922</v>
      </c>
      <c r="C182" s="377">
        <v>0.125</v>
      </c>
      <c r="D182" s="377">
        <v>0.125</v>
      </c>
      <c r="E182" s="377">
        <v>0.117</v>
      </c>
      <c r="F182" s="378">
        <v>0.13</v>
      </c>
    </row>
    <row r="183" ht="14.25" spans="1:6">
      <c r="A183" s="290" t="s">
        <v>1897</v>
      </c>
      <c r="B183" s="295" t="s">
        <v>1923</v>
      </c>
      <c r="C183" s="377">
        <v>0.127</v>
      </c>
      <c r="D183" s="377">
        <v>0.127</v>
      </c>
      <c r="E183" s="377">
        <v>0.128</v>
      </c>
      <c r="F183" s="382"/>
    </row>
    <row r="184" ht="14.25" spans="1:6">
      <c r="A184" s="290" t="s">
        <v>1897</v>
      </c>
      <c r="B184" s="295" t="s">
        <v>1924</v>
      </c>
      <c r="C184" s="377">
        <v>0.125</v>
      </c>
      <c r="D184" s="377">
        <v>0.125</v>
      </c>
      <c r="E184" s="377">
        <v>0.127</v>
      </c>
      <c r="F184" s="382"/>
    </row>
    <row r="185" ht="14.25" spans="1:6">
      <c r="A185" s="290" t="s">
        <v>1897</v>
      </c>
      <c r="B185" s="295" t="s">
        <v>1925</v>
      </c>
      <c r="C185" s="377">
        <v>0.127</v>
      </c>
      <c r="D185" s="377">
        <v>0.127</v>
      </c>
      <c r="E185" s="377">
        <v>0.128</v>
      </c>
      <c r="F185" s="378">
        <v>0.13</v>
      </c>
    </row>
    <row r="186" ht="24.75" spans="1:6">
      <c r="A186" s="290" t="s">
        <v>1897</v>
      </c>
      <c r="B186" s="295" t="s">
        <v>1926</v>
      </c>
      <c r="C186" s="383"/>
      <c r="D186" s="383"/>
      <c r="E186" s="383"/>
      <c r="F186" s="378">
        <v>0.05</v>
      </c>
    </row>
    <row r="187" ht="14.25" spans="1:6">
      <c r="A187" s="290" t="s">
        <v>1897</v>
      </c>
      <c r="B187" s="295" t="s">
        <v>1927</v>
      </c>
      <c r="C187" s="383"/>
      <c r="D187" s="383"/>
      <c r="E187" s="383"/>
      <c r="F187" s="378">
        <v>0.05</v>
      </c>
    </row>
    <row r="188" ht="14.25" spans="1:6">
      <c r="A188" s="290" t="s">
        <v>1897</v>
      </c>
      <c r="B188" s="295" t="s">
        <v>1928</v>
      </c>
      <c r="C188" s="383"/>
      <c r="D188" s="383"/>
      <c r="E188" s="383"/>
      <c r="F188" s="378">
        <v>0.05</v>
      </c>
    </row>
    <row r="189" ht="24.75" spans="1:6">
      <c r="A189" s="290" t="s">
        <v>1897</v>
      </c>
      <c r="B189" s="295" t="s">
        <v>1929</v>
      </c>
      <c r="C189" s="383"/>
      <c r="D189" s="383"/>
      <c r="E189" s="383"/>
      <c r="F189" s="378">
        <v>0.05</v>
      </c>
    </row>
    <row r="190" ht="24.75" spans="1:6">
      <c r="A190" s="290" t="s">
        <v>1897</v>
      </c>
      <c r="B190" s="295" t="s">
        <v>1930</v>
      </c>
      <c r="C190" s="383"/>
      <c r="D190" s="383"/>
      <c r="E190" s="383"/>
      <c r="F190" s="378">
        <v>0.05</v>
      </c>
    </row>
    <row r="191" ht="24.75" spans="1:6">
      <c r="A191" s="290" t="s">
        <v>1897</v>
      </c>
      <c r="B191" s="295" t="s">
        <v>1931</v>
      </c>
      <c r="C191" s="383"/>
      <c r="D191" s="383"/>
      <c r="E191" s="383"/>
      <c r="F191" s="378">
        <v>0.05</v>
      </c>
    </row>
    <row r="192" ht="24.75" spans="1:6">
      <c r="A192" s="290" t="s">
        <v>1897</v>
      </c>
      <c r="B192" s="295" t="s">
        <v>1932</v>
      </c>
      <c r="C192" s="383"/>
      <c r="D192" s="383"/>
      <c r="E192" s="383"/>
      <c r="F192" s="378">
        <v>0.05</v>
      </c>
    </row>
    <row r="193" ht="24.75" spans="1:6">
      <c r="A193" s="290" t="s">
        <v>1897</v>
      </c>
      <c r="B193" s="295" t="s">
        <v>1933</v>
      </c>
      <c r="C193" s="383"/>
      <c r="D193" s="383"/>
      <c r="E193" s="383"/>
      <c r="F193" s="378">
        <v>0.05</v>
      </c>
    </row>
    <row r="194" ht="24.75" spans="1:6">
      <c r="A194" s="290" t="s">
        <v>1897</v>
      </c>
      <c r="B194" s="295" t="s">
        <v>1934</v>
      </c>
      <c r="C194" s="383"/>
      <c r="D194" s="383"/>
      <c r="E194" s="383"/>
      <c r="F194" s="378">
        <v>0.05</v>
      </c>
    </row>
    <row r="195" ht="14.25" spans="1:6">
      <c r="A195" s="290" t="s">
        <v>1897</v>
      </c>
      <c r="B195" s="295" t="s">
        <v>1935</v>
      </c>
      <c r="C195" s="383"/>
      <c r="D195" s="383"/>
      <c r="E195" s="383"/>
      <c r="F195" s="378">
        <v>0.05</v>
      </c>
    </row>
    <row r="196" ht="24.75" spans="1:6">
      <c r="A196" s="290" t="s">
        <v>1897</v>
      </c>
      <c r="B196" s="295" t="s">
        <v>1936</v>
      </c>
      <c r="C196" s="383"/>
      <c r="D196" s="383"/>
      <c r="E196" s="383"/>
      <c r="F196" s="378">
        <v>0.05</v>
      </c>
    </row>
    <row r="197" ht="24.75" spans="1:6">
      <c r="A197" s="290" t="s">
        <v>1897</v>
      </c>
      <c r="B197" s="295" t="s">
        <v>1937</v>
      </c>
      <c r="C197" s="383"/>
      <c r="D197" s="383"/>
      <c r="E197" s="383"/>
      <c r="F197" s="378">
        <v>0.05</v>
      </c>
    </row>
    <row r="198" ht="24.75" spans="1:6">
      <c r="A198" s="290" t="s">
        <v>1897</v>
      </c>
      <c r="B198" s="295" t="s">
        <v>1938</v>
      </c>
      <c r="C198" s="383"/>
      <c r="D198" s="383"/>
      <c r="E198" s="383"/>
      <c r="F198" s="378">
        <v>0.05</v>
      </c>
    </row>
    <row r="199" ht="24.75" spans="1:6">
      <c r="A199" s="290" t="s">
        <v>1897</v>
      </c>
      <c r="B199" s="295" t="s">
        <v>1939</v>
      </c>
      <c r="C199" s="383"/>
      <c r="D199" s="383"/>
      <c r="E199" s="383"/>
      <c r="F199" s="378">
        <v>0.05</v>
      </c>
    </row>
    <row r="200" ht="24.75" spans="1:6">
      <c r="A200" s="290" t="s">
        <v>1897</v>
      </c>
      <c r="B200" s="295" t="s">
        <v>1940</v>
      </c>
      <c r="C200" s="383"/>
      <c r="D200" s="383"/>
      <c r="E200" s="383"/>
      <c r="F200" s="378">
        <v>0.05</v>
      </c>
    </row>
    <row r="201" ht="24.75" spans="1:6">
      <c r="A201" s="290" t="s">
        <v>1897</v>
      </c>
      <c r="B201" s="295" t="s">
        <v>1941</v>
      </c>
      <c r="C201" s="383"/>
      <c r="D201" s="383"/>
      <c r="E201" s="383"/>
      <c r="F201" s="378">
        <v>0.05</v>
      </c>
    </row>
    <row r="202" ht="24.75" spans="1:6">
      <c r="A202" s="290" t="s">
        <v>1897</v>
      </c>
      <c r="B202" s="295" t="s">
        <v>1942</v>
      </c>
      <c r="C202" s="383"/>
      <c r="D202" s="383"/>
      <c r="E202" s="383"/>
      <c r="F202" s="378">
        <v>0.05</v>
      </c>
    </row>
    <row r="203" ht="24.75" spans="1:6">
      <c r="A203" s="290" t="s">
        <v>1897</v>
      </c>
      <c r="B203" s="295" t="s">
        <v>1943</v>
      </c>
      <c r="C203" s="383"/>
      <c r="D203" s="383"/>
      <c r="E203" s="383"/>
      <c r="F203" s="378">
        <v>0.05</v>
      </c>
    </row>
    <row r="204" ht="14.25" spans="1:6">
      <c r="A204" s="290" t="s">
        <v>1897</v>
      </c>
      <c r="B204" s="295" t="s">
        <v>1944</v>
      </c>
      <c r="C204" s="383"/>
      <c r="D204" s="383"/>
      <c r="E204" s="383"/>
      <c r="F204" s="378">
        <v>0.05</v>
      </c>
    </row>
    <row r="205" ht="14.25" spans="1:6">
      <c r="A205" s="308" t="s">
        <v>1897</v>
      </c>
      <c r="B205" s="301" t="s">
        <v>1945</v>
      </c>
      <c r="C205" s="380"/>
      <c r="D205" s="380"/>
      <c r="E205" s="380"/>
      <c r="F205" s="384">
        <v>0.05</v>
      </c>
    </row>
    <row r="206" ht="14.25" spans="1:6">
      <c r="A206" s="290" t="s">
        <v>1946</v>
      </c>
      <c r="B206" s="291" t="s">
        <v>1947</v>
      </c>
      <c r="C206" s="375">
        <v>0.15</v>
      </c>
      <c r="D206" s="375">
        <v>0.15</v>
      </c>
      <c r="E206" s="375">
        <v>0.15</v>
      </c>
      <c r="F206" s="376">
        <v>0.15</v>
      </c>
    </row>
    <row r="207" ht="14.25" spans="1:6">
      <c r="A207" s="290" t="s">
        <v>1946</v>
      </c>
      <c r="B207" s="295" t="s">
        <v>1948</v>
      </c>
      <c r="C207" s="377">
        <v>0.15</v>
      </c>
      <c r="D207" s="377">
        <v>0.15</v>
      </c>
      <c r="E207" s="377">
        <v>0.15</v>
      </c>
      <c r="F207" s="378">
        <v>0.144</v>
      </c>
    </row>
    <row r="208" ht="14.25" spans="1:6">
      <c r="A208" s="290" t="s">
        <v>1946</v>
      </c>
      <c r="B208" s="295" t="s">
        <v>1949</v>
      </c>
      <c r="C208" s="377">
        <v>0.15</v>
      </c>
      <c r="D208" s="377">
        <v>0.15</v>
      </c>
      <c r="E208" s="377">
        <v>0.15</v>
      </c>
      <c r="F208" s="378">
        <v>0.15</v>
      </c>
    </row>
    <row r="209" ht="14.25" spans="1:6">
      <c r="A209" s="290" t="s">
        <v>1946</v>
      </c>
      <c r="B209" s="295" t="s">
        <v>1950</v>
      </c>
      <c r="C209" s="377">
        <v>0.137</v>
      </c>
      <c r="D209" s="377">
        <v>0.137</v>
      </c>
      <c r="E209" s="377">
        <v>0.14</v>
      </c>
      <c r="F209" s="378">
        <v>0.117</v>
      </c>
    </row>
    <row r="210" ht="14.25" spans="1:6">
      <c r="A210" s="290" t="s">
        <v>1946</v>
      </c>
      <c r="B210" s="295" t="s">
        <v>1951</v>
      </c>
      <c r="C210" s="377">
        <v>0.15</v>
      </c>
      <c r="D210" s="377">
        <v>0.15</v>
      </c>
      <c r="E210" s="377">
        <v>0.15</v>
      </c>
      <c r="F210" s="378">
        <v>0.138</v>
      </c>
    </row>
    <row r="211" ht="14.25" spans="1:6">
      <c r="A211" s="290" t="s">
        <v>1946</v>
      </c>
      <c r="B211" s="295" t="s">
        <v>1952</v>
      </c>
      <c r="C211" s="377">
        <v>0.137</v>
      </c>
      <c r="D211" s="377">
        <v>0.135</v>
      </c>
      <c r="E211" s="377">
        <v>0.136</v>
      </c>
      <c r="F211" s="378">
        <v>0.1</v>
      </c>
    </row>
    <row r="212" ht="14.25" spans="1:6">
      <c r="A212" s="290" t="s">
        <v>1946</v>
      </c>
      <c r="B212" s="295" t="s">
        <v>1953</v>
      </c>
      <c r="C212" s="377">
        <v>0.15</v>
      </c>
      <c r="D212" s="377">
        <v>0.15</v>
      </c>
      <c r="E212" s="377">
        <v>0.148</v>
      </c>
      <c r="F212" s="378">
        <v>0.136</v>
      </c>
    </row>
    <row r="213" ht="14.25" spans="1:6">
      <c r="A213" s="290" t="s">
        <v>1946</v>
      </c>
      <c r="B213" s="295" t="s">
        <v>1954</v>
      </c>
      <c r="C213" s="377">
        <v>0.15</v>
      </c>
      <c r="D213" s="377">
        <v>0.15</v>
      </c>
      <c r="E213" s="377">
        <v>0.15</v>
      </c>
      <c r="F213" s="378">
        <v>0.138</v>
      </c>
    </row>
    <row r="214" ht="14.25" spans="1:6">
      <c r="A214" s="290" t="s">
        <v>1946</v>
      </c>
      <c r="B214" s="295" t="s">
        <v>1955</v>
      </c>
      <c r="C214" s="377">
        <v>0.091</v>
      </c>
      <c r="D214" s="377">
        <v>0.09</v>
      </c>
      <c r="E214" s="377">
        <v>0.092</v>
      </c>
      <c r="F214" s="382"/>
    </row>
    <row r="215" ht="14.25" spans="1:6">
      <c r="A215" s="290" t="s">
        <v>1946</v>
      </c>
      <c r="B215" s="295" t="s">
        <v>1956</v>
      </c>
      <c r="C215" s="377">
        <v>0.15</v>
      </c>
      <c r="D215" s="377">
        <v>0.15</v>
      </c>
      <c r="E215" s="377">
        <v>0.15</v>
      </c>
      <c r="F215" s="378">
        <v>0.15</v>
      </c>
    </row>
    <row r="216" ht="14.25" spans="1:6">
      <c r="A216" s="290" t="s">
        <v>1946</v>
      </c>
      <c r="B216" s="295" t="s">
        <v>1957</v>
      </c>
      <c r="C216" s="377">
        <v>0.147</v>
      </c>
      <c r="D216" s="377">
        <v>0.147</v>
      </c>
      <c r="E216" s="377">
        <v>0.15</v>
      </c>
      <c r="F216" s="378">
        <v>0.14</v>
      </c>
    </row>
    <row r="217" ht="14.25" spans="1:6">
      <c r="A217" s="290" t="s">
        <v>1946</v>
      </c>
      <c r="B217" s="295" t="s">
        <v>1958</v>
      </c>
      <c r="C217" s="377">
        <v>0.15</v>
      </c>
      <c r="D217" s="377">
        <v>0.15</v>
      </c>
      <c r="E217" s="377">
        <v>0.15</v>
      </c>
      <c r="F217" s="378">
        <v>0.15</v>
      </c>
    </row>
    <row r="218" ht="14.25" spans="1:6">
      <c r="A218" s="290" t="s">
        <v>1946</v>
      </c>
      <c r="B218" s="295" t="s">
        <v>1959</v>
      </c>
      <c r="C218" s="377">
        <v>0.15</v>
      </c>
      <c r="D218" s="377">
        <v>0.15</v>
      </c>
      <c r="E218" s="377">
        <v>0.15</v>
      </c>
      <c r="F218" s="378">
        <v>0.15</v>
      </c>
    </row>
    <row r="219" ht="14.25" spans="1:6">
      <c r="A219" s="290" t="s">
        <v>1946</v>
      </c>
      <c r="B219" s="295" t="s">
        <v>1960</v>
      </c>
      <c r="C219" s="377">
        <v>0.15</v>
      </c>
      <c r="D219" s="377">
        <v>0.15</v>
      </c>
      <c r="E219" s="377">
        <v>0.15</v>
      </c>
      <c r="F219" s="378">
        <v>0.148</v>
      </c>
    </row>
    <row r="220" ht="14.25" spans="1:6">
      <c r="A220" s="290" t="s">
        <v>1946</v>
      </c>
      <c r="B220" s="295" t="s">
        <v>1961</v>
      </c>
      <c r="C220" s="377">
        <v>0.15</v>
      </c>
      <c r="D220" s="377">
        <v>0.15</v>
      </c>
      <c r="E220" s="377">
        <v>0.15</v>
      </c>
      <c r="F220" s="378">
        <v>0.15</v>
      </c>
    </row>
    <row r="221" ht="14.25" spans="1:6">
      <c r="A221" s="290" t="s">
        <v>1946</v>
      </c>
      <c r="B221" s="295" t="s">
        <v>1962</v>
      </c>
      <c r="C221" s="377"/>
      <c r="D221" s="383"/>
      <c r="E221" s="383"/>
      <c r="F221" s="378">
        <v>0.148</v>
      </c>
    </row>
    <row r="222" ht="14.25" spans="1:6">
      <c r="A222" s="290" t="s">
        <v>1946</v>
      </c>
      <c r="B222" s="295" t="s">
        <v>1963</v>
      </c>
      <c r="C222" s="377"/>
      <c r="D222" s="383"/>
      <c r="E222" s="383"/>
      <c r="F222" s="378">
        <v>0.1</v>
      </c>
    </row>
    <row r="223" ht="14.25" spans="1:6">
      <c r="A223" s="290" t="s">
        <v>1946</v>
      </c>
      <c r="B223" s="295" t="s">
        <v>1964</v>
      </c>
      <c r="C223" s="377"/>
      <c r="D223" s="383"/>
      <c r="E223" s="383"/>
      <c r="F223" s="378">
        <v>0.15</v>
      </c>
    </row>
    <row r="224" ht="14.25" spans="1:6">
      <c r="A224" s="290" t="s">
        <v>1946</v>
      </c>
      <c r="B224" s="295" t="s">
        <v>1965</v>
      </c>
      <c r="C224" s="377"/>
      <c r="D224" s="383"/>
      <c r="E224" s="383"/>
      <c r="F224" s="378">
        <v>0.15</v>
      </c>
    </row>
    <row r="225" ht="14.25" spans="1:6">
      <c r="A225" s="290" t="s">
        <v>1946</v>
      </c>
      <c r="B225" s="295" t="s">
        <v>1966</v>
      </c>
      <c r="C225" s="377">
        <v>0.15</v>
      </c>
      <c r="D225" s="377">
        <v>0.15</v>
      </c>
      <c r="E225" s="377">
        <v>0.15</v>
      </c>
      <c r="F225" s="378">
        <v>0.15</v>
      </c>
    </row>
    <row r="226" ht="14.25" spans="1:6">
      <c r="A226" s="290" t="s">
        <v>1946</v>
      </c>
      <c r="B226" s="295" t="s">
        <v>1967</v>
      </c>
      <c r="C226" s="377">
        <v>0.15</v>
      </c>
      <c r="D226" s="377">
        <v>0.15</v>
      </c>
      <c r="E226" s="377">
        <v>0.15</v>
      </c>
      <c r="F226" s="378">
        <v>0.148</v>
      </c>
    </row>
    <row r="227" ht="14.25" spans="1:6">
      <c r="A227" s="290" t="s">
        <v>1946</v>
      </c>
      <c r="B227" s="295" t="s">
        <v>1968</v>
      </c>
      <c r="C227" s="377">
        <v>0.15</v>
      </c>
      <c r="D227" s="377">
        <v>0.15</v>
      </c>
      <c r="E227" s="377">
        <v>0.15</v>
      </c>
      <c r="F227" s="378">
        <v>0.15</v>
      </c>
    </row>
    <row r="228" ht="14.25" spans="1:6">
      <c r="A228" s="290" t="s">
        <v>1946</v>
      </c>
      <c r="B228" s="295" t="s">
        <v>1969</v>
      </c>
      <c r="C228" s="377">
        <v>0.15</v>
      </c>
      <c r="D228" s="377">
        <v>0.15</v>
      </c>
      <c r="E228" s="377">
        <v>0.15</v>
      </c>
      <c r="F228" s="378">
        <v>0.15</v>
      </c>
    </row>
    <row r="229" ht="14.25" spans="1:6">
      <c r="A229" s="290" t="s">
        <v>1946</v>
      </c>
      <c r="B229" s="295" t="s">
        <v>1970</v>
      </c>
      <c r="C229" s="377">
        <v>0.15</v>
      </c>
      <c r="D229" s="377">
        <v>0.15</v>
      </c>
      <c r="E229" s="377">
        <v>0.15</v>
      </c>
      <c r="F229" s="382"/>
    </row>
    <row r="230" ht="14.25" spans="1:6">
      <c r="A230" s="290" t="s">
        <v>1946</v>
      </c>
      <c r="B230" s="295" t="s">
        <v>1971</v>
      </c>
      <c r="C230" s="377">
        <v>0.145</v>
      </c>
      <c r="D230" s="377">
        <v>0.145</v>
      </c>
      <c r="E230" s="377">
        <v>0.144</v>
      </c>
      <c r="F230" s="382"/>
    </row>
    <row r="231" ht="14.25" spans="1:6">
      <c r="A231" s="290" t="s">
        <v>1946</v>
      </c>
      <c r="B231" s="295" t="s">
        <v>1972</v>
      </c>
      <c r="C231" s="377">
        <v>0.128</v>
      </c>
      <c r="D231" s="377">
        <v>0.125</v>
      </c>
      <c r="E231" s="377">
        <v>0.132</v>
      </c>
      <c r="F231" s="382"/>
    </row>
    <row r="232" ht="14.25" spans="1:6">
      <c r="A232" s="290" t="s">
        <v>1946</v>
      </c>
      <c r="B232" s="295" t="s">
        <v>1973</v>
      </c>
      <c r="C232" s="377">
        <v>0.145</v>
      </c>
      <c r="D232" s="377">
        <v>0.144</v>
      </c>
      <c r="E232" s="377">
        <v>0.146</v>
      </c>
      <c r="F232" s="378">
        <v>0.138</v>
      </c>
    </row>
    <row r="233" ht="14.25" spans="1:6">
      <c r="A233" s="290" t="s">
        <v>1946</v>
      </c>
      <c r="B233" s="295" t="s">
        <v>1974</v>
      </c>
      <c r="C233" s="377">
        <v>0.145</v>
      </c>
      <c r="D233" s="377">
        <v>0.143</v>
      </c>
      <c r="E233" s="377">
        <v>0.142</v>
      </c>
      <c r="F233" s="382"/>
    </row>
    <row r="234" ht="14.25" spans="1:6">
      <c r="A234" s="290" t="s">
        <v>1946</v>
      </c>
      <c r="B234" s="295" t="s">
        <v>1975</v>
      </c>
      <c r="C234" s="377">
        <v>0.14</v>
      </c>
      <c r="D234" s="377">
        <v>0.14</v>
      </c>
      <c r="E234" s="377">
        <v>0.144</v>
      </c>
      <c r="F234" s="382"/>
    </row>
    <row r="235" ht="14.25" spans="1:6">
      <c r="A235" s="290" t="s">
        <v>1946</v>
      </c>
      <c r="B235" s="295" t="s">
        <v>1976</v>
      </c>
      <c r="C235" s="377">
        <v>0.141</v>
      </c>
      <c r="D235" s="377">
        <v>0.142</v>
      </c>
      <c r="E235" s="377">
        <v>0.145</v>
      </c>
      <c r="F235" s="378">
        <v>0.15</v>
      </c>
    </row>
    <row r="236" ht="14.25" spans="1:6">
      <c r="A236" s="290" t="s">
        <v>1946</v>
      </c>
      <c r="B236" s="295" t="s">
        <v>1977</v>
      </c>
      <c r="C236" s="383"/>
      <c r="D236" s="383"/>
      <c r="E236" s="383"/>
      <c r="F236" s="378">
        <v>0.143</v>
      </c>
    </row>
    <row r="237" ht="24.75" spans="1:6">
      <c r="A237" s="290" t="s">
        <v>1946</v>
      </c>
      <c r="B237" s="295" t="s">
        <v>1978</v>
      </c>
      <c r="C237" s="383"/>
      <c r="D237" s="383"/>
      <c r="E237" s="383"/>
      <c r="F237" s="378">
        <v>0.05</v>
      </c>
    </row>
    <row r="238" ht="24.75" spans="1:6">
      <c r="A238" s="290" t="s">
        <v>1946</v>
      </c>
      <c r="B238" s="295" t="s">
        <v>1979</v>
      </c>
      <c r="C238" s="383"/>
      <c r="D238" s="383"/>
      <c r="E238" s="383"/>
      <c r="F238" s="378">
        <v>0.05</v>
      </c>
    </row>
    <row r="239" ht="24.75" spans="1:6">
      <c r="A239" s="290" t="s">
        <v>1946</v>
      </c>
      <c r="B239" s="295" t="s">
        <v>1980</v>
      </c>
      <c r="C239" s="383"/>
      <c r="D239" s="383"/>
      <c r="E239" s="383"/>
      <c r="F239" s="378">
        <v>0.05</v>
      </c>
    </row>
    <row r="240" ht="24.75" spans="1:6">
      <c r="A240" s="290" t="s">
        <v>1946</v>
      </c>
      <c r="B240" s="295" t="s">
        <v>1981</v>
      </c>
      <c r="C240" s="383"/>
      <c r="D240" s="383"/>
      <c r="E240" s="383"/>
      <c r="F240" s="378">
        <v>0.05</v>
      </c>
    </row>
    <row r="241" ht="24.75" spans="1:6">
      <c r="A241" s="290" t="s">
        <v>1946</v>
      </c>
      <c r="B241" s="295" t="s">
        <v>1982</v>
      </c>
      <c r="C241" s="383"/>
      <c r="D241" s="383"/>
      <c r="E241" s="383"/>
      <c r="F241" s="378">
        <v>0.05</v>
      </c>
    </row>
    <row r="242" ht="24.75" spans="1:6">
      <c r="A242" s="290" t="s">
        <v>1946</v>
      </c>
      <c r="B242" s="295" t="s">
        <v>1983</v>
      </c>
      <c r="C242" s="383"/>
      <c r="D242" s="383"/>
      <c r="E242" s="383"/>
      <c r="F242" s="378">
        <v>0.05</v>
      </c>
    </row>
    <row r="243" ht="24.75" spans="1:6">
      <c r="A243" s="290" t="s">
        <v>1946</v>
      </c>
      <c r="B243" s="295" t="s">
        <v>1984</v>
      </c>
      <c r="C243" s="383"/>
      <c r="D243" s="383"/>
      <c r="E243" s="383"/>
      <c r="F243" s="378">
        <v>0.05</v>
      </c>
    </row>
    <row r="244" ht="24.75" spans="1:6">
      <c r="A244" s="308" t="s">
        <v>1946</v>
      </c>
      <c r="B244" s="301" t="s">
        <v>1985</v>
      </c>
      <c r="C244" s="380"/>
      <c r="D244" s="380"/>
      <c r="E244" s="380"/>
      <c r="F244" s="384">
        <v>0.05</v>
      </c>
    </row>
    <row r="245" ht="14.25" spans="1:6">
      <c r="A245" s="290" t="s">
        <v>1986</v>
      </c>
      <c r="B245" s="291" t="s">
        <v>1987</v>
      </c>
      <c r="C245" s="375">
        <v>0.15</v>
      </c>
      <c r="D245" s="375">
        <v>0.15</v>
      </c>
      <c r="E245" s="375">
        <v>0.15</v>
      </c>
      <c r="F245" s="376">
        <v>0.143</v>
      </c>
    </row>
    <row r="246" ht="14.25" spans="1:6">
      <c r="A246" s="290" t="s">
        <v>1986</v>
      </c>
      <c r="B246" s="295" t="s">
        <v>1988</v>
      </c>
      <c r="C246" s="377">
        <v>0.15</v>
      </c>
      <c r="D246" s="377">
        <v>0.15</v>
      </c>
      <c r="E246" s="377">
        <v>0.15</v>
      </c>
      <c r="F246" s="378">
        <v>0.114</v>
      </c>
    </row>
    <row r="247" ht="14.25" spans="1:6">
      <c r="A247" s="290" t="s">
        <v>1986</v>
      </c>
      <c r="B247" s="295" t="s">
        <v>1989</v>
      </c>
      <c r="C247" s="377">
        <v>0.15</v>
      </c>
      <c r="D247" s="377">
        <v>0.15</v>
      </c>
      <c r="E247" s="377">
        <v>0.15</v>
      </c>
      <c r="F247" s="378">
        <v>0.15</v>
      </c>
    </row>
    <row r="248" ht="14.25" spans="1:6">
      <c r="A248" s="290" t="s">
        <v>1986</v>
      </c>
      <c r="B248" s="295" t="s">
        <v>1990</v>
      </c>
      <c r="C248" s="377">
        <v>0.15</v>
      </c>
      <c r="D248" s="377">
        <v>0.15</v>
      </c>
      <c r="E248" s="377">
        <v>0.15</v>
      </c>
      <c r="F248" s="378">
        <v>0.14</v>
      </c>
    </row>
    <row r="249" ht="14.25" spans="1:6">
      <c r="A249" s="290" t="s">
        <v>1986</v>
      </c>
      <c r="B249" s="295" t="s">
        <v>1991</v>
      </c>
      <c r="C249" s="377">
        <v>0.15</v>
      </c>
      <c r="D249" s="377">
        <v>0.149</v>
      </c>
      <c r="E249" s="377">
        <v>0.15</v>
      </c>
      <c r="F249" s="378">
        <v>0.1</v>
      </c>
    </row>
    <row r="250" ht="14.25" spans="1:6">
      <c r="A250" s="290" t="s">
        <v>1986</v>
      </c>
      <c r="B250" s="295" t="s">
        <v>1992</v>
      </c>
      <c r="C250" s="377">
        <v>0.15</v>
      </c>
      <c r="D250" s="377">
        <v>0.15</v>
      </c>
      <c r="E250" s="377">
        <v>0.15</v>
      </c>
      <c r="F250" s="378">
        <v>0.144</v>
      </c>
    </row>
    <row r="251" ht="14.25" spans="1:6">
      <c r="A251" s="290" t="s">
        <v>1986</v>
      </c>
      <c r="B251" s="295" t="s">
        <v>1993</v>
      </c>
      <c r="C251" s="377">
        <v>0.15</v>
      </c>
      <c r="D251" s="377">
        <v>0.15</v>
      </c>
      <c r="E251" s="377">
        <v>0.15</v>
      </c>
      <c r="F251" s="378">
        <v>0.143</v>
      </c>
    </row>
    <row r="252" ht="14.25" spans="1:6">
      <c r="A252" s="290" t="s">
        <v>1986</v>
      </c>
      <c r="B252" s="295" t="s">
        <v>1994</v>
      </c>
      <c r="C252" s="377">
        <v>0.15</v>
      </c>
      <c r="D252" s="377">
        <v>0.15</v>
      </c>
      <c r="E252" s="377">
        <v>0.15</v>
      </c>
      <c r="F252" s="378">
        <v>0.1</v>
      </c>
    </row>
    <row r="253" ht="14.25" spans="1:6">
      <c r="A253" s="290" t="s">
        <v>1986</v>
      </c>
      <c r="B253" s="295" t="s">
        <v>1995</v>
      </c>
      <c r="C253" s="377">
        <v>0.15</v>
      </c>
      <c r="D253" s="377">
        <v>0.15</v>
      </c>
      <c r="E253" s="377">
        <v>0.15</v>
      </c>
      <c r="F253" s="378">
        <v>0.1</v>
      </c>
    </row>
    <row r="254" ht="14.25" spans="1:6">
      <c r="A254" s="290" t="s">
        <v>1986</v>
      </c>
      <c r="B254" s="295" t="s">
        <v>1996</v>
      </c>
      <c r="C254" s="383"/>
      <c r="D254" s="383"/>
      <c r="E254" s="383"/>
      <c r="F254" s="378">
        <v>0.15</v>
      </c>
    </row>
    <row r="255" ht="14.25" spans="1:6">
      <c r="A255" s="290" t="s">
        <v>1986</v>
      </c>
      <c r="B255" s="295" t="s">
        <v>1997</v>
      </c>
      <c r="C255" s="383"/>
      <c r="D255" s="383"/>
      <c r="E255" s="383"/>
      <c r="F255" s="378">
        <v>0.143</v>
      </c>
    </row>
    <row r="256" ht="14.25" spans="1:6">
      <c r="A256" s="290" t="s">
        <v>1986</v>
      </c>
      <c r="B256" s="295" t="s">
        <v>1998</v>
      </c>
      <c r="C256" s="377">
        <v>0.146</v>
      </c>
      <c r="D256" s="377">
        <v>0.147</v>
      </c>
      <c r="E256" s="377">
        <v>0.15</v>
      </c>
      <c r="F256" s="378">
        <v>0.132</v>
      </c>
    </row>
    <row r="257" ht="14.25" spans="1:6">
      <c r="A257" s="290" t="s">
        <v>1986</v>
      </c>
      <c r="B257" s="295" t="s">
        <v>1999</v>
      </c>
      <c r="C257" s="377">
        <v>0.15</v>
      </c>
      <c r="D257" s="377">
        <v>0.15</v>
      </c>
      <c r="E257" s="377">
        <v>0.15</v>
      </c>
      <c r="F257" s="378">
        <v>0.139</v>
      </c>
    </row>
    <row r="258" ht="14.25" spans="1:6">
      <c r="A258" s="290" t="s">
        <v>1986</v>
      </c>
      <c r="B258" s="295" t="s">
        <v>2000</v>
      </c>
      <c r="C258" s="377">
        <v>0.15</v>
      </c>
      <c r="D258" s="377">
        <v>0.15</v>
      </c>
      <c r="E258" s="377">
        <v>0.15</v>
      </c>
      <c r="F258" s="378">
        <v>0.13</v>
      </c>
    </row>
    <row r="259" ht="14.25" spans="1:6">
      <c r="A259" s="290" t="s">
        <v>1986</v>
      </c>
      <c r="B259" s="295" t="s">
        <v>2001</v>
      </c>
      <c r="C259" s="377">
        <v>0.148</v>
      </c>
      <c r="D259" s="377">
        <v>0.149</v>
      </c>
      <c r="E259" s="377">
        <v>0.15</v>
      </c>
      <c r="F259" s="378">
        <v>0.137</v>
      </c>
    </row>
    <row r="260" ht="14.25" spans="1:6">
      <c r="A260" s="290" t="s">
        <v>1986</v>
      </c>
      <c r="B260" s="295" t="s">
        <v>2002</v>
      </c>
      <c r="C260" s="377">
        <v>0.15</v>
      </c>
      <c r="D260" s="377">
        <v>0.15</v>
      </c>
      <c r="E260" s="377">
        <v>0.15</v>
      </c>
      <c r="F260" s="378">
        <v>0.142</v>
      </c>
    </row>
    <row r="261" ht="14.25" spans="1:6">
      <c r="A261" s="290" t="s">
        <v>1986</v>
      </c>
      <c r="B261" s="295" t="s">
        <v>2003</v>
      </c>
      <c r="C261" s="377">
        <v>0.15</v>
      </c>
      <c r="D261" s="377">
        <v>0.15</v>
      </c>
      <c r="E261" s="377">
        <v>0.149</v>
      </c>
      <c r="F261" s="378">
        <v>0.148</v>
      </c>
    </row>
    <row r="262" ht="14.25" spans="1:6">
      <c r="A262" s="290" t="s">
        <v>1986</v>
      </c>
      <c r="B262" s="295" t="s">
        <v>2004</v>
      </c>
      <c r="C262" s="377">
        <v>0.15</v>
      </c>
      <c r="D262" s="377">
        <v>0.15</v>
      </c>
      <c r="E262" s="377">
        <v>0.15</v>
      </c>
      <c r="F262" s="382"/>
    </row>
    <row r="263" ht="14.25" spans="1:6">
      <c r="A263" s="290" t="s">
        <v>1986</v>
      </c>
      <c r="B263" s="295" t="s">
        <v>2005</v>
      </c>
      <c r="C263" s="377">
        <v>0.149</v>
      </c>
      <c r="D263" s="377">
        <v>0.149</v>
      </c>
      <c r="E263" s="377">
        <v>0.15</v>
      </c>
      <c r="F263" s="378">
        <v>0.13</v>
      </c>
    </row>
    <row r="264" ht="14.25" spans="1:6">
      <c r="A264" s="290" t="s">
        <v>1986</v>
      </c>
      <c r="B264" s="295" t="s">
        <v>2006</v>
      </c>
      <c r="C264" s="377">
        <v>0.148</v>
      </c>
      <c r="D264" s="377">
        <v>0.147</v>
      </c>
      <c r="E264" s="377">
        <v>0.15</v>
      </c>
      <c r="F264" s="378">
        <v>0.078</v>
      </c>
    </row>
    <row r="265" ht="14.25" spans="1:6">
      <c r="A265" s="290" t="s">
        <v>1986</v>
      </c>
      <c r="B265" s="295" t="s">
        <v>2007</v>
      </c>
      <c r="C265" s="377">
        <v>0.15</v>
      </c>
      <c r="D265" s="377">
        <v>0.15</v>
      </c>
      <c r="E265" s="377">
        <v>0.15</v>
      </c>
      <c r="F265" s="378">
        <v>0.074</v>
      </c>
    </row>
    <row r="266" ht="14.25" spans="1:6">
      <c r="A266" s="290" t="s">
        <v>1986</v>
      </c>
      <c r="B266" s="295" t="s">
        <v>2008</v>
      </c>
      <c r="C266" s="377">
        <v>0.147</v>
      </c>
      <c r="D266" s="377">
        <v>0.147</v>
      </c>
      <c r="E266" s="377">
        <v>0.15</v>
      </c>
      <c r="F266" s="378">
        <v>0.143</v>
      </c>
    </row>
    <row r="267" ht="14.25" spans="1:6">
      <c r="A267" s="290" t="s">
        <v>1986</v>
      </c>
      <c r="B267" s="295" t="s">
        <v>2009</v>
      </c>
      <c r="C267" s="377">
        <v>0.142</v>
      </c>
      <c r="D267" s="377">
        <v>0.143</v>
      </c>
      <c r="E267" s="377">
        <v>0.15</v>
      </c>
      <c r="F267" s="382"/>
    </row>
    <row r="268" ht="14.25" spans="1:6">
      <c r="A268" s="290" t="s">
        <v>1986</v>
      </c>
      <c r="B268" s="295" t="s">
        <v>2010</v>
      </c>
      <c r="C268" s="377">
        <v>0.15</v>
      </c>
      <c r="D268" s="377">
        <v>0.15</v>
      </c>
      <c r="E268" s="377">
        <v>0.15</v>
      </c>
      <c r="F268" s="378">
        <v>0.13</v>
      </c>
    </row>
    <row r="269" ht="14.25" spans="1:6">
      <c r="A269" s="290" t="s">
        <v>1986</v>
      </c>
      <c r="B269" s="295" t="s">
        <v>2011</v>
      </c>
      <c r="C269" s="377">
        <v>0.15</v>
      </c>
      <c r="D269" s="377">
        <v>0.15</v>
      </c>
      <c r="E269" s="377">
        <v>0.15</v>
      </c>
      <c r="F269" s="378">
        <v>0.143</v>
      </c>
    </row>
    <row r="270" ht="14.25" spans="1:6">
      <c r="A270" s="290" t="s">
        <v>1986</v>
      </c>
      <c r="B270" s="295" t="s">
        <v>2012</v>
      </c>
      <c r="C270" s="377">
        <v>0.145</v>
      </c>
      <c r="D270" s="377">
        <v>0.145</v>
      </c>
      <c r="E270" s="377">
        <v>0.15</v>
      </c>
      <c r="F270" s="378">
        <v>0.147</v>
      </c>
    </row>
    <row r="271" ht="14.25" spans="1:6">
      <c r="A271" s="290" t="s">
        <v>1986</v>
      </c>
      <c r="B271" s="295" t="s">
        <v>2013</v>
      </c>
      <c r="C271" s="377">
        <v>0.15</v>
      </c>
      <c r="D271" s="377">
        <v>0.15</v>
      </c>
      <c r="E271" s="377">
        <v>0.15</v>
      </c>
      <c r="F271" s="378">
        <v>0.138</v>
      </c>
    </row>
    <row r="272" ht="14.25" spans="1:6">
      <c r="A272" s="290" t="s">
        <v>1986</v>
      </c>
      <c r="B272" s="295" t="s">
        <v>2014</v>
      </c>
      <c r="C272" s="383"/>
      <c r="D272" s="383"/>
      <c r="E272" s="383"/>
      <c r="F272" s="378">
        <v>0.14</v>
      </c>
    </row>
    <row r="273" ht="14.25" spans="1:6">
      <c r="A273" s="290" t="s">
        <v>1986</v>
      </c>
      <c r="B273" s="295" t="s">
        <v>2015</v>
      </c>
      <c r="C273" s="377">
        <v>0.142</v>
      </c>
      <c r="D273" s="377">
        <v>0.143</v>
      </c>
      <c r="E273" s="377">
        <v>0.15</v>
      </c>
      <c r="F273" s="378">
        <v>0.1</v>
      </c>
    </row>
    <row r="274" ht="14.25" spans="1:6">
      <c r="A274" s="290" t="s">
        <v>1986</v>
      </c>
      <c r="B274" s="295" t="s">
        <v>2016</v>
      </c>
      <c r="C274" s="377">
        <v>0.148</v>
      </c>
      <c r="D274" s="377">
        <v>0.148</v>
      </c>
      <c r="E274" s="377">
        <v>0.15</v>
      </c>
      <c r="F274" s="378">
        <v>0.067</v>
      </c>
    </row>
    <row r="275" ht="14.25" spans="1:6">
      <c r="A275" s="290" t="s">
        <v>1986</v>
      </c>
      <c r="B275" s="295" t="s">
        <v>2017</v>
      </c>
      <c r="C275" s="377">
        <v>0.15</v>
      </c>
      <c r="D275" s="377">
        <v>0.15</v>
      </c>
      <c r="E275" s="377">
        <v>0.15</v>
      </c>
      <c r="F275" s="378">
        <v>0.15</v>
      </c>
    </row>
    <row r="276" ht="14.25" spans="1:6">
      <c r="A276" s="290" t="s">
        <v>1986</v>
      </c>
      <c r="B276" s="295" t="s">
        <v>2018</v>
      </c>
      <c r="C276" s="377">
        <v>0.145</v>
      </c>
      <c r="D276" s="377">
        <v>0.143</v>
      </c>
      <c r="E276" s="377">
        <v>0.15</v>
      </c>
      <c r="F276" s="378">
        <v>0.059</v>
      </c>
    </row>
    <row r="277" ht="14.25" spans="1:6">
      <c r="A277" s="290" t="s">
        <v>1986</v>
      </c>
      <c r="B277" s="295" t="s">
        <v>2019</v>
      </c>
      <c r="C277" s="377">
        <v>0.15</v>
      </c>
      <c r="D277" s="377">
        <v>0.15</v>
      </c>
      <c r="E277" s="377">
        <v>0.15</v>
      </c>
      <c r="F277" s="378">
        <v>0.121</v>
      </c>
    </row>
    <row r="278" ht="14.25" spans="1:6">
      <c r="A278" s="290" t="s">
        <v>1986</v>
      </c>
      <c r="B278" s="295" t="s">
        <v>2020</v>
      </c>
      <c r="C278" s="377">
        <v>0.15</v>
      </c>
      <c r="D278" s="377">
        <v>0.15</v>
      </c>
      <c r="E278" s="377">
        <v>0.15</v>
      </c>
      <c r="F278" s="378">
        <v>0.138</v>
      </c>
    </row>
    <row r="279" ht="24.75" spans="1:6">
      <c r="A279" s="290" t="s">
        <v>1986</v>
      </c>
      <c r="B279" s="295" t="s">
        <v>2021</v>
      </c>
      <c r="C279" s="383"/>
      <c r="D279" s="383"/>
      <c r="E279" s="383"/>
      <c r="F279" s="378">
        <v>0.05</v>
      </c>
    </row>
    <row r="280" ht="24.75" spans="1:6">
      <c r="A280" s="290" t="s">
        <v>1986</v>
      </c>
      <c r="B280" s="295" t="s">
        <v>2022</v>
      </c>
      <c r="C280" s="383"/>
      <c r="D280" s="383"/>
      <c r="E280" s="383"/>
      <c r="F280" s="378">
        <v>0.05</v>
      </c>
    </row>
    <row r="281" ht="24.75" spans="1:6">
      <c r="A281" s="290" t="s">
        <v>1986</v>
      </c>
      <c r="B281" s="295" t="s">
        <v>2023</v>
      </c>
      <c r="C281" s="383"/>
      <c r="D281" s="383"/>
      <c r="E281" s="383"/>
      <c r="F281" s="378">
        <v>0.05</v>
      </c>
    </row>
    <row r="282" ht="24.75" spans="1:6">
      <c r="A282" s="290" t="s">
        <v>1986</v>
      </c>
      <c r="B282" s="295" t="s">
        <v>2024</v>
      </c>
      <c r="C282" s="383"/>
      <c r="D282" s="383"/>
      <c r="E282" s="383"/>
      <c r="F282" s="378">
        <v>0.05</v>
      </c>
    </row>
    <row r="283" ht="24.75" spans="1:6">
      <c r="A283" s="290" t="s">
        <v>1986</v>
      </c>
      <c r="B283" s="295" t="s">
        <v>2025</v>
      </c>
      <c r="C283" s="383"/>
      <c r="D283" s="383"/>
      <c r="E283" s="383"/>
      <c r="F283" s="378">
        <v>0.05</v>
      </c>
    </row>
    <row r="284" ht="24.75" spans="1:6">
      <c r="A284" s="290" t="s">
        <v>1986</v>
      </c>
      <c r="B284" s="295" t="s">
        <v>2026</v>
      </c>
      <c r="C284" s="383"/>
      <c r="D284" s="383"/>
      <c r="E284" s="383"/>
      <c r="F284" s="378">
        <v>0.05</v>
      </c>
    </row>
    <row r="285" ht="24.75" spans="1:6">
      <c r="A285" s="290" t="s">
        <v>1986</v>
      </c>
      <c r="B285" s="295" t="s">
        <v>2027</v>
      </c>
      <c r="C285" s="383"/>
      <c r="D285" s="383"/>
      <c r="E285" s="383"/>
      <c r="F285" s="378">
        <v>0.05</v>
      </c>
    </row>
    <row r="286" ht="24.75" spans="1:6">
      <c r="A286" s="290" t="s">
        <v>1986</v>
      </c>
      <c r="B286" s="295" t="s">
        <v>2028</v>
      </c>
      <c r="C286" s="383"/>
      <c r="D286" s="383"/>
      <c r="E286" s="383"/>
      <c r="F286" s="378">
        <v>0.05</v>
      </c>
    </row>
    <row r="287" ht="24.75" spans="1:6">
      <c r="A287" s="290" t="s">
        <v>1986</v>
      </c>
      <c r="B287" s="295" t="s">
        <v>2029</v>
      </c>
      <c r="C287" s="383"/>
      <c r="D287" s="383"/>
      <c r="E287" s="383"/>
      <c r="F287" s="378">
        <v>0.05</v>
      </c>
    </row>
    <row r="288" ht="24.75" spans="1:6">
      <c r="A288" s="290" t="s">
        <v>1986</v>
      </c>
      <c r="B288" s="295" t="s">
        <v>2030</v>
      </c>
      <c r="C288" s="383"/>
      <c r="D288" s="383"/>
      <c r="E288" s="383"/>
      <c r="F288" s="378">
        <v>0.05</v>
      </c>
    </row>
    <row r="289" ht="24.75" spans="1:6">
      <c r="A289" s="308" t="s">
        <v>1986</v>
      </c>
      <c r="B289" s="301" t="s">
        <v>2031</v>
      </c>
      <c r="C289" s="380"/>
      <c r="D289" s="380"/>
      <c r="E289" s="380"/>
      <c r="F289" s="384">
        <v>0.05</v>
      </c>
    </row>
    <row r="290" ht="14.25" spans="1:6">
      <c r="A290" s="290" t="s">
        <v>2032</v>
      </c>
      <c r="B290" s="291" t="s">
        <v>2033</v>
      </c>
      <c r="C290" s="375">
        <v>0.15</v>
      </c>
      <c r="D290" s="375">
        <v>0.15</v>
      </c>
      <c r="E290" s="375">
        <v>0.15</v>
      </c>
      <c r="F290" s="392"/>
    </row>
    <row r="291" ht="14.25" spans="1:6">
      <c r="A291" s="290" t="s">
        <v>2032</v>
      </c>
      <c r="B291" s="295" t="s">
        <v>2034</v>
      </c>
      <c r="C291" s="377">
        <v>0.15</v>
      </c>
      <c r="D291" s="377">
        <v>0.15</v>
      </c>
      <c r="E291" s="377">
        <v>0.15</v>
      </c>
      <c r="F291" s="382"/>
    </row>
    <row r="292" ht="14.25" spans="1:6">
      <c r="A292" s="290" t="s">
        <v>2032</v>
      </c>
      <c r="B292" s="295" t="s">
        <v>2035</v>
      </c>
      <c r="C292" s="377">
        <v>0.15</v>
      </c>
      <c r="D292" s="377">
        <v>0.15</v>
      </c>
      <c r="E292" s="377">
        <v>0.15</v>
      </c>
      <c r="F292" s="378">
        <v>0.147</v>
      </c>
    </row>
    <row r="293" ht="14.25" spans="1:6">
      <c r="A293" s="290" t="s">
        <v>2032</v>
      </c>
      <c r="B293" s="295" t="s">
        <v>2036</v>
      </c>
      <c r="C293" s="383"/>
      <c r="D293" s="383"/>
      <c r="E293" s="383"/>
      <c r="F293" s="378">
        <v>0.1</v>
      </c>
    </row>
    <row r="294" ht="14.25" spans="1:6">
      <c r="A294" s="290" t="s">
        <v>2032</v>
      </c>
      <c r="B294" s="295" t="s">
        <v>2037</v>
      </c>
      <c r="C294" s="377">
        <v>0.15</v>
      </c>
      <c r="D294" s="377">
        <v>0.15</v>
      </c>
      <c r="E294" s="377">
        <v>0.15</v>
      </c>
      <c r="F294" s="378">
        <v>0.15</v>
      </c>
    </row>
    <row r="295" ht="14.25" spans="1:6">
      <c r="A295" s="290" t="s">
        <v>2032</v>
      </c>
      <c r="B295" s="295" t="s">
        <v>2038</v>
      </c>
      <c r="C295" s="377">
        <v>0.15</v>
      </c>
      <c r="D295" s="377">
        <v>0.15</v>
      </c>
      <c r="E295" s="377">
        <v>0.15</v>
      </c>
      <c r="F295" s="378">
        <v>0.15</v>
      </c>
    </row>
    <row r="296" ht="14.25" spans="1:6">
      <c r="A296" s="290" t="s">
        <v>2032</v>
      </c>
      <c r="B296" s="295" t="s">
        <v>2039</v>
      </c>
      <c r="C296" s="377">
        <v>0.15</v>
      </c>
      <c r="D296" s="377">
        <v>0.15</v>
      </c>
      <c r="E296" s="377">
        <v>0.15</v>
      </c>
      <c r="F296" s="378">
        <v>0.15</v>
      </c>
    </row>
    <row r="297" ht="14.25" spans="1:6">
      <c r="A297" s="290" t="s">
        <v>2032</v>
      </c>
      <c r="B297" s="295" t="s">
        <v>2040</v>
      </c>
      <c r="C297" s="377">
        <v>0.148</v>
      </c>
      <c r="D297" s="377">
        <v>0.149</v>
      </c>
      <c r="E297" s="377">
        <v>0.15</v>
      </c>
      <c r="F297" s="378">
        <v>0.137</v>
      </c>
    </row>
    <row r="298" ht="14.25" spans="1:6">
      <c r="A298" s="290" t="s">
        <v>2032</v>
      </c>
      <c r="B298" s="295" t="s">
        <v>2041</v>
      </c>
      <c r="C298" s="377">
        <v>0.134</v>
      </c>
      <c r="D298" s="377">
        <v>0.134</v>
      </c>
      <c r="E298" s="377">
        <v>0.145</v>
      </c>
      <c r="F298" s="378">
        <v>0.148</v>
      </c>
    </row>
    <row r="299" ht="14.25" spans="1:6">
      <c r="A299" s="290" t="s">
        <v>2032</v>
      </c>
      <c r="B299" s="295" t="s">
        <v>2042</v>
      </c>
      <c r="C299" s="377">
        <v>0.15</v>
      </c>
      <c r="D299" s="377">
        <v>0.15</v>
      </c>
      <c r="E299" s="377">
        <v>0.15</v>
      </c>
      <c r="F299" s="382"/>
    </row>
    <row r="300" ht="14.25" spans="1:6">
      <c r="A300" s="290" t="s">
        <v>2032</v>
      </c>
      <c r="B300" s="295" t="s">
        <v>2043</v>
      </c>
      <c r="C300" s="377">
        <v>0.15</v>
      </c>
      <c r="D300" s="377">
        <v>0.15</v>
      </c>
      <c r="E300" s="377">
        <v>0.15</v>
      </c>
      <c r="F300" s="378">
        <v>0.15</v>
      </c>
    </row>
    <row r="301" ht="14.25" spans="1:6">
      <c r="A301" s="290" t="s">
        <v>2032</v>
      </c>
      <c r="B301" s="295" t="s">
        <v>2044</v>
      </c>
      <c r="C301" s="377">
        <v>0.15</v>
      </c>
      <c r="D301" s="377">
        <v>0.15</v>
      </c>
      <c r="E301" s="377">
        <v>0.15</v>
      </c>
      <c r="F301" s="382"/>
    </row>
    <row r="302" ht="14.25" spans="1:6">
      <c r="A302" s="290" t="s">
        <v>2032</v>
      </c>
      <c r="B302" s="295" t="s">
        <v>2045</v>
      </c>
      <c r="C302" s="377">
        <v>0.15</v>
      </c>
      <c r="D302" s="377">
        <v>0.15</v>
      </c>
      <c r="E302" s="377">
        <v>0.15</v>
      </c>
      <c r="F302" s="378">
        <v>0.15</v>
      </c>
    </row>
    <row r="303" ht="14.25" spans="1:6">
      <c r="A303" s="290" t="s">
        <v>2032</v>
      </c>
      <c r="B303" s="295" t="s">
        <v>2046</v>
      </c>
      <c r="C303" s="377">
        <v>0.15</v>
      </c>
      <c r="D303" s="377">
        <v>0.15</v>
      </c>
      <c r="E303" s="377">
        <v>0.15</v>
      </c>
      <c r="F303" s="378">
        <v>0.15</v>
      </c>
    </row>
    <row r="304" ht="14.25" spans="1:6">
      <c r="A304" s="290" t="s">
        <v>2032</v>
      </c>
      <c r="B304" s="295" t="s">
        <v>2047</v>
      </c>
      <c r="C304" s="377">
        <v>0.15</v>
      </c>
      <c r="D304" s="377">
        <v>0.15</v>
      </c>
      <c r="E304" s="377">
        <v>0.15</v>
      </c>
      <c r="F304" s="382"/>
    </row>
    <row r="305" ht="14.25" spans="1:6">
      <c r="A305" s="290" t="s">
        <v>2032</v>
      </c>
      <c r="B305" s="295" t="s">
        <v>2048</v>
      </c>
      <c r="C305" s="377">
        <v>0.15</v>
      </c>
      <c r="D305" s="377">
        <v>0.15</v>
      </c>
      <c r="E305" s="377">
        <v>0.15</v>
      </c>
      <c r="F305" s="378">
        <v>0.14</v>
      </c>
    </row>
    <row r="306" ht="14.25" spans="1:6">
      <c r="A306" s="290" t="s">
        <v>2032</v>
      </c>
      <c r="B306" s="295" t="s">
        <v>2049</v>
      </c>
      <c r="C306" s="377">
        <v>0.15</v>
      </c>
      <c r="D306" s="377">
        <v>0.15</v>
      </c>
      <c r="E306" s="377">
        <v>0.15</v>
      </c>
      <c r="F306" s="382"/>
    </row>
    <row r="307" ht="14.25" spans="1:6">
      <c r="A307" s="290" t="s">
        <v>2032</v>
      </c>
      <c r="B307" s="295" t="s">
        <v>2050</v>
      </c>
      <c r="C307" s="377">
        <v>0.15</v>
      </c>
      <c r="D307" s="377">
        <v>0.15</v>
      </c>
      <c r="E307" s="377">
        <v>0.15</v>
      </c>
      <c r="F307" s="378">
        <v>0.143</v>
      </c>
    </row>
    <row r="308" ht="14.25" spans="1:6">
      <c r="A308" s="290" t="s">
        <v>2032</v>
      </c>
      <c r="B308" s="295" t="s">
        <v>2051</v>
      </c>
      <c r="C308" s="377">
        <v>0.15</v>
      </c>
      <c r="D308" s="377">
        <v>0.15</v>
      </c>
      <c r="E308" s="377">
        <v>0.15</v>
      </c>
      <c r="F308" s="378">
        <v>0.15</v>
      </c>
    </row>
    <row r="309" ht="14.25" spans="1:6">
      <c r="A309" s="290" t="s">
        <v>2032</v>
      </c>
      <c r="B309" s="295" t="s">
        <v>2052</v>
      </c>
      <c r="C309" s="377">
        <v>0.15</v>
      </c>
      <c r="D309" s="377">
        <v>0.15</v>
      </c>
      <c r="E309" s="377">
        <v>0.15</v>
      </c>
      <c r="F309" s="382"/>
    </row>
    <row r="310" ht="14.25" spans="1:6">
      <c r="A310" s="290" t="s">
        <v>2032</v>
      </c>
      <c r="B310" s="295" t="s">
        <v>2053</v>
      </c>
      <c r="C310" s="377">
        <v>0.15</v>
      </c>
      <c r="D310" s="377">
        <v>0.15</v>
      </c>
      <c r="E310" s="377">
        <v>0.15</v>
      </c>
      <c r="F310" s="378">
        <v>0.137</v>
      </c>
    </row>
    <row r="311" ht="14.25" spans="1:6">
      <c r="A311" s="290" t="s">
        <v>2032</v>
      </c>
      <c r="B311" s="295" t="s">
        <v>2054</v>
      </c>
      <c r="C311" s="377">
        <v>0.15</v>
      </c>
      <c r="D311" s="377">
        <v>0.15</v>
      </c>
      <c r="E311" s="377">
        <v>0.15</v>
      </c>
      <c r="F311" s="378">
        <v>0.15</v>
      </c>
    </row>
    <row r="312" ht="14.25" spans="1:6">
      <c r="A312" s="290" t="s">
        <v>2032</v>
      </c>
      <c r="B312" s="295" t="s">
        <v>2055</v>
      </c>
      <c r="C312" s="377">
        <v>0.15</v>
      </c>
      <c r="D312" s="377">
        <v>0.15</v>
      </c>
      <c r="E312" s="377">
        <v>0.15</v>
      </c>
      <c r="F312" s="378">
        <v>0.1</v>
      </c>
    </row>
    <row r="313" ht="14.25" spans="1:6">
      <c r="A313" s="290" t="s">
        <v>2032</v>
      </c>
      <c r="B313" s="295" t="s">
        <v>2056</v>
      </c>
      <c r="C313" s="377">
        <v>0.15</v>
      </c>
      <c r="D313" s="377">
        <v>0.15</v>
      </c>
      <c r="E313" s="377">
        <v>0.15</v>
      </c>
      <c r="F313" s="378">
        <v>0.15</v>
      </c>
    </row>
    <row r="314" ht="24.75" spans="1:6">
      <c r="A314" s="290" t="s">
        <v>2032</v>
      </c>
      <c r="B314" s="295" t="s">
        <v>2057</v>
      </c>
      <c r="C314" s="383"/>
      <c r="D314" s="383"/>
      <c r="E314" s="383"/>
      <c r="F314" s="378">
        <v>0.05</v>
      </c>
    </row>
    <row r="315" ht="24.75" spans="1:6">
      <c r="A315" s="290" t="s">
        <v>2032</v>
      </c>
      <c r="B315" s="295" t="s">
        <v>2058</v>
      </c>
      <c r="C315" s="383"/>
      <c r="D315" s="383"/>
      <c r="E315" s="383"/>
      <c r="F315" s="378">
        <v>0.05</v>
      </c>
    </row>
    <row r="316" ht="24.75" spans="1:6">
      <c r="A316" s="308" t="s">
        <v>2032</v>
      </c>
      <c r="B316" s="301" t="s">
        <v>2059</v>
      </c>
      <c r="C316" s="380"/>
      <c r="D316" s="380"/>
      <c r="E316" s="380"/>
      <c r="F316" s="384">
        <v>0.05</v>
      </c>
    </row>
    <row r="317" ht="14.25" spans="1:6">
      <c r="A317" s="290" t="s">
        <v>2060</v>
      </c>
      <c r="B317" s="291" t="s">
        <v>2061</v>
      </c>
      <c r="C317" s="375">
        <v>0.15</v>
      </c>
      <c r="D317" s="375">
        <v>0.15</v>
      </c>
      <c r="E317" s="375">
        <v>0.15</v>
      </c>
      <c r="F317" s="376">
        <v>0.15</v>
      </c>
    </row>
    <row r="318" ht="14.25" spans="1:6">
      <c r="A318" s="290" t="s">
        <v>2060</v>
      </c>
      <c r="B318" s="295" t="s">
        <v>2062</v>
      </c>
      <c r="C318" s="377">
        <v>0.107</v>
      </c>
      <c r="D318" s="377">
        <v>0.11</v>
      </c>
      <c r="E318" s="377">
        <v>0.112</v>
      </c>
      <c r="F318" s="382"/>
    </row>
    <row r="319" ht="14.25" spans="1:6">
      <c r="A319" s="290" t="s">
        <v>2060</v>
      </c>
      <c r="B319" s="295" t="s">
        <v>2063</v>
      </c>
      <c r="C319" s="377">
        <v>0.15</v>
      </c>
      <c r="D319" s="377">
        <v>0.15</v>
      </c>
      <c r="E319" s="377">
        <v>0.15</v>
      </c>
      <c r="F319" s="378">
        <v>0.15</v>
      </c>
    </row>
    <row r="320" ht="14.25" spans="1:6">
      <c r="A320" s="290" t="s">
        <v>2060</v>
      </c>
      <c r="B320" s="295" t="s">
        <v>2064</v>
      </c>
      <c r="C320" s="377">
        <v>0.15</v>
      </c>
      <c r="D320" s="377">
        <v>0.15</v>
      </c>
      <c r="E320" s="377">
        <v>0.15</v>
      </c>
      <c r="F320" s="382"/>
    </row>
    <row r="321" ht="14.25" spans="1:6">
      <c r="A321" s="290" t="s">
        <v>2060</v>
      </c>
      <c r="B321" s="295" t="s">
        <v>2065</v>
      </c>
      <c r="C321" s="377">
        <v>0.15</v>
      </c>
      <c r="D321" s="377">
        <v>0.15</v>
      </c>
      <c r="E321" s="377">
        <v>0.15</v>
      </c>
      <c r="F321" s="382"/>
    </row>
    <row r="322" ht="14.25" spans="1:6">
      <c r="A322" s="290" t="s">
        <v>2060</v>
      </c>
      <c r="B322" s="295" t="s">
        <v>2066</v>
      </c>
      <c r="C322" s="377">
        <v>0.15</v>
      </c>
      <c r="D322" s="377">
        <v>0.15</v>
      </c>
      <c r="E322" s="377">
        <v>0.15</v>
      </c>
      <c r="F322" s="378">
        <v>0.15</v>
      </c>
    </row>
    <row r="323" ht="14.25" spans="1:6">
      <c r="A323" s="290" t="s">
        <v>2060</v>
      </c>
      <c r="B323" s="295" t="s">
        <v>2067</v>
      </c>
      <c r="C323" s="377">
        <v>0.15</v>
      </c>
      <c r="D323" s="377">
        <v>0.15</v>
      </c>
      <c r="E323" s="377">
        <v>0.15</v>
      </c>
      <c r="F323" s="382"/>
    </row>
    <row r="324" ht="14.25" spans="1:6">
      <c r="A324" s="290" t="s">
        <v>2060</v>
      </c>
      <c r="B324" s="295" t="s">
        <v>2068</v>
      </c>
      <c r="C324" s="377">
        <v>0.15</v>
      </c>
      <c r="D324" s="377">
        <v>0.15</v>
      </c>
      <c r="E324" s="377">
        <v>0.15</v>
      </c>
      <c r="F324" s="382"/>
    </row>
    <row r="325" ht="14.25" spans="1:6">
      <c r="A325" s="290" t="s">
        <v>2060</v>
      </c>
      <c r="B325" s="295" t="s">
        <v>2069</v>
      </c>
      <c r="C325" s="377">
        <v>0.15</v>
      </c>
      <c r="D325" s="377">
        <v>0.15</v>
      </c>
      <c r="E325" s="377">
        <v>0.15</v>
      </c>
      <c r="F325" s="378">
        <v>0.147</v>
      </c>
    </row>
    <row r="326" ht="14.25" spans="1:6">
      <c r="A326" s="290" t="s">
        <v>2060</v>
      </c>
      <c r="B326" s="295" t="s">
        <v>2070</v>
      </c>
      <c r="C326" s="377">
        <v>0.15</v>
      </c>
      <c r="D326" s="377">
        <v>0.15</v>
      </c>
      <c r="E326" s="377">
        <v>0.15</v>
      </c>
      <c r="F326" s="382"/>
    </row>
    <row r="327" ht="14.25" spans="1:6">
      <c r="A327" s="290" t="s">
        <v>2060</v>
      </c>
      <c r="B327" s="295" t="s">
        <v>2071</v>
      </c>
      <c r="C327" s="377">
        <v>0.15</v>
      </c>
      <c r="D327" s="377">
        <v>0.15</v>
      </c>
      <c r="E327" s="377">
        <v>0.15</v>
      </c>
      <c r="F327" s="378">
        <v>0.15</v>
      </c>
    </row>
    <row r="328" ht="14.25" spans="1:6">
      <c r="A328" s="290" t="s">
        <v>2060</v>
      </c>
      <c r="B328" s="295" t="s">
        <v>2072</v>
      </c>
      <c r="C328" s="377">
        <v>0.15</v>
      </c>
      <c r="D328" s="377">
        <v>0.15</v>
      </c>
      <c r="E328" s="377">
        <v>0.15</v>
      </c>
      <c r="F328" s="378">
        <v>0.141</v>
      </c>
    </row>
    <row r="329" ht="14.25" spans="1:6">
      <c r="A329" s="290" t="s">
        <v>2060</v>
      </c>
      <c r="B329" s="295" t="s">
        <v>2073</v>
      </c>
      <c r="C329" s="377">
        <v>0.15</v>
      </c>
      <c r="D329" s="377">
        <v>0.15</v>
      </c>
      <c r="E329" s="377">
        <v>0.15</v>
      </c>
      <c r="F329" s="378">
        <v>0.15</v>
      </c>
    </row>
    <row r="330" ht="14.25" spans="1:6">
      <c r="A330" s="290" t="s">
        <v>2060</v>
      </c>
      <c r="B330" s="295" t="s">
        <v>2074</v>
      </c>
      <c r="C330" s="377">
        <v>0.15</v>
      </c>
      <c r="D330" s="377">
        <v>0.15</v>
      </c>
      <c r="E330" s="377">
        <v>0.15</v>
      </c>
      <c r="F330" s="382"/>
    </row>
    <row r="331" ht="14.25" spans="1:6">
      <c r="A331" s="290" t="s">
        <v>2060</v>
      </c>
      <c r="B331" s="295" t="s">
        <v>2075</v>
      </c>
      <c r="C331" s="377">
        <v>0.15</v>
      </c>
      <c r="D331" s="377">
        <v>0.15</v>
      </c>
      <c r="E331" s="377">
        <v>0.15</v>
      </c>
      <c r="F331" s="378">
        <v>0.15</v>
      </c>
    </row>
    <row r="332" ht="14.25" spans="1:6">
      <c r="A332" s="290" t="s">
        <v>2060</v>
      </c>
      <c r="B332" s="295" t="s">
        <v>2076</v>
      </c>
      <c r="C332" s="377">
        <v>0.15</v>
      </c>
      <c r="D332" s="377">
        <v>0.15</v>
      </c>
      <c r="E332" s="377">
        <v>0.15</v>
      </c>
      <c r="F332" s="378">
        <v>0.15</v>
      </c>
    </row>
    <row r="333" ht="14.25" spans="1:6">
      <c r="A333" s="290" t="s">
        <v>2060</v>
      </c>
      <c r="B333" s="295" t="s">
        <v>2077</v>
      </c>
      <c r="C333" s="377">
        <v>0.15</v>
      </c>
      <c r="D333" s="377">
        <v>0.15</v>
      </c>
      <c r="E333" s="377">
        <v>0.15</v>
      </c>
      <c r="F333" s="378">
        <v>0.141</v>
      </c>
    </row>
    <row r="334" ht="14.25" spans="1:6">
      <c r="A334" s="290" t="s">
        <v>2060</v>
      </c>
      <c r="B334" s="295" t="s">
        <v>2078</v>
      </c>
      <c r="C334" s="377">
        <v>0.15</v>
      </c>
      <c r="D334" s="377">
        <v>0.15</v>
      </c>
      <c r="E334" s="377">
        <v>0.15</v>
      </c>
      <c r="F334" s="378">
        <v>0.15</v>
      </c>
    </row>
    <row r="335" ht="14.25" spans="1:6">
      <c r="A335" s="290" t="s">
        <v>2060</v>
      </c>
      <c r="B335" s="295" t="s">
        <v>2079</v>
      </c>
      <c r="C335" s="377">
        <v>0.15</v>
      </c>
      <c r="D335" s="377">
        <v>0.15</v>
      </c>
      <c r="E335" s="377">
        <v>0.15</v>
      </c>
      <c r="F335" s="382"/>
    </row>
    <row r="336" ht="14.25" spans="1:6">
      <c r="A336" s="290" t="s">
        <v>2060</v>
      </c>
      <c r="B336" s="295" t="s">
        <v>2080</v>
      </c>
      <c r="C336" s="377">
        <v>0.15</v>
      </c>
      <c r="D336" s="377">
        <v>0.15</v>
      </c>
      <c r="E336" s="377">
        <v>0.15</v>
      </c>
      <c r="F336" s="378">
        <v>0.118</v>
      </c>
    </row>
    <row r="337" ht="14.25" spans="1:6">
      <c r="A337" s="308" t="s">
        <v>2060</v>
      </c>
      <c r="B337" s="301" t="s">
        <v>2081</v>
      </c>
      <c r="C337" s="380"/>
      <c r="D337" s="380"/>
      <c r="E337" s="380"/>
      <c r="F337" s="384">
        <v>0.143</v>
      </c>
    </row>
    <row r="338" ht="14.25" spans="1:6">
      <c r="A338" s="290" t="s">
        <v>2082</v>
      </c>
      <c r="B338" s="291" t="s">
        <v>2083</v>
      </c>
      <c r="C338" s="375">
        <v>0.15</v>
      </c>
      <c r="D338" s="375">
        <v>0.15</v>
      </c>
      <c r="E338" s="375">
        <v>0.15</v>
      </c>
      <c r="F338" s="392"/>
    </row>
    <row r="339" ht="14.25" spans="1:6">
      <c r="A339" s="290" t="s">
        <v>2082</v>
      </c>
      <c r="B339" s="295" t="s">
        <v>2084</v>
      </c>
      <c r="C339" s="377">
        <v>0.15</v>
      </c>
      <c r="D339" s="377">
        <v>0.15</v>
      </c>
      <c r="E339" s="377">
        <v>0.15</v>
      </c>
      <c r="F339" s="382"/>
    </row>
    <row r="340" ht="14.25" spans="1:6">
      <c r="A340" s="290" t="s">
        <v>2082</v>
      </c>
      <c r="B340" s="295" t="s">
        <v>2085</v>
      </c>
      <c r="C340" s="377">
        <v>0.15</v>
      </c>
      <c r="D340" s="377">
        <v>0.15</v>
      </c>
      <c r="E340" s="377">
        <v>0.15</v>
      </c>
      <c r="F340" s="382"/>
    </row>
    <row r="341" ht="14.25" spans="1:6">
      <c r="A341" s="290" t="s">
        <v>2082</v>
      </c>
      <c r="B341" s="295" t="s">
        <v>2086</v>
      </c>
      <c r="C341" s="377">
        <v>0.15</v>
      </c>
      <c r="D341" s="377">
        <v>0.15</v>
      </c>
      <c r="E341" s="377">
        <v>0.15</v>
      </c>
      <c r="F341" s="378">
        <v>0.15</v>
      </c>
    </row>
    <row r="342" ht="14.25" spans="1:6">
      <c r="A342" s="290" t="s">
        <v>2082</v>
      </c>
      <c r="B342" s="295" t="s">
        <v>2087</v>
      </c>
      <c r="C342" s="377">
        <v>0.15</v>
      </c>
      <c r="D342" s="377">
        <v>0.15</v>
      </c>
      <c r="E342" s="377">
        <v>0.15</v>
      </c>
      <c r="F342" s="378">
        <v>0.15</v>
      </c>
    </row>
    <row r="343" ht="14.25" spans="1:6">
      <c r="A343" s="290" t="s">
        <v>2082</v>
      </c>
      <c r="B343" s="295" t="s">
        <v>2088</v>
      </c>
      <c r="C343" s="377">
        <v>0.15</v>
      </c>
      <c r="D343" s="377">
        <v>0.15</v>
      </c>
      <c r="E343" s="377">
        <v>0.15</v>
      </c>
      <c r="F343" s="378">
        <v>0.15</v>
      </c>
    </row>
    <row r="344" ht="14.25" spans="1:6">
      <c r="A344" s="308" t="s">
        <v>2082</v>
      </c>
      <c r="B344" s="301" t="s">
        <v>2089</v>
      </c>
      <c r="C344" s="379">
        <v>0.15</v>
      </c>
      <c r="D344" s="379">
        <v>0.15</v>
      </c>
      <c r="E344" s="379">
        <v>0.15</v>
      </c>
      <c r="F344" s="384">
        <v>0.15</v>
      </c>
    </row>
  </sheetData>
  <sheetProtection password="C66D" sheet="1" objects="1" scenarios="1"/>
  <mergeCells count="1">
    <mergeCell ref="A1:B1"/>
  </mergeCells>
  <pageMargins left="0.7" right="0.7" top="0.75" bottom="0.75" header="0.3" footer="0.3"/>
  <headerFooter/>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T98"/>
  <sheetViews>
    <sheetView zoomScale="90" zoomScaleNormal="90" workbookViewId="0">
      <selection activeCell="D4" sqref="D4"/>
    </sheetView>
  </sheetViews>
  <sheetFormatPr defaultColWidth="9" defaultRowHeight="18" customHeight="1"/>
  <cols>
    <col min="1" max="1" width="17.375" style="319" customWidth="1"/>
    <col min="2" max="2" width="40.625" style="320" customWidth="1"/>
    <col min="3" max="3" width="9" style="321"/>
    <col min="4" max="5" width="9" style="322"/>
    <col min="6" max="6" width="9" style="323"/>
    <col min="7" max="7" width="11.875" style="319" customWidth="1"/>
    <col min="8" max="8" width="9" style="323"/>
    <col min="9" max="13" width="9" style="319"/>
    <col min="14" max="20" width="9" style="318"/>
    <col min="21" max="16384" width="9" style="319"/>
  </cols>
  <sheetData>
    <row r="1" s="317" customFormat="1" customHeight="1" spans="1:20">
      <c r="A1" s="324" t="s">
        <v>2090</v>
      </c>
      <c r="B1" s="325"/>
      <c r="C1" s="326"/>
      <c r="D1" s="327"/>
      <c r="E1" s="327"/>
      <c r="F1" s="328"/>
      <c r="G1" s="329"/>
      <c r="H1" s="328"/>
      <c r="I1" s="329"/>
      <c r="J1" s="329"/>
      <c r="K1" s="329"/>
      <c r="L1" s="329"/>
      <c r="M1" s="329"/>
      <c r="N1" s="318"/>
      <c r="O1" s="318"/>
      <c r="P1" s="318"/>
      <c r="Q1" s="318"/>
      <c r="R1" s="318"/>
      <c r="S1" s="318"/>
      <c r="T1" s="318"/>
    </row>
    <row r="2" customHeight="1" spans="1:13">
      <c r="A2" s="330" t="s">
        <v>1733</v>
      </c>
      <c r="B2" s="331">
        <f>1+F4</f>
        <v>1.0129</v>
      </c>
      <c r="C2" s="332"/>
      <c r="D2" s="333"/>
      <c r="E2" s="333"/>
      <c r="F2" s="334"/>
      <c r="G2" s="335"/>
      <c r="H2" s="328"/>
      <c r="I2" s="329"/>
      <c r="J2" s="329"/>
      <c r="K2" s="329"/>
      <c r="L2" s="329"/>
      <c r="M2" s="329"/>
    </row>
    <row r="3" ht="13.5" spans="1:13">
      <c r="A3" s="247" t="s">
        <v>2091</v>
      </c>
      <c r="B3" s="248" t="s">
        <v>2092</v>
      </c>
      <c r="C3" s="336" t="s">
        <v>2093</v>
      </c>
      <c r="D3" s="337" t="s">
        <v>2094</v>
      </c>
      <c r="E3" s="337" t="s">
        <v>2095</v>
      </c>
      <c r="F3" s="338" t="s">
        <v>2096</v>
      </c>
      <c r="G3" s="339" t="s">
        <v>2097</v>
      </c>
      <c r="H3" s="337" t="s">
        <v>1445</v>
      </c>
      <c r="I3" s="369" t="s">
        <v>2098</v>
      </c>
      <c r="J3" s="369" t="s">
        <v>2099</v>
      </c>
      <c r="K3" s="369" t="s">
        <v>2100</v>
      </c>
      <c r="L3" s="369" t="s">
        <v>2101</v>
      </c>
      <c r="M3" s="369" t="s">
        <v>2102</v>
      </c>
    </row>
    <row r="4" ht="24" spans="1:13">
      <c r="A4" s="247" t="s">
        <v>2103</v>
      </c>
      <c r="B4" s="340" t="str">
        <f>估价对象房地状况!C4</f>
        <v>估价对象位于XX商圈，周边商业氛围成熟，人流量大，商业繁华度好</v>
      </c>
      <c r="C4" s="341" t="s">
        <v>1059</v>
      </c>
      <c r="D4" s="342">
        <f>SUMIF($I$3:$M$3,C4,I4:M4)</f>
        <v>0.02</v>
      </c>
      <c r="E4" s="343">
        <v>0.33</v>
      </c>
      <c r="F4" s="344">
        <f>D4*E4+D5*E5+D6*E6+D7*E7+D8*E8+D9*E9+D10*E10+D11*E11+D12*E12</f>
        <v>0.0129</v>
      </c>
      <c r="G4" s="345" t="str">
        <f>IF(基准地价修正!E2="商业",SUMIF(基准地价修正!L1:L12,基准地价修正!G2,基准地价修正!N1:N12),"——")</f>
        <v>——</v>
      </c>
      <c r="H4" s="346">
        <v>0.02</v>
      </c>
      <c r="I4" s="370">
        <f>J4+$H4</f>
        <v>0.04</v>
      </c>
      <c r="J4" s="370">
        <f>$K4+$H4</f>
        <v>0.02</v>
      </c>
      <c r="K4" s="371">
        <v>0</v>
      </c>
      <c r="L4" s="370">
        <f t="shared" ref="L4:M12" si="0">K4-$H4</f>
        <v>-0.02</v>
      </c>
      <c r="M4" s="370">
        <f t="shared" si="0"/>
        <v>-0.04</v>
      </c>
    </row>
    <row r="5" ht="24" spans="1:13">
      <c r="A5" s="247" t="s">
        <v>2104</v>
      </c>
      <c r="B5" s="347" t="str">
        <f>估价对象房地状况!C6</f>
        <v>估价对象周边道路状况、公共交通通达情况、停车便捷程度，综合评价交通便捷度较好</v>
      </c>
      <c r="C5" s="341" t="s">
        <v>2105</v>
      </c>
      <c r="D5" s="342">
        <f t="shared" ref="D5:D12" si="1">SUMIF($I$3:$M$3,C5,I5:M5)</f>
        <v>0</v>
      </c>
      <c r="E5" s="343">
        <v>0.25</v>
      </c>
      <c r="F5" s="348"/>
      <c r="G5" s="349"/>
      <c r="H5" s="346">
        <v>0.01</v>
      </c>
      <c r="I5" s="370">
        <f t="shared" ref="I5:I12" si="2">J5+$H5</f>
        <v>0.02</v>
      </c>
      <c r="J5" s="370">
        <f t="shared" ref="J5:J12" si="3">$K5+$H5</f>
        <v>0.01</v>
      </c>
      <c r="K5" s="371">
        <v>0</v>
      </c>
      <c r="L5" s="370">
        <f t="shared" si="0"/>
        <v>-0.01</v>
      </c>
      <c r="M5" s="370">
        <f t="shared" si="0"/>
        <v>-0.02</v>
      </c>
    </row>
    <row r="6" ht="14.25" spans="1:13">
      <c r="A6" s="247" t="s">
        <v>2106</v>
      </c>
      <c r="B6" s="248">
        <f>估价对象房地状况!C19</f>
        <v>0</v>
      </c>
      <c r="C6" s="341" t="s">
        <v>1059</v>
      </c>
      <c r="D6" s="342">
        <f t="shared" si="1"/>
        <v>0.02</v>
      </c>
      <c r="E6" s="343">
        <v>0.05</v>
      </c>
      <c r="F6" s="348"/>
      <c r="G6" s="349"/>
      <c r="H6" s="346">
        <v>0.02</v>
      </c>
      <c r="I6" s="370">
        <f t="shared" si="2"/>
        <v>0.04</v>
      </c>
      <c r="J6" s="370">
        <f t="shared" si="3"/>
        <v>0.02</v>
      </c>
      <c r="K6" s="371">
        <v>0</v>
      </c>
      <c r="L6" s="370">
        <f t="shared" si="0"/>
        <v>-0.02</v>
      </c>
      <c r="M6" s="370">
        <f t="shared" si="0"/>
        <v>-0.04</v>
      </c>
    </row>
    <row r="7" ht="24" spans="1:13">
      <c r="A7" s="247" t="s">
        <v>2107</v>
      </c>
      <c r="B7" s="350" t="s">
        <v>2108</v>
      </c>
      <c r="C7" s="341" t="s">
        <v>2109</v>
      </c>
      <c r="D7" s="342">
        <f t="shared" si="1"/>
        <v>-0.02</v>
      </c>
      <c r="E7" s="343">
        <v>0.05</v>
      </c>
      <c r="F7" s="348"/>
      <c r="G7" s="349"/>
      <c r="H7" s="346">
        <v>0.01</v>
      </c>
      <c r="I7" s="370">
        <f t="shared" si="2"/>
        <v>0.02</v>
      </c>
      <c r="J7" s="370">
        <f t="shared" si="3"/>
        <v>0.01</v>
      </c>
      <c r="K7" s="371">
        <v>0</v>
      </c>
      <c r="L7" s="370">
        <f t="shared" si="0"/>
        <v>-0.01</v>
      </c>
      <c r="M7" s="370">
        <f t="shared" si="0"/>
        <v>-0.02</v>
      </c>
    </row>
    <row r="8" ht="14.25" spans="1:13">
      <c r="A8" s="247" t="s">
        <v>2110</v>
      </c>
      <c r="B8" s="248">
        <f>估价对象房地状况!C10</f>
        <v>0</v>
      </c>
      <c r="C8" s="341" t="s">
        <v>1059</v>
      </c>
      <c r="D8" s="342">
        <f t="shared" si="1"/>
        <v>0.02</v>
      </c>
      <c r="E8" s="343">
        <v>0.08</v>
      </c>
      <c r="F8" s="348"/>
      <c r="G8" s="349"/>
      <c r="H8" s="346">
        <v>0.02</v>
      </c>
      <c r="I8" s="370">
        <f t="shared" si="2"/>
        <v>0.04</v>
      </c>
      <c r="J8" s="370">
        <f t="shared" si="3"/>
        <v>0.02</v>
      </c>
      <c r="K8" s="371">
        <v>0</v>
      </c>
      <c r="L8" s="370">
        <f t="shared" si="0"/>
        <v>-0.02</v>
      </c>
      <c r="M8" s="370">
        <f t="shared" si="0"/>
        <v>-0.04</v>
      </c>
    </row>
    <row r="9" ht="14.25" spans="1:13">
      <c r="A9" s="247" t="s">
        <v>2111</v>
      </c>
      <c r="B9" s="351" t="s">
        <v>2112</v>
      </c>
      <c r="C9" s="341" t="s">
        <v>1059</v>
      </c>
      <c r="D9" s="342">
        <f t="shared" si="1"/>
        <v>0.01</v>
      </c>
      <c r="E9" s="343">
        <v>0.03</v>
      </c>
      <c r="F9" s="348"/>
      <c r="G9" s="349"/>
      <c r="H9" s="346">
        <v>0.01</v>
      </c>
      <c r="I9" s="370">
        <f t="shared" si="2"/>
        <v>0.02</v>
      </c>
      <c r="J9" s="370">
        <f t="shared" si="3"/>
        <v>0.01</v>
      </c>
      <c r="K9" s="371">
        <v>0</v>
      </c>
      <c r="L9" s="370">
        <f t="shared" si="0"/>
        <v>-0.01</v>
      </c>
      <c r="M9" s="370">
        <f t="shared" si="0"/>
        <v>-0.02</v>
      </c>
    </row>
    <row r="10" ht="14.25" spans="1:13">
      <c r="A10" s="352" t="s">
        <v>2113</v>
      </c>
      <c r="B10" s="250" t="str">
        <f>估价对象房地状况!C7</f>
        <v>估价对象所在区域公共配套设施齐备情况</v>
      </c>
      <c r="C10" s="341" t="s">
        <v>1060</v>
      </c>
      <c r="D10" s="342">
        <f t="shared" si="1"/>
        <v>0.04</v>
      </c>
      <c r="E10" s="343">
        <v>0.05</v>
      </c>
      <c r="F10" s="348"/>
      <c r="G10" s="349"/>
      <c r="H10" s="346">
        <v>0.02</v>
      </c>
      <c r="I10" s="370">
        <f t="shared" si="2"/>
        <v>0.04</v>
      </c>
      <c r="J10" s="370">
        <f t="shared" si="3"/>
        <v>0.02</v>
      </c>
      <c r="K10" s="371">
        <v>0</v>
      </c>
      <c r="L10" s="370">
        <f t="shared" si="0"/>
        <v>-0.02</v>
      </c>
      <c r="M10" s="370">
        <f t="shared" si="0"/>
        <v>-0.04</v>
      </c>
    </row>
    <row r="11" ht="14.25" spans="1:13">
      <c r="A11" s="352" t="s">
        <v>2114</v>
      </c>
      <c r="B11" s="353"/>
      <c r="C11" s="341" t="s">
        <v>2105</v>
      </c>
      <c r="D11" s="342">
        <f t="shared" si="1"/>
        <v>0</v>
      </c>
      <c r="E11" s="343">
        <v>0.1</v>
      </c>
      <c r="F11" s="348"/>
      <c r="G11" s="349"/>
      <c r="H11" s="346">
        <v>0.01</v>
      </c>
      <c r="I11" s="370">
        <f t="shared" si="2"/>
        <v>0.02</v>
      </c>
      <c r="J11" s="370">
        <f t="shared" si="3"/>
        <v>0.01</v>
      </c>
      <c r="K11" s="371">
        <v>0</v>
      </c>
      <c r="L11" s="370">
        <f t="shared" si="0"/>
        <v>-0.01</v>
      </c>
      <c r="M11" s="370">
        <f t="shared" si="0"/>
        <v>-0.02</v>
      </c>
    </row>
    <row r="12" ht="15" spans="1:13">
      <c r="A12" s="354" t="s">
        <v>2115</v>
      </c>
      <c r="B12" s="355" t="str">
        <f>估价对象房地状况!C9</f>
        <v>区域自然环境：；人文环境；综合评价环境状况一般</v>
      </c>
      <c r="C12" s="341" t="s">
        <v>1060</v>
      </c>
      <c r="D12" s="342">
        <f t="shared" si="1"/>
        <v>0.04</v>
      </c>
      <c r="E12" s="356">
        <v>0.06</v>
      </c>
      <c r="F12" s="357"/>
      <c r="G12" s="349"/>
      <c r="H12" s="346">
        <v>0.02</v>
      </c>
      <c r="I12" s="370">
        <f t="shared" si="2"/>
        <v>0.04</v>
      </c>
      <c r="J12" s="370">
        <f t="shared" si="3"/>
        <v>0.02</v>
      </c>
      <c r="K12" s="371">
        <v>0</v>
      </c>
      <c r="L12" s="370">
        <f t="shared" si="0"/>
        <v>-0.02</v>
      </c>
      <c r="M12" s="370">
        <f t="shared" si="0"/>
        <v>-0.04</v>
      </c>
    </row>
    <row r="13" customHeight="1" spans="1:13">
      <c r="A13" s="330" t="s">
        <v>1734</v>
      </c>
      <c r="B13" s="331">
        <f>1+F15</f>
        <v>1.0149</v>
      </c>
      <c r="C13" s="358"/>
      <c r="D13" s="333"/>
      <c r="E13" s="333"/>
      <c r="F13" s="334"/>
      <c r="G13" s="335"/>
      <c r="H13" s="328"/>
      <c r="I13" s="280"/>
      <c r="J13" s="280"/>
      <c r="K13" s="280"/>
      <c r="L13" s="280"/>
      <c r="M13" s="280"/>
    </row>
    <row r="14" customHeight="1" spans="1:13">
      <c r="A14" s="247" t="s">
        <v>2091</v>
      </c>
      <c r="B14" s="248"/>
      <c r="C14" s="336" t="s">
        <v>2093</v>
      </c>
      <c r="D14" s="337" t="s">
        <v>2094</v>
      </c>
      <c r="E14" s="337" t="s">
        <v>2095</v>
      </c>
      <c r="F14" s="338" t="s">
        <v>2096</v>
      </c>
      <c r="G14" s="339" t="s">
        <v>2097</v>
      </c>
      <c r="H14" s="337" t="s">
        <v>1445</v>
      </c>
      <c r="I14" s="369" t="s">
        <v>2098</v>
      </c>
      <c r="J14" s="369" t="s">
        <v>2099</v>
      </c>
      <c r="K14" s="369" t="s">
        <v>2100</v>
      </c>
      <c r="L14" s="369" t="s">
        <v>2101</v>
      </c>
      <c r="M14" s="369" t="s">
        <v>2102</v>
      </c>
    </row>
    <row r="15" ht="24" spans="1:13">
      <c r="A15" s="247" t="s">
        <v>2116</v>
      </c>
      <c r="B15" s="340" t="str">
        <f>估价对象房地状况!C5</f>
        <v>估价对象位于XX商圈，周边办公楼项目较多，入驻率高，办公集聚程度较好</v>
      </c>
      <c r="C15" s="341" t="s">
        <v>1059</v>
      </c>
      <c r="D15" s="342">
        <f t="shared" ref="D15:D23" si="4">SUMIF($I$3:$M$3,C15,I15:M15)</f>
        <v>0.02</v>
      </c>
      <c r="E15" s="343">
        <v>0.24</v>
      </c>
      <c r="F15" s="344">
        <f>D15*E15+D16*E16+D17*E17+D18*E18+D19*E19+D20*E20+D21*E21+D22*E22+D23*E23</f>
        <v>0.0149</v>
      </c>
      <c r="G15" s="345" t="str">
        <f>IF(基准地价修正!E2="办公",SUMIF(基准地价修正!L1:L12,基准地价修正!G2,基准地价修正!N1:N12),"——")</f>
        <v>——</v>
      </c>
      <c r="H15" s="346">
        <v>0.02</v>
      </c>
      <c r="I15" s="370">
        <f>J15+$H15</f>
        <v>0.04</v>
      </c>
      <c r="J15" s="370">
        <f>$K15+$H15</f>
        <v>0.02</v>
      </c>
      <c r="K15" s="371">
        <v>0</v>
      </c>
      <c r="L15" s="370">
        <f t="shared" ref="L15:M23" si="5">K15-$H15</f>
        <v>-0.02</v>
      </c>
      <c r="M15" s="370">
        <f t="shared" si="5"/>
        <v>-0.04</v>
      </c>
    </row>
    <row r="16" ht="24" spans="1:13">
      <c r="A16" s="247" t="s">
        <v>2104</v>
      </c>
      <c r="B16" s="248" t="str">
        <f>估价对象房地状况!C6</f>
        <v>估价对象周边道路状况、公共交通通达情况、停车便捷程度，综合评价交通便捷度较好</v>
      </c>
      <c r="C16" s="341" t="s">
        <v>1059</v>
      </c>
      <c r="D16" s="342">
        <f t="shared" si="4"/>
        <v>0.01</v>
      </c>
      <c r="E16" s="343">
        <v>0.3</v>
      </c>
      <c r="F16" s="348"/>
      <c r="G16" s="349"/>
      <c r="H16" s="346">
        <v>0.01</v>
      </c>
      <c r="I16" s="370">
        <f t="shared" ref="I16:I23" si="6">J16+$H16</f>
        <v>0.02</v>
      </c>
      <c r="J16" s="370">
        <f t="shared" ref="J16:J23" si="7">$K16+$H16</f>
        <v>0.01</v>
      </c>
      <c r="K16" s="371">
        <v>0</v>
      </c>
      <c r="L16" s="370">
        <f t="shared" si="5"/>
        <v>-0.01</v>
      </c>
      <c r="M16" s="370">
        <f t="shared" si="5"/>
        <v>-0.02</v>
      </c>
    </row>
    <row r="17" ht="14.25" spans="1:13">
      <c r="A17" s="247" t="s">
        <v>2106</v>
      </c>
      <c r="B17" s="248">
        <f>估价对象房地状况!C19</f>
        <v>0</v>
      </c>
      <c r="C17" s="341" t="s">
        <v>1059</v>
      </c>
      <c r="D17" s="342">
        <f t="shared" si="4"/>
        <v>0.02</v>
      </c>
      <c r="E17" s="343">
        <v>0.08</v>
      </c>
      <c r="F17" s="348"/>
      <c r="G17" s="349"/>
      <c r="H17" s="346">
        <v>0.02</v>
      </c>
      <c r="I17" s="370">
        <f t="shared" si="6"/>
        <v>0.04</v>
      </c>
      <c r="J17" s="370">
        <f t="shared" si="7"/>
        <v>0.02</v>
      </c>
      <c r="K17" s="371">
        <v>0</v>
      </c>
      <c r="L17" s="370">
        <f t="shared" si="5"/>
        <v>-0.02</v>
      </c>
      <c r="M17" s="370">
        <f t="shared" si="5"/>
        <v>-0.04</v>
      </c>
    </row>
    <row r="18" ht="24" spans="1:13">
      <c r="A18" s="247" t="s">
        <v>2107</v>
      </c>
      <c r="B18" s="350" t="s">
        <v>2108</v>
      </c>
      <c r="C18" s="341" t="s">
        <v>1059</v>
      </c>
      <c r="D18" s="342">
        <f t="shared" si="4"/>
        <v>0.01</v>
      </c>
      <c r="E18" s="343">
        <v>0.04</v>
      </c>
      <c r="F18" s="348"/>
      <c r="G18" s="349"/>
      <c r="H18" s="346">
        <v>0.01</v>
      </c>
      <c r="I18" s="370">
        <f t="shared" si="6"/>
        <v>0.02</v>
      </c>
      <c r="J18" s="370">
        <f t="shared" si="7"/>
        <v>0.01</v>
      </c>
      <c r="K18" s="371">
        <v>0</v>
      </c>
      <c r="L18" s="370">
        <f t="shared" si="5"/>
        <v>-0.01</v>
      </c>
      <c r="M18" s="370">
        <f t="shared" si="5"/>
        <v>-0.02</v>
      </c>
    </row>
    <row r="19" ht="14.25" spans="1:13">
      <c r="A19" s="247" t="s">
        <v>2110</v>
      </c>
      <c r="B19" s="248">
        <f>估价对象房地状况!C10</f>
        <v>0</v>
      </c>
      <c r="C19" s="341" t="s">
        <v>1059</v>
      </c>
      <c r="D19" s="342">
        <f t="shared" si="4"/>
        <v>0.02</v>
      </c>
      <c r="E19" s="343">
        <v>0.05</v>
      </c>
      <c r="F19" s="348"/>
      <c r="G19" s="349"/>
      <c r="H19" s="346">
        <v>0.02</v>
      </c>
      <c r="I19" s="370">
        <f t="shared" si="6"/>
        <v>0.04</v>
      </c>
      <c r="J19" s="370">
        <f t="shared" si="7"/>
        <v>0.02</v>
      </c>
      <c r="K19" s="371">
        <v>0</v>
      </c>
      <c r="L19" s="370">
        <f t="shared" si="5"/>
        <v>-0.02</v>
      </c>
      <c r="M19" s="370">
        <f t="shared" si="5"/>
        <v>-0.04</v>
      </c>
    </row>
    <row r="20" ht="14.25" spans="1:13">
      <c r="A20" s="247" t="s">
        <v>2111</v>
      </c>
      <c r="B20" s="351" t="s">
        <v>2112</v>
      </c>
      <c r="C20" s="341" t="s">
        <v>1059</v>
      </c>
      <c r="D20" s="342">
        <f t="shared" si="4"/>
        <v>0.01</v>
      </c>
      <c r="E20" s="343">
        <v>0.05</v>
      </c>
      <c r="F20" s="348"/>
      <c r="G20" s="349"/>
      <c r="H20" s="346">
        <v>0.01</v>
      </c>
      <c r="I20" s="370">
        <f t="shared" si="6"/>
        <v>0.02</v>
      </c>
      <c r="J20" s="370">
        <f t="shared" si="7"/>
        <v>0.01</v>
      </c>
      <c r="K20" s="371">
        <v>0</v>
      </c>
      <c r="L20" s="370">
        <f t="shared" si="5"/>
        <v>-0.01</v>
      </c>
      <c r="M20" s="370">
        <f t="shared" si="5"/>
        <v>-0.02</v>
      </c>
    </row>
    <row r="21" ht="14.25" spans="1:13">
      <c r="A21" s="247" t="s">
        <v>2113</v>
      </c>
      <c r="B21" s="250" t="str">
        <f>估价对象房地状况!C7</f>
        <v>估价对象所在区域公共配套设施齐备情况</v>
      </c>
      <c r="C21" s="341" t="s">
        <v>1059</v>
      </c>
      <c r="D21" s="342">
        <f t="shared" si="4"/>
        <v>0.02</v>
      </c>
      <c r="E21" s="343">
        <v>0.06</v>
      </c>
      <c r="F21" s="348"/>
      <c r="G21" s="349"/>
      <c r="H21" s="346">
        <v>0.02</v>
      </c>
      <c r="I21" s="370">
        <f t="shared" si="6"/>
        <v>0.04</v>
      </c>
      <c r="J21" s="370">
        <f t="shared" si="7"/>
        <v>0.02</v>
      </c>
      <c r="K21" s="371">
        <v>0</v>
      </c>
      <c r="L21" s="370">
        <f t="shared" si="5"/>
        <v>-0.02</v>
      </c>
      <c r="M21" s="370">
        <f t="shared" si="5"/>
        <v>-0.04</v>
      </c>
    </row>
    <row r="22" ht="14.25" spans="1:13">
      <c r="A22" s="247" t="s">
        <v>2114</v>
      </c>
      <c r="B22" s="353"/>
      <c r="C22" s="341" t="s">
        <v>1059</v>
      </c>
      <c r="D22" s="342">
        <f t="shared" si="4"/>
        <v>0.01</v>
      </c>
      <c r="E22" s="343">
        <v>0.12</v>
      </c>
      <c r="F22" s="348"/>
      <c r="G22" s="349"/>
      <c r="H22" s="346">
        <v>0.01</v>
      </c>
      <c r="I22" s="370">
        <f t="shared" si="6"/>
        <v>0.02</v>
      </c>
      <c r="J22" s="370">
        <f t="shared" si="7"/>
        <v>0.01</v>
      </c>
      <c r="K22" s="371">
        <v>0</v>
      </c>
      <c r="L22" s="370">
        <f t="shared" si="5"/>
        <v>-0.01</v>
      </c>
      <c r="M22" s="370">
        <f t="shared" si="5"/>
        <v>-0.02</v>
      </c>
    </row>
    <row r="23" ht="15" spans="1:13">
      <c r="A23" s="354" t="s">
        <v>2115</v>
      </c>
      <c r="B23" s="359" t="str">
        <f>估价对象房地状况!C9</f>
        <v>区域自然环境：；人文环境；综合评价环境状况一般</v>
      </c>
      <c r="C23" s="341" t="s">
        <v>1059</v>
      </c>
      <c r="D23" s="342">
        <f t="shared" si="4"/>
        <v>0.02</v>
      </c>
      <c r="E23" s="356">
        <v>0.06</v>
      </c>
      <c r="F23" s="357"/>
      <c r="G23" s="349"/>
      <c r="H23" s="346">
        <v>0.02</v>
      </c>
      <c r="I23" s="370">
        <f t="shared" si="6"/>
        <v>0.04</v>
      </c>
      <c r="J23" s="370">
        <f t="shared" si="7"/>
        <v>0.02</v>
      </c>
      <c r="K23" s="371">
        <v>0</v>
      </c>
      <c r="L23" s="370">
        <f t="shared" si="5"/>
        <v>-0.02</v>
      </c>
      <c r="M23" s="370">
        <f t="shared" si="5"/>
        <v>-0.04</v>
      </c>
    </row>
    <row r="24" customHeight="1" spans="1:13">
      <c r="A24" s="330" t="s">
        <v>461</v>
      </c>
      <c r="B24" s="331">
        <f>1+F26</f>
        <v>1.0597</v>
      </c>
      <c r="C24" s="358"/>
      <c r="D24" s="333"/>
      <c r="E24" s="333"/>
      <c r="F24" s="334"/>
      <c r="G24" s="335"/>
      <c r="H24" s="328"/>
      <c r="I24" s="280"/>
      <c r="J24" s="280"/>
      <c r="K24" s="280"/>
      <c r="L24" s="280"/>
      <c r="M24" s="280"/>
    </row>
    <row r="25" ht="13.5" spans="1:13">
      <c r="A25" s="247" t="s">
        <v>2091</v>
      </c>
      <c r="B25" s="248"/>
      <c r="C25" s="336" t="s">
        <v>2093</v>
      </c>
      <c r="D25" s="337" t="s">
        <v>2094</v>
      </c>
      <c r="E25" s="337" t="s">
        <v>2095</v>
      </c>
      <c r="F25" s="338" t="s">
        <v>2096</v>
      </c>
      <c r="G25" s="339" t="s">
        <v>2097</v>
      </c>
      <c r="H25" s="337" t="s">
        <v>1445</v>
      </c>
      <c r="I25" s="369" t="s">
        <v>2098</v>
      </c>
      <c r="J25" s="369" t="s">
        <v>2099</v>
      </c>
      <c r="K25" s="369" t="s">
        <v>2100</v>
      </c>
      <c r="L25" s="369" t="s">
        <v>2101</v>
      </c>
      <c r="M25" s="369" t="s">
        <v>2102</v>
      </c>
    </row>
    <row r="26" ht="24" spans="1:13">
      <c r="A26" s="247" t="s">
        <v>2117</v>
      </c>
      <c r="B26" s="340" t="str">
        <f>估价对象房地状况!C3</f>
        <v>估价对象周边居住用地比例、居住小区规模和社区发展完善程度，综合评价居住社区成熟度一般</v>
      </c>
      <c r="C26" s="341" t="s">
        <v>1059</v>
      </c>
      <c r="D26" s="342">
        <f t="shared" ref="D26:D34" si="8">SUMIF($I$3:$M$3,C26,I26:M26)</f>
        <v>0.08</v>
      </c>
      <c r="E26" s="343">
        <v>0.14</v>
      </c>
      <c r="F26" s="344">
        <f>D26*E26+D27*E27+D28*E28+D29*E29+D30*E30+D32*E32+D31*E31+D33*E33+D34*E34</f>
        <v>0.0597</v>
      </c>
      <c r="G26" s="345">
        <f>IF(基准地价修正!E2="住宅",SUMIF(基准地价修正!L1:L12,基准地价修正!G2,基准地价修正!N1:N12),"——")</f>
        <v>0</v>
      </c>
      <c r="H26" s="346">
        <v>0.08</v>
      </c>
      <c r="I26" s="370">
        <f>J26+$H26</f>
        <v>0.16</v>
      </c>
      <c r="J26" s="370">
        <f>$K26+$H26</f>
        <v>0.08</v>
      </c>
      <c r="K26" s="371">
        <v>0</v>
      </c>
      <c r="L26" s="370">
        <f t="shared" ref="L26:M34" si="9">K26-$H26</f>
        <v>-0.08</v>
      </c>
      <c r="M26" s="370">
        <f t="shared" si="9"/>
        <v>-0.16</v>
      </c>
    </row>
    <row r="27" ht="24" spans="1:13">
      <c r="A27" s="247" t="s">
        <v>2104</v>
      </c>
      <c r="B27" s="248" t="str">
        <f>估价对象房地状况!C6</f>
        <v>估价对象周边道路状况、公共交通通达情况、停车便捷程度，综合评价交通便捷度较好</v>
      </c>
      <c r="C27" s="341" t="s">
        <v>1059</v>
      </c>
      <c r="D27" s="342">
        <f t="shared" si="8"/>
        <v>0.08</v>
      </c>
      <c r="E27" s="343">
        <v>0.3</v>
      </c>
      <c r="F27" s="360"/>
      <c r="G27" s="361"/>
      <c r="H27" s="346">
        <v>0.08</v>
      </c>
      <c r="I27" s="370">
        <f t="shared" ref="I27:I34" si="10">J27+$H27</f>
        <v>0.16</v>
      </c>
      <c r="J27" s="370">
        <f t="shared" ref="J27:J34" si="11">$K27+$H27</f>
        <v>0.08</v>
      </c>
      <c r="K27" s="371">
        <v>0</v>
      </c>
      <c r="L27" s="370">
        <f t="shared" si="9"/>
        <v>-0.08</v>
      </c>
      <c r="M27" s="370">
        <f t="shared" si="9"/>
        <v>-0.16</v>
      </c>
    </row>
    <row r="28" ht="14.25" spans="1:13">
      <c r="A28" s="247" t="s">
        <v>2106</v>
      </c>
      <c r="B28" s="248">
        <f>估价对象房地状况!C19</f>
        <v>0</v>
      </c>
      <c r="C28" s="341" t="s">
        <v>1059</v>
      </c>
      <c r="D28" s="342">
        <f t="shared" si="8"/>
        <v>0.03</v>
      </c>
      <c r="E28" s="343">
        <v>0.08</v>
      </c>
      <c r="F28" s="360"/>
      <c r="G28" s="361"/>
      <c r="H28" s="346">
        <v>0.03</v>
      </c>
      <c r="I28" s="370">
        <f t="shared" si="10"/>
        <v>0.06</v>
      </c>
      <c r="J28" s="370">
        <f t="shared" si="11"/>
        <v>0.03</v>
      </c>
      <c r="K28" s="371">
        <v>0</v>
      </c>
      <c r="L28" s="370">
        <f t="shared" si="9"/>
        <v>-0.03</v>
      </c>
      <c r="M28" s="370">
        <f t="shared" si="9"/>
        <v>-0.06</v>
      </c>
    </row>
    <row r="29" ht="14.25" spans="1:13">
      <c r="A29" s="247" t="s">
        <v>2118</v>
      </c>
      <c r="B29" s="248">
        <f>估价对象房地状况!C10</f>
        <v>0</v>
      </c>
      <c r="C29" s="341" t="s">
        <v>1060</v>
      </c>
      <c r="D29" s="342">
        <f t="shared" si="8"/>
        <v>0.05</v>
      </c>
      <c r="E29" s="343">
        <v>0.04</v>
      </c>
      <c r="F29" s="360"/>
      <c r="G29" s="361"/>
      <c r="H29" s="346">
        <v>0.025</v>
      </c>
      <c r="I29" s="370">
        <f t="shared" si="10"/>
        <v>0.05</v>
      </c>
      <c r="J29" s="370">
        <f t="shared" si="11"/>
        <v>0.025</v>
      </c>
      <c r="K29" s="371">
        <v>0</v>
      </c>
      <c r="L29" s="370">
        <f t="shared" si="9"/>
        <v>-0.025</v>
      </c>
      <c r="M29" s="370">
        <f t="shared" si="9"/>
        <v>-0.05</v>
      </c>
    </row>
    <row r="30" s="317" customFormat="1" ht="14.25" spans="1:20">
      <c r="A30" s="247" t="s">
        <v>2113</v>
      </c>
      <c r="B30" s="250" t="str">
        <f>估价对象房地状况!C7</f>
        <v>估价对象所在区域公共配套设施齐备情况</v>
      </c>
      <c r="C30" s="341" t="s">
        <v>1059</v>
      </c>
      <c r="D30" s="342">
        <f t="shared" si="8"/>
        <v>0.03</v>
      </c>
      <c r="E30" s="343">
        <v>0.08</v>
      </c>
      <c r="F30" s="360"/>
      <c r="G30" s="361"/>
      <c r="H30" s="346">
        <v>0.03</v>
      </c>
      <c r="I30" s="370">
        <f t="shared" si="10"/>
        <v>0.06</v>
      </c>
      <c r="J30" s="370">
        <f t="shared" si="11"/>
        <v>0.03</v>
      </c>
      <c r="K30" s="371">
        <v>0</v>
      </c>
      <c r="L30" s="370">
        <f t="shared" si="9"/>
        <v>-0.03</v>
      </c>
      <c r="M30" s="370">
        <f t="shared" si="9"/>
        <v>-0.06</v>
      </c>
      <c r="N30" s="318"/>
      <c r="O30" s="318"/>
      <c r="P30" s="318"/>
      <c r="Q30" s="318"/>
      <c r="R30" s="318"/>
      <c r="S30" s="318"/>
      <c r="T30" s="318"/>
    </row>
    <row r="31" ht="14.25" spans="1:13">
      <c r="A31" s="247" t="s">
        <v>2114</v>
      </c>
      <c r="B31" s="353"/>
      <c r="C31" s="341" t="s">
        <v>1060</v>
      </c>
      <c r="D31" s="342">
        <f t="shared" si="8"/>
        <v>0.06</v>
      </c>
      <c r="E31" s="343">
        <v>0.12</v>
      </c>
      <c r="F31" s="360"/>
      <c r="G31" s="361"/>
      <c r="H31" s="346">
        <v>0.03</v>
      </c>
      <c r="I31" s="370">
        <f t="shared" si="10"/>
        <v>0.06</v>
      </c>
      <c r="J31" s="370">
        <f t="shared" si="11"/>
        <v>0.03</v>
      </c>
      <c r="K31" s="371">
        <v>0</v>
      </c>
      <c r="L31" s="370">
        <f t="shared" si="9"/>
        <v>-0.03</v>
      </c>
      <c r="M31" s="370">
        <f t="shared" si="9"/>
        <v>-0.06</v>
      </c>
    </row>
    <row r="32" ht="14.25" spans="1:13">
      <c r="A32" s="247" t="s">
        <v>2111</v>
      </c>
      <c r="B32" s="351" t="s">
        <v>2112</v>
      </c>
      <c r="C32" s="341" t="s">
        <v>1059</v>
      </c>
      <c r="D32" s="342">
        <f t="shared" si="8"/>
        <v>0.03</v>
      </c>
      <c r="E32" s="343">
        <v>0.05</v>
      </c>
      <c r="F32" s="360"/>
      <c r="G32" s="361"/>
      <c r="H32" s="346">
        <v>0.03</v>
      </c>
      <c r="I32" s="370">
        <f t="shared" si="10"/>
        <v>0.06</v>
      </c>
      <c r="J32" s="370">
        <f t="shared" si="11"/>
        <v>0.03</v>
      </c>
      <c r="K32" s="371">
        <v>0</v>
      </c>
      <c r="L32" s="370">
        <f t="shared" si="9"/>
        <v>-0.03</v>
      </c>
      <c r="M32" s="370">
        <f t="shared" si="9"/>
        <v>-0.06</v>
      </c>
    </row>
    <row r="33" ht="14.25" spans="1:13">
      <c r="A33" s="247" t="s">
        <v>2115</v>
      </c>
      <c r="B33" s="340" t="str">
        <f>估价对象房地状况!C9</f>
        <v>区域自然环境：；人文环境；综合评价环境状况一般</v>
      </c>
      <c r="C33" s="341" t="s">
        <v>1059</v>
      </c>
      <c r="D33" s="342">
        <f t="shared" si="8"/>
        <v>0.06</v>
      </c>
      <c r="E33" s="343">
        <v>0.15</v>
      </c>
      <c r="F33" s="360"/>
      <c r="G33" s="361"/>
      <c r="H33" s="346">
        <v>0.06</v>
      </c>
      <c r="I33" s="370">
        <f t="shared" si="10"/>
        <v>0.12</v>
      </c>
      <c r="J33" s="370">
        <f t="shared" si="11"/>
        <v>0.06</v>
      </c>
      <c r="K33" s="371">
        <v>0</v>
      </c>
      <c r="L33" s="370">
        <f t="shared" si="9"/>
        <v>-0.06</v>
      </c>
      <c r="M33" s="370">
        <f t="shared" si="9"/>
        <v>-0.12</v>
      </c>
    </row>
    <row r="34" ht="15" spans="1:13">
      <c r="A34" s="354" t="s">
        <v>2119</v>
      </c>
      <c r="B34" s="362" t="s">
        <v>2120</v>
      </c>
      <c r="C34" s="341" t="s">
        <v>2105</v>
      </c>
      <c r="D34" s="342">
        <f t="shared" si="8"/>
        <v>0</v>
      </c>
      <c r="E34" s="356">
        <v>0.04</v>
      </c>
      <c r="F34" s="363"/>
      <c r="G34" s="361"/>
      <c r="H34" s="346">
        <v>0.03</v>
      </c>
      <c r="I34" s="370">
        <f t="shared" si="10"/>
        <v>0.06</v>
      </c>
      <c r="J34" s="370">
        <f t="shared" si="11"/>
        <v>0.03</v>
      </c>
      <c r="K34" s="371">
        <v>0</v>
      </c>
      <c r="L34" s="370">
        <f t="shared" si="9"/>
        <v>-0.03</v>
      </c>
      <c r="M34" s="370">
        <f t="shared" si="9"/>
        <v>-0.06</v>
      </c>
    </row>
    <row r="35" ht="15" spans="1:13">
      <c r="A35" s="330" t="s">
        <v>1735</v>
      </c>
      <c r="B35" s="331">
        <f>1+F37</f>
        <v>1.0128</v>
      </c>
      <c r="C35" s="358"/>
      <c r="D35" s="333"/>
      <c r="E35" s="333"/>
      <c r="F35" s="334"/>
      <c r="G35" s="335"/>
      <c r="H35" s="328"/>
      <c r="I35" s="280"/>
      <c r="J35" s="280"/>
      <c r="K35" s="280"/>
      <c r="L35" s="280"/>
      <c r="M35" s="280"/>
    </row>
    <row r="36" ht="13.5" spans="1:13">
      <c r="A36" s="247" t="s">
        <v>2091</v>
      </c>
      <c r="B36" s="248"/>
      <c r="C36" s="336" t="s">
        <v>2093</v>
      </c>
      <c r="D36" s="337" t="s">
        <v>2094</v>
      </c>
      <c r="E36" s="337" t="s">
        <v>2095</v>
      </c>
      <c r="F36" s="338" t="s">
        <v>2096</v>
      </c>
      <c r="G36" s="339" t="s">
        <v>2097</v>
      </c>
      <c r="H36" s="337" t="s">
        <v>1445</v>
      </c>
      <c r="I36" s="369" t="s">
        <v>2098</v>
      </c>
      <c r="J36" s="369" t="s">
        <v>2099</v>
      </c>
      <c r="K36" s="369" t="s">
        <v>2100</v>
      </c>
      <c r="L36" s="369" t="s">
        <v>2101</v>
      </c>
      <c r="M36" s="369" t="s">
        <v>2102</v>
      </c>
    </row>
    <row r="37" ht="24" spans="1:13">
      <c r="A37" s="247" t="s">
        <v>2121</v>
      </c>
      <c r="B37" s="248" t="str">
        <f>估价对象房地状况!G3</f>
        <v>估价对象位于XX开发区，园区建设成熟度XX，产业集聚程度XX</v>
      </c>
      <c r="C37" s="341" t="s">
        <v>1059</v>
      </c>
      <c r="D37" s="342">
        <f t="shared" ref="D37:D44" si="12">SUMIF($I$3:$M$3,C37,I37:M37)</f>
        <v>0.02</v>
      </c>
      <c r="E37" s="343">
        <v>0.26</v>
      </c>
      <c r="F37" s="344">
        <f>D37*E37+D38*E38+D39*E39+D40*E40+D41*E41+D43*E43+D42*E42+D44*E44</f>
        <v>0.0128</v>
      </c>
      <c r="G37" s="345" t="str">
        <f>IF(基准地价修正!E2="工业",SUMIF(基准地价修正!L1:L12,基准地价修正!G2,基准地价修正!N1:N12),"——")</f>
        <v>——</v>
      </c>
      <c r="H37" s="346">
        <v>0.02</v>
      </c>
      <c r="I37" s="370">
        <f>J37+$H37</f>
        <v>0.04</v>
      </c>
      <c r="J37" s="370">
        <f>$K37+$H37</f>
        <v>0.02</v>
      </c>
      <c r="K37" s="371">
        <v>0</v>
      </c>
      <c r="L37" s="370">
        <f t="shared" ref="L37:M44" si="13">K37-$H37</f>
        <v>-0.02</v>
      </c>
      <c r="M37" s="370">
        <f t="shared" si="13"/>
        <v>-0.04</v>
      </c>
    </row>
    <row r="38" ht="24" spans="1:13">
      <c r="A38" s="247" t="s">
        <v>2104</v>
      </c>
      <c r="B38" s="248" t="str">
        <f>估价对象房地状况!G4</f>
        <v>估价对象周边道路状况、公共交通通达情况、停车便捷程度，综合评价交通便捷度较好</v>
      </c>
      <c r="C38" s="341" t="s">
        <v>1059</v>
      </c>
      <c r="D38" s="342">
        <f t="shared" si="12"/>
        <v>0.01</v>
      </c>
      <c r="E38" s="343">
        <v>0.33</v>
      </c>
      <c r="F38" s="360"/>
      <c r="G38" s="361"/>
      <c r="H38" s="346">
        <v>0.01</v>
      </c>
      <c r="I38" s="370">
        <f t="shared" ref="I38:I44" si="14">J38+$H38</f>
        <v>0.02</v>
      </c>
      <c r="J38" s="370">
        <f t="shared" ref="J38:J44" si="15">$K38+$H38</f>
        <v>0.01</v>
      </c>
      <c r="K38" s="371">
        <v>0</v>
      </c>
      <c r="L38" s="370">
        <f t="shared" si="13"/>
        <v>-0.01</v>
      </c>
      <c r="M38" s="370">
        <f t="shared" si="13"/>
        <v>-0.02</v>
      </c>
    </row>
    <row r="39" ht="14.25" spans="1:13">
      <c r="A39" s="247" t="s">
        <v>2106</v>
      </c>
      <c r="B39" s="248">
        <f>估价对象房地状况!G17</f>
        <v>0</v>
      </c>
      <c r="C39" s="341" t="s">
        <v>1059</v>
      </c>
      <c r="D39" s="342">
        <f t="shared" si="12"/>
        <v>0.02</v>
      </c>
      <c r="E39" s="343">
        <v>0.05</v>
      </c>
      <c r="F39" s="360"/>
      <c r="G39" s="361"/>
      <c r="H39" s="346">
        <v>0.02</v>
      </c>
      <c r="I39" s="370">
        <f t="shared" si="14"/>
        <v>0.04</v>
      </c>
      <c r="J39" s="370">
        <f t="shared" si="15"/>
        <v>0.02</v>
      </c>
      <c r="K39" s="371">
        <v>0</v>
      </c>
      <c r="L39" s="370">
        <f t="shared" si="13"/>
        <v>-0.02</v>
      </c>
      <c r="M39" s="370">
        <f t="shared" si="13"/>
        <v>-0.04</v>
      </c>
    </row>
    <row r="40" ht="14.25" spans="1:13">
      <c r="A40" s="247" t="s">
        <v>2118</v>
      </c>
      <c r="B40" s="248">
        <f>估价对象房地状况!G22</f>
        <v>0</v>
      </c>
      <c r="C40" s="341" t="s">
        <v>1059</v>
      </c>
      <c r="D40" s="342">
        <f t="shared" si="12"/>
        <v>0.01</v>
      </c>
      <c r="E40" s="343">
        <v>0.04</v>
      </c>
      <c r="F40" s="360"/>
      <c r="G40" s="361"/>
      <c r="H40" s="346">
        <v>0.01</v>
      </c>
      <c r="I40" s="370">
        <f t="shared" si="14"/>
        <v>0.02</v>
      </c>
      <c r="J40" s="370">
        <f t="shared" si="15"/>
        <v>0.01</v>
      </c>
      <c r="K40" s="371">
        <v>0</v>
      </c>
      <c r="L40" s="370">
        <f t="shared" si="13"/>
        <v>-0.01</v>
      </c>
      <c r="M40" s="370">
        <f t="shared" si="13"/>
        <v>-0.02</v>
      </c>
    </row>
    <row r="41" ht="14.25" spans="1:13">
      <c r="A41" s="247" t="s">
        <v>2113</v>
      </c>
      <c r="B41" s="250" t="str">
        <f>估价对象房地状况!G19</f>
        <v>估价对象所在区域公共配套设施齐备情况</v>
      </c>
      <c r="C41" s="341" t="s">
        <v>1059</v>
      </c>
      <c r="D41" s="342">
        <f t="shared" si="12"/>
        <v>0.02</v>
      </c>
      <c r="E41" s="343">
        <v>0.06</v>
      </c>
      <c r="F41" s="360"/>
      <c r="G41" s="361"/>
      <c r="H41" s="346">
        <v>0.02</v>
      </c>
      <c r="I41" s="370">
        <f t="shared" si="14"/>
        <v>0.04</v>
      </c>
      <c r="J41" s="370">
        <f t="shared" si="15"/>
        <v>0.02</v>
      </c>
      <c r="K41" s="371">
        <v>0</v>
      </c>
      <c r="L41" s="370">
        <f t="shared" si="13"/>
        <v>-0.02</v>
      </c>
      <c r="M41" s="370">
        <f t="shared" si="13"/>
        <v>-0.04</v>
      </c>
    </row>
    <row r="42" ht="14.25" spans="1:13">
      <c r="A42" s="247" t="s">
        <v>2114</v>
      </c>
      <c r="B42" s="353"/>
      <c r="C42" s="341" t="s">
        <v>1059</v>
      </c>
      <c r="D42" s="342">
        <f t="shared" si="12"/>
        <v>0.01</v>
      </c>
      <c r="E42" s="343">
        <v>0.15</v>
      </c>
      <c r="F42" s="360"/>
      <c r="G42" s="361"/>
      <c r="H42" s="346">
        <v>0.01</v>
      </c>
      <c r="I42" s="370">
        <f t="shared" si="14"/>
        <v>0.02</v>
      </c>
      <c r="J42" s="370">
        <f t="shared" si="15"/>
        <v>0.01</v>
      </c>
      <c r="K42" s="371">
        <v>0</v>
      </c>
      <c r="L42" s="370">
        <f t="shared" si="13"/>
        <v>-0.01</v>
      </c>
      <c r="M42" s="370">
        <f t="shared" si="13"/>
        <v>-0.02</v>
      </c>
    </row>
    <row r="43" ht="14.25" spans="1:13">
      <c r="A43" s="247" t="s">
        <v>2111</v>
      </c>
      <c r="B43" s="351" t="s">
        <v>2112</v>
      </c>
      <c r="C43" s="341" t="s">
        <v>2122</v>
      </c>
      <c r="D43" s="342">
        <f t="shared" si="12"/>
        <v>-0.02</v>
      </c>
      <c r="E43" s="343">
        <v>0.05</v>
      </c>
      <c r="F43" s="360"/>
      <c r="G43" s="361"/>
      <c r="H43" s="346">
        <v>0.02</v>
      </c>
      <c r="I43" s="370">
        <f t="shared" si="14"/>
        <v>0.04</v>
      </c>
      <c r="J43" s="370">
        <f t="shared" si="15"/>
        <v>0.02</v>
      </c>
      <c r="K43" s="371">
        <v>0</v>
      </c>
      <c r="L43" s="370">
        <f t="shared" si="13"/>
        <v>-0.02</v>
      </c>
      <c r="M43" s="370">
        <f t="shared" si="13"/>
        <v>-0.04</v>
      </c>
    </row>
    <row r="44" ht="24.75" spans="1:13">
      <c r="A44" s="354" t="s">
        <v>2123</v>
      </c>
      <c r="B44" s="364" t="str">
        <f>估价对象房地状况!G18</f>
        <v>该园区内是否有污染型企业，绿化情况，卫生条件，整体环境状况判断</v>
      </c>
      <c r="C44" s="341" t="s">
        <v>1060</v>
      </c>
      <c r="D44" s="342">
        <f t="shared" si="12"/>
        <v>0.02</v>
      </c>
      <c r="E44" s="356">
        <v>0.06</v>
      </c>
      <c r="F44" s="363"/>
      <c r="G44" s="361"/>
      <c r="H44" s="346">
        <v>0.01</v>
      </c>
      <c r="I44" s="370">
        <f t="shared" si="14"/>
        <v>0.02</v>
      </c>
      <c r="J44" s="370">
        <f t="shared" si="15"/>
        <v>0.01</v>
      </c>
      <c r="K44" s="371">
        <v>0</v>
      </c>
      <c r="L44" s="370">
        <f t="shared" si="13"/>
        <v>-0.01</v>
      </c>
      <c r="M44" s="370">
        <f t="shared" si="13"/>
        <v>-0.02</v>
      </c>
    </row>
    <row r="45" s="318" customFormat="1" customHeight="1" spans="2:8">
      <c r="B45" s="365"/>
      <c r="C45" s="366"/>
      <c r="D45" s="367"/>
      <c r="E45" s="367"/>
      <c r="F45" s="368"/>
      <c r="H45" s="368"/>
    </row>
    <row r="46" s="318" customFormat="1" customHeight="1" spans="2:8">
      <c r="B46" s="365"/>
      <c r="C46" s="366"/>
      <c r="D46" s="367"/>
      <c r="E46" s="367"/>
      <c r="F46" s="368"/>
      <c r="H46" s="368"/>
    </row>
    <row r="47" s="318" customFormat="1" customHeight="1" spans="2:8">
      <c r="B47" s="365"/>
      <c r="C47" s="366"/>
      <c r="D47" s="367"/>
      <c r="E47" s="367"/>
      <c r="F47" s="368"/>
      <c r="H47" s="368"/>
    </row>
    <row r="48" s="318" customFormat="1" customHeight="1" spans="2:8">
      <c r="B48" s="365"/>
      <c r="C48" s="366"/>
      <c r="D48" s="367"/>
      <c r="E48" s="367"/>
      <c r="F48" s="368"/>
      <c r="H48" s="368"/>
    </row>
    <row r="49" s="318" customFormat="1" customHeight="1" spans="2:8">
      <c r="B49" s="365"/>
      <c r="C49" s="366"/>
      <c r="D49" s="367"/>
      <c r="E49" s="367"/>
      <c r="F49" s="368"/>
      <c r="H49" s="368"/>
    </row>
    <row r="50" s="318" customFormat="1" customHeight="1" spans="2:8">
      <c r="B50" s="365"/>
      <c r="C50" s="366"/>
      <c r="D50" s="367"/>
      <c r="E50" s="367"/>
      <c r="F50" s="368"/>
      <c r="H50" s="368"/>
    </row>
    <row r="51" s="318" customFormat="1" customHeight="1" spans="2:8">
      <c r="B51" s="365"/>
      <c r="C51" s="366"/>
      <c r="D51" s="367"/>
      <c r="E51" s="367"/>
      <c r="F51" s="368"/>
      <c r="H51" s="368"/>
    </row>
    <row r="52" s="318" customFormat="1" customHeight="1" spans="2:8">
      <c r="B52" s="365"/>
      <c r="C52" s="366"/>
      <c r="D52" s="367"/>
      <c r="E52" s="367"/>
      <c r="F52" s="368"/>
      <c r="H52" s="368"/>
    </row>
    <row r="53" s="318" customFormat="1" customHeight="1" spans="2:8">
      <c r="B53" s="365"/>
      <c r="C53" s="366"/>
      <c r="D53" s="367"/>
      <c r="E53" s="367"/>
      <c r="F53" s="368"/>
      <c r="H53" s="368"/>
    </row>
    <row r="54" s="318" customFormat="1" customHeight="1" spans="2:8">
      <c r="B54" s="365"/>
      <c r="C54" s="366"/>
      <c r="D54" s="367"/>
      <c r="E54" s="367"/>
      <c r="F54" s="368"/>
      <c r="H54" s="368"/>
    </row>
    <row r="55" s="318" customFormat="1" customHeight="1" spans="2:8">
      <c r="B55" s="365"/>
      <c r="C55" s="366"/>
      <c r="D55" s="367"/>
      <c r="E55" s="367"/>
      <c r="F55" s="368"/>
      <c r="H55" s="368"/>
    </row>
    <row r="56" s="318" customFormat="1" customHeight="1" spans="2:8">
      <c r="B56" s="365"/>
      <c r="C56" s="366"/>
      <c r="D56" s="367"/>
      <c r="E56" s="367"/>
      <c r="F56" s="368"/>
      <c r="H56" s="368"/>
    </row>
    <row r="57" s="318" customFormat="1" customHeight="1" spans="2:8">
      <c r="B57" s="365"/>
      <c r="C57" s="366"/>
      <c r="D57" s="367"/>
      <c r="E57" s="367"/>
      <c r="F57" s="368"/>
      <c r="H57" s="368"/>
    </row>
    <row r="58" s="318" customFormat="1" customHeight="1" spans="2:8">
      <c r="B58" s="365"/>
      <c r="C58" s="366"/>
      <c r="D58" s="367"/>
      <c r="E58" s="367"/>
      <c r="F58" s="368"/>
      <c r="H58" s="368"/>
    </row>
    <row r="59" s="318" customFormat="1" customHeight="1" spans="2:8">
      <c r="B59" s="365"/>
      <c r="C59" s="366"/>
      <c r="D59" s="367"/>
      <c r="E59" s="367"/>
      <c r="F59" s="368"/>
      <c r="H59" s="368"/>
    </row>
    <row r="60" s="318" customFormat="1" customHeight="1" spans="2:8">
      <c r="B60" s="365"/>
      <c r="C60" s="366"/>
      <c r="D60" s="367"/>
      <c r="E60" s="367"/>
      <c r="F60" s="368"/>
      <c r="H60" s="368"/>
    </row>
    <row r="61" s="318" customFormat="1" customHeight="1" spans="2:8">
      <c r="B61" s="365"/>
      <c r="C61" s="366"/>
      <c r="D61" s="367"/>
      <c r="E61" s="367"/>
      <c r="F61" s="368"/>
      <c r="H61" s="368"/>
    </row>
    <row r="62" s="318" customFormat="1" customHeight="1" spans="2:8">
      <c r="B62" s="365"/>
      <c r="C62" s="366"/>
      <c r="D62" s="367"/>
      <c r="E62" s="367"/>
      <c r="F62" s="368"/>
      <c r="H62" s="368"/>
    </row>
    <row r="63" s="318" customFormat="1" customHeight="1" spans="2:8">
      <c r="B63" s="365"/>
      <c r="C63" s="366"/>
      <c r="D63" s="367"/>
      <c r="E63" s="367"/>
      <c r="F63" s="368"/>
      <c r="H63" s="368"/>
    </row>
    <row r="64" s="318" customFormat="1" customHeight="1" spans="2:8">
      <c r="B64" s="365"/>
      <c r="C64" s="366"/>
      <c r="D64" s="367"/>
      <c r="E64" s="367"/>
      <c r="F64" s="368"/>
      <c r="H64" s="368"/>
    </row>
    <row r="65" s="318" customFormat="1" customHeight="1" spans="2:8">
      <c r="B65" s="365"/>
      <c r="C65" s="366"/>
      <c r="D65" s="367"/>
      <c r="E65" s="367"/>
      <c r="F65" s="368"/>
      <c r="H65" s="368"/>
    </row>
    <row r="66" s="318" customFormat="1" customHeight="1" spans="2:8">
      <c r="B66" s="365"/>
      <c r="C66" s="366"/>
      <c r="D66" s="367"/>
      <c r="E66" s="367"/>
      <c r="F66" s="368"/>
      <c r="H66" s="368"/>
    </row>
    <row r="67" s="318" customFormat="1" customHeight="1" spans="2:8">
      <c r="B67" s="365"/>
      <c r="C67" s="366"/>
      <c r="D67" s="367"/>
      <c r="E67" s="367"/>
      <c r="F67" s="368"/>
      <c r="H67" s="368"/>
    </row>
    <row r="68" s="318" customFormat="1" customHeight="1" spans="2:8">
      <c r="B68" s="365"/>
      <c r="C68" s="366"/>
      <c r="D68" s="367"/>
      <c r="E68" s="367"/>
      <c r="F68" s="368"/>
      <c r="H68" s="368"/>
    </row>
    <row r="69" s="318" customFormat="1" customHeight="1" spans="2:8">
      <c r="B69" s="365"/>
      <c r="C69" s="366"/>
      <c r="D69" s="367"/>
      <c r="E69" s="367"/>
      <c r="F69" s="368"/>
      <c r="H69" s="368"/>
    </row>
    <row r="70" s="318" customFormat="1" customHeight="1" spans="2:8">
      <c r="B70" s="365"/>
      <c r="C70" s="366"/>
      <c r="D70" s="367"/>
      <c r="E70" s="367"/>
      <c r="F70" s="368"/>
      <c r="H70" s="368"/>
    </row>
    <row r="71" s="318" customFormat="1" customHeight="1" spans="2:8">
      <c r="B71" s="365"/>
      <c r="C71" s="366"/>
      <c r="D71" s="367"/>
      <c r="E71" s="367"/>
      <c r="F71" s="368"/>
      <c r="H71" s="368"/>
    </row>
    <row r="72" s="318" customFormat="1" customHeight="1" spans="2:8">
      <c r="B72" s="365"/>
      <c r="C72" s="366"/>
      <c r="D72" s="367"/>
      <c r="E72" s="367"/>
      <c r="F72" s="368"/>
      <c r="H72" s="368"/>
    </row>
    <row r="73" s="318" customFormat="1" customHeight="1" spans="2:8">
      <c r="B73" s="365"/>
      <c r="C73" s="366"/>
      <c r="D73" s="367"/>
      <c r="E73" s="367"/>
      <c r="F73" s="368"/>
      <c r="H73" s="368"/>
    </row>
    <row r="74" s="318" customFormat="1" customHeight="1" spans="2:8">
      <c r="B74" s="365"/>
      <c r="C74" s="366"/>
      <c r="D74" s="367"/>
      <c r="E74" s="367"/>
      <c r="F74" s="368"/>
      <c r="H74" s="368"/>
    </row>
    <row r="75" s="318" customFormat="1" customHeight="1" spans="2:8">
      <c r="B75" s="365"/>
      <c r="C75" s="366"/>
      <c r="D75" s="367"/>
      <c r="E75" s="367"/>
      <c r="F75" s="368"/>
      <c r="H75" s="368"/>
    </row>
    <row r="76" s="318" customFormat="1" customHeight="1" spans="2:8">
      <c r="B76" s="365"/>
      <c r="C76" s="366"/>
      <c r="D76" s="367"/>
      <c r="E76" s="367"/>
      <c r="F76" s="368"/>
      <c r="H76" s="368"/>
    </row>
    <row r="77" s="318" customFormat="1" customHeight="1" spans="2:8">
      <c r="B77" s="365"/>
      <c r="C77" s="366"/>
      <c r="D77" s="367"/>
      <c r="E77" s="367"/>
      <c r="F77" s="368"/>
      <c r="H77" s="368"/>
    </row>
    <row r="78" s="318" customFormat="1" customHeight="1" spans="2:8">
      <c r="B78" s="365"/>
      <c r="C78" s="366"/>
      <c r="D78" s="367"/>
      <c r="E78" s="367"/>
      <c r="F78" s="368"/>
      <c r="H78" s="368"/>
    </row>
    <row r="79" s="318" customFormat="1" customHeight="1" spans="2:8">
      <c r="B79" s="365"/>
      <c r="C79" s="366"/>
      <c r="D79" s="367"/>
      <c r="E79" s="367"/>
      <c r="F79" s="368"/>
      <c r="H79" s="368"/>
    </row>
    <row r="80" s="318" customFormat="1" customHeight="1" spans="2:8">
      <c r="B80" s="365"/>
      <c r="C80" s="366"/>
      <c r="D80" s="367"/>
      <c r="E80" s="367"/>
      <c r="F80" s="368"/>
      <c r="H80" s="368"/>
    </row>
    <row r="81" s="318" customFormat="1" customHeight="1" spans="2:8">
      <c r="B81" s="365"/>
      <c r="C81" s="366"/>
      <c r="D81" s="367"/>
      <c r="E81" s="367"/>
      <c r="F81" s="368"/>
      <c r="H81" s="368"/>
    </row>
    <row r="82" s="318" customFormat="1" customHeight="1" spans="2:8">
      <c r="B82" s="365"/>
      <c r="C82" s="366"/>
      <c r="D82" s="367"/>
      <c r="E82" s="367"/>
      <c r="F82" s="368"/>
      <c r="H82" s="368"/>
    </row>
    <row r="83" s="318" customFormat="1" customHeight="1" spans="2:8">
      <c r="B83" s="365"/>
      <c r="C83" s="366"/>
      <c r="D83" s="367"/>
      <c r="E83" s="367"/>
      <c r="F83" s="368"/>
      <c r="H83" s="368"/>
    </row>
    <row r="84" s="318" customFormat="1" customHeight="1" spans="2:8">
      <c r="B84" s="365"/>
      <c r="C84" s="366"/>
      <c r="D84" s="367"/>
      <c r="E84" s="367"/>
      <c r="F84" s="368"/>
      <c r="H84" s="368"/>
    </row>
    <row r="85" s="318" customFormat="1" customHeight="1" spans="2:8">
      <c r="B85" s="365"/>
      <c r="C85" s="366"/>
      <c r="D85" s="367"/>
      <c r="E85" s="367"/>
      <c r="F85" s="368"/>
      <c r="H85" s="368"/>
    </row>
    <row r="86" s="318" customFormat="1" customHeight="1" spans="2:8">
      <c r="B86" s="365"/>
      <c r="C86" s="366"/>
      <c r="D86" s="367"/>
      <c r="E86" s="367"/>
      <c r="F86" s="368"/>
      <c r="H86" s="368"/>
    </row>
    <row r="87" s="318" customFormat="1" customHeight="1" spans="2:8">
      <c r="B87" s="365"/>
      <c r="C87" s="366"/>
      <c r="D87" s="367"/>
      <c r="E87" s="367"/>
      <c r="F87" s="368"/>
      <c r="H87" s="368"/>
    </row>
    <row r="88" s="318" customFormat="1" customHeight="1" spans="2:8">
      <c r="B88" s="365"/>
      <c r="C88" s="366"/>
      <c r="D88" s="367"/>
      <c r="E88" s="367"/>
      <c r="F88" s="368"/>
      <c r="H88" s="368"/>
    </row>
    <row r="89" s="318" customFormat="1" customHeight="1" spans="2:8">
      <c r="B89" s="365"/>
      <c r="C89" s="366"/>
      <c r="D89" s="367"/>
      <c r="E89" s="367"/>
      <c r="F89" s="368"/>
      <c r="H89" s="368"/>
    </row>
    <row r="90" s="318" customFormat="1" customHeight="1" spans="2:8">
      <c r="B90" s="365"/>
      <c r="C90" s="366"/>
      <c r="D90" s="367"/>
      <c r="E90" s="367"/>
      <c r="F90" s="368"/>
      <c r="H90" s="368"/>
    </row>
    <row r="91" s="318" customFormat="1" customHeight="1" spans="2:8">
      <c r="B91" s="365"/>
      <c r="C91" s="366"/>
      <c r="D91" s="367"/>
      <c r="E91" s="367"/>
      <c r="F91" s="368"/>
      <c r="H91" s="368"/>
    </row>
    <row r="92" s="318" customFormat="1" customHeight="1" spans="2:8">
      <c r="B92" s="365"/>
      <c r="C92" s="366"/>
      <c r="D92" s="367"/>
      <c r="E92" s="367"/>
      <c r="F92" s="368"/>
      <c r="H92" s="368"/>
    </row>
    <row r="93" s="318" customFormat="1" customHeight="1" spans="2:8">
      <c r="B93" s="365"/>
      <c r="C93" s="366"/>
      <c r="D93" s="367"/>
      <c r="E93" s="367"/>
      <c r="F93" s="368"/>
      <c r="H93" s="368"/>
    </row>
    <row r="94" s="318" customFormat="1" customHeight="1" spans="2:8">
      <c r="B94" s="365"/>
      <c r="C94" s="366"/>
      <c r="D94" s="367"/>
      <c r="E94" s="367"/>
      <c r="F94" s="368"/>
      <c r="H94" s="368"/>
    </row>
    <row r="95" s="318" customFormat="1" customHeight="1" spans="2:8">
      <c r="B95" s="365"/>
      <c r="C95" s="366"/>
      <c r="D95" s="367"/>
      <c r="E95" s="367"/>
      <c r="F95" s="368"/>
      <c r="H95" s="368"/>
    </row>
    <row r="96" s="318" customFormat="1" customHeight="1" spans="2:8">
      <c r="B96" s="365"/>
      <c r="C96" s="366"/>
      <c r="D96" s="367"/>
      <c r="E96" s="367"/>
      <c r="F96" s="368"/>
      <c r="H96" s="368"/>
    </row>
    <row r="97" s="318" customFormat="1" customHeight="1" spans="2:8">
      <c r="B97" s="365"/>
      <c r="C97" s="366"/>
      <c r="D97" s="367"/>
      <c r="E97" s="367"/>
      <c r="F97" s="368"/>
      <c r="H97" s="368"/>
    </row>
    <row r="98" s="318" customFormat="1" customHeight="1" spans="2:8">
      <c r="B98" s="365"/>
      <c r="C98" s="366"/>
      <c r="D98" s="367"/>
      <c r="E98" s="367"/>
      <c r="F98" s="368"/>
      <c r="H98" s="368"/>
    </row>
  </sheetData>
  <sheetProtection password="C66D" sheet="1" formatCells="0" formatColumns="0" formatRows="0" objects="1" scenarios="1"/>
  <conditionalFormatting sqref="G4">
    <cfRule type="cellIs" dxfId="10" priority="4" stopIfTrue="1" operator="notEqual">
      <formula>"——"</formula>
    </cfRule>
  </conditionalFormatting>
  <conditionalFormatting sqref="G15">
    <cfRule type="cellIs" dxfId="10" priority="3" stopIfTrue="1" operator="notEqual">
      <formula>"——"</formula>
    </cfRule>
  </conditionalFormatting>
  <conditionalFormatting sqref="G26">
    <cfRule type="cellIs" dxfId="10" priority="2" stopIfTrue="1" operator="notEqual">
      <formula>"——"</formula>
    </cfRule>
  </conditionalFormatting>
  <conditionalFormatting sqref="G37">
    <cfRule type="cellIs" dxfId="10" priority="1" stopIfTrue="1" operator="notEqual">
      <formula>"——"</formula>
    </cfRule>
  </conditionalFormatting>
  <dataValidations count="1">
    <dataValidation type="list" allowBlank="1" showInputMessage="1" showErrorMessage="1" sqref="C4:C12 C15:C23 C26:C34 C37:C44">
      <formula1>五等判定</formula1>
    </dataValidation>
  </dataValidations>
  <pageMargins left="0.7" right="0.7" top="0.75" bottom="0.75" header="0.3" footer="0.3"/>
  <pageSetup paperSize="9" scale="41" orientation="portrait"/>
  <headerFooter/>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T344"/>
  <sheetViews>
    <sheetView topLeftCell="A11" workbookViewId="0">
      <selection activeCell="P31" sqref="P31"/>
    </sheetView>
  </sheetViews>
  <sheetFormatPr defaultColWidth="9" defaultRowHeight="13.5"/>
  <cols>
    <col min="1" max="1" width="12.625" style="279" customWidth="1"/>
    <col min="2" max="5" width="10.25" style="280" customWidth="1"/>
    <col min="6" max="6" width="9" style="280"/>
    <col min="7" max="7" width="9" style="278"/>
    <col min="8" max="8" width="9" style="280"/>
    <col min="9" max="9" width="9" style="278"/>
    <col min="10" max="16384" width="9" style="280"/>
  </cols>
  <sheetData>
    <row r="1" spans="1:20">
      <c r="A1" s="281" t="s">
        <v>2124</v>
      </c>
      <c r="B1" s="281"/>
      <c r="C1" s="281"/>
      <c r="D1" s="281"/>
      <c r="E1" s="281"/>
      <c r="F1" s="281"/>
      <c r="H1" s="277"/>
      <c r="I1" s="313" t="s">
        <v>1738</v>
      </c>
      <c r="J1" s="235" t="s">
        <v>1744</v>
      </c>
      <c r="K1" s="235" t="s">
        <v>1764</v>
      </c>
      <c r="L1" s="235" t="s">
        <v>1785</v>
      </c>
      <c r="M1" s="235" t="s">
        <v>1813</v>
      </c>
      <c r="N1" s="235" t="s">
        <v>1848</v>
      </c>
      <c r="O1" s="235" t="s">
        <v>1897</v>
      </c>
      <c r="P1" s="235" t="s">
        <v>1946</v>
      </c>
      <c r="Q1" s="235" t="s">
        <v>1986</v>
      </c>
      <c r="R1" s="235" t="s">
        <v>2032</v>
      </c>
      <c r="S1" s="235" t="s">
        <v>2060</v>
      </c>
      <c r="T1" s="270" t="s">
        <v>2082</v>
      </c>
    </row>
    <row r="2" ht="14.25" spans="1:20">
      <c r="A2" s="282" t="s">
        <v>2125</v>
      </c>
      <c r="B2" s="282"/>
      <c r="C2" s="282"/>
      <c r="D2" s="282"/>
      <c r="E2" s="282"/>
      <c r="F2" s="282"/>
      <c r="I2" s="314" t="s">
        <v>1739</v>
      </c>
      <c r="J2" s="295" t="s">
        <v>1745</v>
      </c>
      <c r="K2" s="295" t="s">
        <v>1765</v>
      </c>
      <c r="L2" s="295" t="s">
        <v>1786</v>
      </c>
      <c r="M2" s="295" t="s">
        <v>1814</v>
      </c>
      <c r="N2" s="295" t="s">
        <v>1849</v>
      </c>
      <c r="O2" s="295" t="s">
        <v>1898</v>
      </c>
      <c r="P2" s="295" t="s">
        <v>1947</v>
      </c>
      <c r="Q2" s="295" t="s">
        <v>1987</v>
      </c>
      <c r="R2" s="295" t="s">
        <v>2033</v>
      </c>
      <c r="S2" s="295" t="s">
        <v>2061</v>
      </c>
      <c r="T2" s="295" t="s">
        <v>2083</v>
      </c>
    </row>
    <row r="3" s="277" customFormat="1" ht="19.5" customHeight="1" spans="1:20">
      <c r="A3" s="283" t="s">
        <v>1736</v>
      </c>
      <c r="B3" s="284"/>
      <c r="C3" s="285" t="s">
        <v>1733</v>
      </c>
      <c r="D3" s="285" t="s">
        <v>1734</v>
      </c>
      <c r="E3" s="285" t="s">
        <v>461</v>
      </c>
      <c r="F3" s="285" t="s">
        <v>1735</v>
      </c>
      <c r="G3" s="286"/>
      <c r="I3" s="314" t="s">
        <v>1740</v>
      </c>
      <c r="J3" s="295" t="s">
        <v>1746</v>
      </c>
      <c r="K3" s="295" t="s">
        <v>1766</v>
      </c>
      <c r="L3" s="295" t="s">
        <v>1787</v>
      </c>
      <c r="M3" s="295" t="s">
        <v>1815</v>
      </c>
      <c r="N3" s="295" t="s">
        <v>1850</v>
      </c>
      <c r="O3" s="295" t="s">
        <v>1899</v>
      </c>
      <c r="P3" s="295" t="s">
        <v>1948</v>
      </c>
      <c r="Q3" s="295" t="s">
        <v>1988</v>
      </c>
      <c r="R3" s="295" t="s">
        <v>2034</v>
      </c>
      <c r="S3" s="295" t="s">
        <v>2062</v>
      </c>
      <c r="T3" s="295" t="s">
        <v>2084</v>
      </c>
    </row>
    <row r="4" s="277" customFormat="1" ht="19.5" customHeight="1" spans="1:20">
      <c r="A4" s="287"/>
      <c r="B4" s="288" t="s">
        <v>1737</v>
      </c>
      <c r="C4" s="288" t="s">
        <v>2126</v>
      </c>
      <c r="D4" s="288" t="s">
        <v>2126</v>
      </c>
      <c r="E4" s="288" t="s">
        <v>2126</v>
      </c>
      <c r="F4" s="289" t="s">
        <v>2126</v>
      </c>
      <c r="G4" s="286"/>
      <c r="I4" s="314" t="s">
        <v>1741</v>
      </c>
      <c r="J4" s="295" t="s">
        <v>1747</v>
      </c>
      <c r="K4" s="295" t="s">
        <v>1767</v>
      </c>
      <c r="L4" s="295" t="s">
        <v>1788</v>
      </c>
      <c r="M4" s="295" t="s">
        <v>1816</v>
      </c>
      <c r="N4" s="295" t="s">
        <v>1851</v>
      </c>
      <c r="O4" s="295" t="s">
        <v>1900</v>
      </c>
      <c r="P4" s="295" t="s">
        <v>1949</v>
      </c>
      <c r="Q4" s="295" t="s">
        <v>1989</v>
      </c>
      <c r="R4" s="295" t="s">
        <v>2035</v>
      </c>
      <c r="S4" s="295" t="s">
        <v>2063</v>
      </c>
      <c r="T4" s="295" t="s">
        <v>2085</v>
      </c>
    </row>
    <row r="5" ht="14.25" customHeight="1" spans="1:20">
      <c r="A5" s="290" t="s">
        <v>1738</v>
      </c>
      <c r="B5" s="291" t="s">
        <v>1739</v>
      </c>
      <c r="C5" s="291">
        <v>29530</v>
      </c>
      <c r="D5" s="291">
        <v>28130</v>
      </c>
      <c r="E5" s="291">
        <v>27930</v>
      </c>
      <c r="F5" s="292">
        <v>11300</v>
      </c>
      <c r="G5" s="293" t="s">
        <v>1738</v>
      </c>
      <c r="H5" s="294">
        <f>SUMPRODUCT((B5:B9=基准地价修正!I2)*(C3:F3=基准地价修正!E2)*(C5:F9))</f>
        <v>0</v>
      </c>
      <c r="I5" s="314" t="s">
        <v>1742</v>
      </c>
      <c r="J5" s="295" t="s">
        <v>1748</v>
      </c>
      <c r="K5" s="295" t="s">
        <v>1768</v>
      </c>
      <c r="L5" s="295" t="s">
        <v>1789</v>
      </c>
      <c r="M5" s="295" t="s">
        <v>1817</v>
      </c>
      <c r="N5" s="295" t="s">
        <v>1852</v>
      </c>
      <c r="O5" s="295" t="s">
        <v>1901</v>
      </c>
      <c r="P5" s="295" t="s">
        <v>1950</v>
      </c>
      <c r="Q5" s="295" t="s">
        <v>1990</v>
      </c>
      <c r="R5" s="295" t="s">
        <v>2037</v>
      </c>
      <c r="S5" s="295" t="s">
        <v>2064</v>
      </c>
      <c r="T5" s="295" t="s">
        <v>2086</v>
      </c>
    </row>
    <row r="6" ht="14.25" customHeight="1" spans="1:20">
      <c r="A6" s="290" t="s">
        <v>1738</v>
      </c>
      <c r="B6" s="295" t="s">
        <v>1740</v>
      </c>
      <c r="C6" s="295">
        <v>30290</v>
      </c>
      <c r="D6" s="295">
        <v>29210</v>
      </c>
      <c r="E6" s="295">
        <v>28860</v>
      </c>
      <c r="F6" s="296">
        <v>12600</v>
      </c>
      <c r="G6" s="297" t="s">
        <v>1744</v>
      </c>
      <c r="H6" s="298">
        <f>SUMPRODUCT((B10:B28=基准地价修正!I2)*(C3:F3=基准地价修正!E2)*(C10:F28))</f>
        <v>0</v>
      </c>
      <c r="I6" s="314" t="s">
        <v>1743</v>
      </c>
      <c r="J6" s="295" t="s">
        <v>1749</v>
      </c>
      <c r="K6" s="295" t="s">
        <v>1769</v>
      </c>
      <c r="L6" s="295" t="s">
        <v>1790</v>
      </c>
      <c r="M6" s="295" t="s">
        <v>1818</v>
      </c>
      <c r="N6" s="295" t="s">
        <v>1853</v>
      </c>
      <c r="O6" s="295" t="s">
        <v>1902</v>
      </c>
      <c r="P6" s="295" t="s">
        <v>1951</v>
      </c>
      <c r="Q6" s="295" t="s">
        <v>1991</v>
      </c>
      <c r="R6" s="295" t="s">
        <v>2038</v>
      </c>
      <c r="S6" s="295" t="s">
        <v>2065</v>
      </c>
      <c r="T6" s="295" t="s">
        <v>2087</v>
      </c>
    </row>
    <row r="7" ht="14.25" customHeight="1" spans="1:20">
      <c r="A7" s="290" t="s">
        <v>1738</v>
      </c>
      <c r="B7" s="299" t="s">
        <v>1741</v>
      </c>
      <c r="C7" s="295">
        <v>29350</v>
      </c>
      <c r="D7" s="295">
        <v>28410</v>
      </c>
      <c r="E7" s="295">
        <v>27990</v>
      </c>
      <c r="F7" s="296">
        <v>12300</v>
      </c>
      <c r="G7" s="297" t="s">
        <v>1764</v>
      </c>
      <c r="H7" s="298">
        <f>SUMPRODUCT((B29:B48=基准地价修正!I2)*(C3:F3=基准地价修正!E2)*(C29:F48))</f>
        <v>0</v>
      </c>
      <c r="J7" s="295" t="s">
        <v>1750</v>
      </c>
      <c r="K7" s="295" t="s">
        <v>1770</v>
      </c>
      <c r="L7" s="295" t="s">
        <v>1791</v>
      </c>
      <c r="M7" s="295" t="s">
        <v>1819</v>
      </c>
      <c r="N7" s="295" t="s">
        <v>1854</v>
      </c>
      <c r="O7" s="295" t="s">
        <v>1903</v>
      </c>
      <c r="P7" s="295" t="s">
        <v>1952</v>
      </c>
      <c r="Q7" s="295" t="s">
        <v>1992</v>
      </c>
      <c r="R7" s="295" t="s">
        <v>2039</v>
      </c>
      <c r="S7" s="295" t="s">
        <v>2066</v>
      </c>
      <c r="T7" s="299" t="s">
        <v>2088</v>
      </c>
    </row>
    <row r="8" ht="14.25" customHeight="1" spans="1:20">
      <c r="A8" s="290" t="s">
        <v>1738</v>
      </c>
      <c r="B8" s="295" t="s">
        <v>1742</v>
      </c>
      <c r="C8" s="295">
        <v>30890</v>
      </c>
      <c r="D8" s="295">
        <v>29780</v>
      </c>
      <c r="E8" s="295">
        <v>29270</v>
      </c>
      <c r="F8" s="296">
        <v>11600</v>
      </c>
      <c r="G8" s="297" t="s">
        <v>1785</v>
      </c>
      <c r="H8" s="298">
        <f>SUMPRODUCT((B49:B75=基准地价修正!I2)*(C3:F3=基准地价修正!E2)*(C49:F75))</f>
        <v>0</v>
      </c>
      <c r="J8" s="295" t="s">
        <v>1751</v>
      </c>
      <c r="K8" s="295" t="s">
        <v>1771</v>
      </c>
      <c r="L8" s="295" t="s">
        <v>1792</v>
      </c>
      <c r="M8" s="295" t="s">
        <v>1820</v>
      </c>
      <c r="N8" s="295" t="s">
        <v>1855</v>
      </c>
      <c r="O8" s="295" t="s">
        <v>1904</v>
      </c>
      <c r="P8" s="295" t="s">
        <v>1953</v>
      </c>
      <c r="Q8" s="295" t="s">
        <v>1993</v>
      </c>
      <c r="R8" s="295" t="s">
        <v>2040</v>
      </c>
      <c r="S8" s="295" t="s">
        <v>2067</v>
      </c>
      <c r="T8" s="295" t="s">
        <v>2089</v>
      </c>
    </row>
    <row r="9" ht="14.25" customHeight="1" spans="1:19">
      <c r="A9" s="290" t="s">
        <v>1738</v>
      </c>
      <c r="B9" s="300" t="s">
        <v>1743</v>
      </c>
      <c r="C9" s="301">
        <v>28140</v>
      </c>
      <c r="D9" s="301"/>
      <c r="E9" s="301"/>
      <c r="F9" s="302"/>
      <c r="G9" s="297" t="s">
        <v>1813</v>
      </c>
      <c r="H9" s="298">
        <f>SUMPRODUCT((B76:B109=基准地价修正!I2)*(C3:F3=基准地价修正!E2)*(C76:F109))</f>
        <v>0</v>
      </c>
      <c r="J9" s="295" t="s">
        <v>1752</v>
      </c>
      <c r="K9" s="295" t="s">
        <v>1772</v>
      </c>
      <c r="L9" s="295" t="s">
        <v>1793</v>
      </c>
      <c r="M9" s="295" t="s">
        <v>1821</v>
      </c>
      <c r="N9" s="295" t="s">
        <v>1856</v>
      </c>
      <c r="O9" s="295" t="s">
        <v>1905</v>
      </c>
      <c r="P9" s="295" t="s">
        <v>1954</v>
      </c>
      <c r="Q9" s="295" t="s">
        <v>1994</v>
      </c>
      <c r="R9" s="295" t="s">
        <v>2041</v>
      </c>
      <c r="S9" s="295" t="s">
        <v>2068</v>
      </c>
    </row>
    <row r="10" ht="14.25" customHeight="1" spans="1:19">
      <c r="A10" s="290" t="s">
        <v>1744</v>
      </c>
      <c r="B10" s="291" t="s">
        <v>1745</v>
      </c>
      <c r="C10" s="291">
        <v>27450</v>
      </c>
      <c r="D10" s="291">
        <v>26180</v>
      </c>
      <c r="E10" s="291">
        <v>25980</v>
      </c>
      <c r="F10" s="292">
        <v>8910</v>
      </c>
      <c r="G10" s="297" t="s">
        <v>1848</v>
      </c>
      <c r="H10" s="298">
        <f>SUMPRODUCT((B110:B157=基准地价修正!I2)*(C3:F3=基准地价修正!E2)*(C110:F157))</f>
        <v>0</v>
      </c>
      <c r="J10" s="295" t="s">
        <v>1753</v>
      </c>
      <c r="K10" s="295" t="s">
        <v>1773</v>
      </c>
      <c r="L10" s="295" t="s">
        <v>1794</v>
      </c>
      <c r="M10" s="295" t="s">
        <v>1822</v>
      </c>
      <c r="N10" s="295" t="s">
        <v>1857</v>
      </c>
      <c r="O10" s="295" t="s">
        <v>1906</v>
      </c>
      <c r="P10" s="295" t="s">
        <v>1955</v>
      </c>
      <c r="Q10" s="295" t="s">
        <v>1995</v>
      </c>
      <c r="R10" s="295" t="s">
        <v>2042</v>
      </c>
      <c r="S10" s="295" t="s">
        <v>2069</v>
      </c>
    </row>
    <row r="11" ht="14.25" customHeight="1" spans="1:19">
      <c r="A11" s="290" t="s">
        <v>1744</v>
      </c>
      <c r="B11" s="299" t="s">
        <v>1746</v>
      </c>
      <c r="C11" s="295">
        <v>22950</v>
      </c>
      <c r="D11" s="295">
        <v>22630</v>
      </c>
      <c r="E11" s="295">
        <v>22030</v>
      </c>
      <c r="F11" s="303">
        <v>8330</v>
      </c>
      <c r="G11" s="297" t="s">
        <v>1897</v>
      </c>
      <c r="H11" s="298">
        <f>SUMPRODUCT((B158:B205=基准地价修正!I2)*(C3:F3=基准地价修正!E2)*(C158:F205))</f>
        <v>0</v>
      </c>
      <c r="J11" s="295" t="s">
        <v>1754</v>
      </c>
      <c r="K11" s="295" t="s">
        <v>1774</v>
      </c>
      <c r="L11" s="295" t="s">
        <v>1795</v>
      </c>
      <c r="M11" s="295" t="s">
        <v>1823</v>
      </c>
      <c r="N11" s="295" t="s">
        <v>1858</v>
      </c>
      <c r="O11" s="295" t="s">
        <v>1907</v>
      </c>
      <c r="P11" s="295" t="s">
        <v>1956</v>
      </c>
      <c r="Q11" s="295" t="s">
        <v>1996</v>
      </c>
      <c r="R11" s="295" t="s">
        <v>2043</v>
      </c>
      <c r="S11" s="295" t="s">
        <v>2070</v>
      </c>
    </row>
    <row r="12" ht="14.25" customHeight="1" spans="1:19">
      <c r="A12" s="290" t="s">
        <v>1744</v>
      </c>
      <c r="B12" s="299" t="s">
        <v>1747</v>
      </c>
      <c r="C12" s="295">
        <v>24940</v>
      </c>
      <c r="D12" s="295">
        <v>23180</v>
      </c>
      <c r="E12" s="295">
        <v>22910</v>
      </c>
      <c r="F12" s="303">
        <v>7180</v>
      </c>
      <c r="G12" s="297" t="s">
        <v>1946</v>
      </c>
      <c r="H12" s="298">
        <f>SUMPRODUCT((B206:B244=基准地价修正!I2)*(C3:F3=基准地价修正!E2)*(C206:F244))</f>
        <v>0</v>
      </c>
      <c r="J12" s="295" t="s">
        <v>1755</v>
      </c>
      <c r="K12" s="295" t="s">
        <v>1775</v>
      </c>
      <c r="L12" s="295" t="s">
        <v>1796</v>
      </c>
      <c r="M12" s="295" t="s">
        <v>1824</v>
      </c>
      <c r="N12" s="295" t="s">
        <v>1859</v>
      </c>
      <c r="O12" s="295" t="s">
        <v>1908</v>
      </c>
      <c r="P12" s="295" t="s">
        <v>1957</v>
      </c>
      <c r="Q12" s="295" t="s">
        <v>1997</v>
      </c>
      <c r="R12" s="295" t="s">
        <v>2044</v>
      </c>
      <c r="S12" s="295" t="s">
        <v>2071</v>
      </c>
    </row>
    <row r="13" ht="14.25" customHeight="1" spans="1:19">
      <c r="A13" s="290" t="s">
        <v>1744</v>
      </c>
      <c r="B13" s="299" t="s">
        <v>1748</v>
      </c>
      <c r="C13" s="295">
        <v>24140</v>
      </c>
      <c r="D13" s="295">
        <v>22270</v>
      </c>
      <c r="E13" s="295">
        <v>21950</v>
      </c>
      <c r="F13" s="303">
        <v>7600</v>
      </c>
      <c r="G13" s="297" t="s">
        <v>1986</v>
      </c>
      <c r="H13" s="298">
        <f>SUMPRODUCT((B245:B289=基准地价修正!I2)*(C3:F3=基准地价修正!E2)*(C245:F289))</f>
        <v>0</v>
      </c>
      <c r="J13" s="295" t="s">
        <v>1756</v>
      </c>
      <c r="K13" s="295" t="s">
        <v>1776</v>
      </c>
      <c r="L13" s="295" t="s">
        <v>1797</v>
      </c>
      <c r="M13" s="295" t="s">
        <v>1825</v>
      </c>
      <c r="N13" s="295" t="s">
        <v>1860</v>
      </c>
      <c r="O13" s="295" t="s">
        <v>1909</v>
      </c>
      <c r="P13" s="295" t="s">
        <v>1958</v>
      </c>
      <c r="Q13" s="295" t="s">
        <v>1998</v>
      </c>
      <c r="R13" s="295" t="s">
        <v>2045</v>
      </c>
      <c r="S13" s="295" t="s">
        <v>2072</v>
      </c>
    </row>
    <row r="14" ht="14.25" customHeight="1" spans="1:19">
      <c r="A14" s="290" t="s">
        <v>1744</v>
      </c>
      <c r="B14" s="299" t="s">
        <v>1749</v>
      </c>
      <c r="C14" s="295">
        <v>25600</v>
      </c>
      <c r="D14" s="295">
        <v>22260</v>
      </c>
      <c r="E14" s="295">
        <v>22110</v>
      </c>
      <c r="F14" s="303">
        <v>7630</v>
      </c>
      <c r="G14" s="297" t="s">
        <v>2032</v>
      </c>
      <c r="H14" s="298">
        <f>SUMPRODUCT((B290:B316=基准地价修正!I2)*(C3:F3=基准地价修正!E2)*(C290:F316))</f>
        <v>0</v>
      </c>
      <c r="J14" s="295" t="s">
        <v>1757</v>
      </c>
      <c r="K14" s="295" t="s">
        <v>1777</v>
      </c>
      <c r="L14" s="295" t="s">
        <v>1798</v>
      </c>
      <c r="M14" s="295" t="s">
        <v>1826</v>
      </c>
      <c r="N14" s="295" t="s">
        <v>1861</v>
      </c>
      <c r="O14" s="295" t="s">
        <v>1910</v>
      </c>
      <c r="P14" s="295" t="s">
        <v>1959</v>
      </c>
      <c r="Q14" s="295" t="s">
        <v>1999</v>
      </c>
      <c r="R14" s="295" t="s">
        <v>2046</v>
      </c>
      <c r="S14" s="295" t="s">
        <v>2073</v>
      </c>
    </row>
    <row r="15" ht="14.25" customHeight="1" spans="1:19">
      <c r="A15" s="290" t="s">
        <v>1744</v>
      </c>
      <c r="B15" s="299" t="s">
        <v>1750</v>
      </c>
      <c r="C15" s="295">
        <v>24760</v>
      </c>
      <c r="D15" s="295">
        <v>24440</v>
      </c>
      <c r="E15" s="295">
        <v>24130</v>
      </c>
      <c r="F15" s="303">
        <v>9480</v>
      </c>
      <c r="G15" s="297" t="s">
        <v>2060</v>
      </c>
      <c r="H15" s="298">
        <f>SUMPRODUCT((B317:B337=基准地价修正!I2)*(C3:F3=基准地价修正!E2)*(C317:F337))</f>
        <v>0</v>
      </c>
      <c r="J15" s="295" t="s">
        <v>1758</v>
      </c>
      <c r="K15" s="295" t="s">
        <v>1778</v>
      </c>
      <c r="L15" s="295" t="s">
        <v>1799</v>
      </c>
      <c r="M15" s="295" t="s">
        <v>1827</v>
      </c>
      <c r="N15" s="295" t="s">
        <v>1862</v>
      </c>
      <c r="O15" s="295" t="s">
        <v>1911</v>
      </c>
      <c r="P15" s="295" t="s">
        <v>1960</v>
      </c>
      <c r="Q15" s="295" t="s">
        <v>2000</v>
      </c>
      <c r="R15" s="295" t="s">
        <v>2047</v>
      </c>
      <c r="S15" s="295" t="s">
        <v>2074</v>
      </c>
    </row>
    <row r="16" ht="14.25" customHeight="1" spans="1:19">
      <c r="A16" s="290" t="s">
        <v>1744</v>
      </c>
      <c r="B16" s="299" t="s">
        <v>1751</v>
      </c>
      <c r="C16" s="295">
        <v>22220</v>
      </c>
      <c r="D16" s="295">
        <v>22310</v>
      </c>
      <c r="E16" s="295">
        <v>22000</v>
      </c>
      <c r="F16" s="303">
        <v>8900</v>
      </c>
      <c r="G16" s="304" t="s">
        <v>2082</v>
      </c>
      <c r="H16" s="305">
        <f>SUMPRODUCT((B338:B344=基准地价修正!I2)*(C3:F3=基准地价修正!E2)*(C338:F344))</f>
        <v>0</v>
      </c>
      <c r="J16" s="295" t="s">
        <v>1759</v>
      </c>
      <c r="K16" s="295" t="s">
        <v>1779</v>
      </c>
      <c r="L16" s="295" t="s">
        <v>1800</v>
      </c>
      <c r="M16" s="295" t="s">
        <v>1828</v>
      </c>
      <c r="N16" s="295" t="s">
        <v>1863</v>
      </c>
      <c r="O16" s="295" t="s">
        <v>1912</v>
      </c>
      <c r="P16" s="295" t="s">
        <v>1961</v>
      </c>
      <c r="Q16" s="295" t="s">
        <v>2001</v>
      </c>
      <c r="R16" s="295" t="s">
        <v>2048</v>
      </c>
      <c r="S16" s="295" t="s">
        <v>2075</v>
      </c>
    </row>
    <row r="17" ht="14.25" customHeight="1" spans="1:19">
      <c r="A17" s="290" t="s">
        <v>1744</v>
      </c>
      <c r="B17" s="299" t="s">
        <v>1752</v>
      </c>
      <c r="C17" s="295">
        <v>24700</v>
      </c>
      <c r="D17" s="295">
        <v>25150</v>
      </c>
      <c r="E17" s="295">
        <v>24700</v>
      </c>
      <c r="F17" s="306"/>
      <c r="H17" s="307"/>
      <c r="J17" s="295" t="s">
        <v>1760</v>
      </c>
      <c r="K17" s="295" t="s">
        <v>1780</v>
      </c>
      <c r="L17" s="295" t="s">
        <v>1801</v>
      </c>
      <c r="M17" s="295" t="s">
        <v>1829</v>
      </c>
      <c r="N17" s="295" t="s">
        <v>1864</v>
      </c>
      <c r="O17" s="295" t="s">
        <v>1913</v>
      </c>
      <c r="P17" s="295" t="s">
        <v>1962</v>
      </c>
      <c r="Q17" s="295" t="s">
        <v>2002</v>
      </c>
      <c r="R17" s="295" t="s">
        <v>2049</v>
      </c>
      <c r="S17" s="295" t="s">
        <v>2076</v>
      </c>
    </row>
    <row r="18" ht="14.25" customHeight="1" spans="1:19">
      <c r="A18" s="290" t="s">
        <v>1744</v>
      </c>
      <c r="B18" s="299" t="s">
        <v>1753</v>
      </c>
      <c r="C18" s="295">
        <v>22350</v>
      </c>
      <c r="D18" s="295">
        <v>24340</v>
      </c>
      <c r="E18" s="295">
        <v>24100</v>
      </c>
      <c r="F18" s="306"/>
      <c r="H18" s="307"/>
      <c r="J18" s="295" t="s">
        <v>1761</v>
      </c>
      <c r="K18" s="295" t="s">
        <v>1781</v>
      </c>
      <c r="L18" s="295" t="s">
        <v>1802</v>
      </c>
      <c r="M18" s="295" t="s">
        <v>1830</v>
      </c>
      <c r="N18" s="295" t="s">
        <v>1865</v>
      </c>
      <c r="O18" s="295" t="s">
        <v>1914</v>
      </c>
      <c r="P18" s="295" t="s">
        <v>1963</v>
      </c>
      <c r="Q18" s="295" t="s">
        <v>2003</v>
      </c>
      <c r="R18" s="295" t="s">
        <v>2050</v>
      </c>
      <c r="S18" s="295" t="s">
        <v>2077</v>
      </c>
    </row>
    <row r="19" ht="14.25" customHeight="1" spans="1:19">
      <c r="A19" s="290" t="s">
        <v>1744</v>
      </c>
      <c r="B19" s="299" t="s">
        <v>1754</v>
      </c>
      <c r="C19" s="295">
        <v>23430</v>
      </c>
      <c r="D19" s="295">
        <v>21580</v>
      </c>
      <c r="E19" s="295">
        <v>21350</v>
      </c>
      <c r="F19" s="306"/>
      <c r="H19" s="307"/>
      <c r="J19" s="295" t="s">
        <v>1762</v>
      </c>
      <c r="K19" s="295" t="s">
        <v>1782</v>
      </c>
      <c r="L19" s="295" t="s">
        <v>1803</v>
      </c>
      <c r="M19" s="295" t="s">
        <v>1831</v>
      </c>
      <c r="N19" s="295" t="s">
        <v>1866</v>
      </c>
      <c r="O19" s="295" t="s">
        <v>1915</v>
      </c>
      <c r="P19" s="295" t="s">
        <v>1964</v>
      </c>
      <c r="Q19" s="295" t="s">
        <v>2004</v>
      </c>
      <c r="R19" s="295" t="s">
        <v>2051</v>
      </c>
      <c r="S19" s="295" t="s">
        <v>2078</v>
      </c>
    </row>
    <row r="20" ht="14.25" customHeight="1" spans="1:19">
      <c r="A20" s="290" t="s">
        <v>1744</v>
      </c>
      <c r="B20" s="299" t="s">
        <v>1755</v>
      </c>
      <c r="C20" s="295">
        <v>27660</v>
      </c>
      <c r="D20" s="295">
        <v>24240</v>
      </c>
      <c r="E20" s="295">
        <v>24020</v>
      </c>
      <c r="F20" s="306"/>
      <c r="J20" s="295" t="s">
        <v>1763</v>
      </c>
      <c r="K20" s="295" t="s">
        <v>1783</v>
      </c>
      <c r="L20" s="295" t="s">
        <v>1804</v>
      </c>
      <c r="M20" s="295" t="s">
        <v>1832</v>
      </c>
      <c r="N20" s="295" t="s">
        <v>1867</v>
      </c>
      <c r="O20" s="295" t="s">
        <v>1916</v>
      </c>
      <c r="P20" s="295" t="s">
        <v>1965</v>
      </c>
      <c r="Q20" s="295" t="s">
        <v>2005</v>
      </c>
      <c r="R20" s="295" t="s">
        <v>2052</v>
      </c>
      <c r="S20" s="295" t="s">
        <v>2079</v>
      </c>
    </row>
    <row r="21" ht="14.25" customHeight="1" spans="1:19">
      <c r="A21" s="290" t="s">
        <v>1744</v>
      </c>
      <c r="B21" s="299" t="s">
        <v>1756</v>
      </c>
      <c r="C21" s="295">
        <v>24720</v>
      </c>
      <c r="D21" s="295">
        <v>21670</v>
      </c>
      <c r="E21" s="295">
        <v>21510</v>
      </c>
      <c r="F21" s="306"/>
      <c r="K21" s="295" t="s">
        <v>1784</v>
      </c>
      <c r="L21" s="295" t="s">
        <v>1805</v>
      </c>
      <c r="M21" s="295" t="s">
        <v>1833</v>
      </c>
      <c r="N21" s="295" t="s">
        <v>1868</v>
      </c>
      <c r="O21" s="295" t="s">
        <v>1917</v>
      </c>
      <c r="P21" s="295" t="s">
        <v>1966</v>
      </c>
      <c r="Q21" s="295" t="s">
        <v>2006</v>
      </c>
      <c r="R21" s="295" t="s">
        <v>2053</v>
      </c>
      <c r="S21" s="295" t="s">
        <v>2080</v>
      </c>
    </row>
    <row r="22" ht="14.25" customHeight="1" spans="1:19">
      <c r="A22" s="290" t="s">
        <v>1744</v>
      </c>
      <c r="B22" s="299" t="s">
        <v>1757</v>
      </c>
      <c r="C22" s="295">
        <v>26530</v>
      </c>
      <c r="D22" s="295">
        <v>22980</v>
      </c>
      <c r="E22" s="295">
        <v>22650</v>
      </c>
      <c r="F22" s="306"/>
      <c r="L22" s="295" t="s">
        <v>1806</v>
      </c>
      <c r="M22" s="295" t="s">
        <v>1834</v>
      </c>
      <c r="N22" s="295" t="s">
        <v>1869</v>
      </c>
      <c r="O22" s="295" t="s">
        <v>1918</v>
      </c>
      <c r="P22" s="295" t="s">
        <v>1967</v>
      </c>
      <c r="Q22" s="295" t="s">
        <v>2007</v>
      </c>
      <c r="R22" s="295" t="s">
        <v>2054</v>
      </c>
      <c r="S22" s="299" t="s">
        <v>2081</v>
      </c>
    </row>
    <row r="23" ht="14.25" customHeight="1" spans="1:18">
      <c r="A23" s="290" t="s">
        <v>1744</v>
      </c>
      <c r="B23" s="299" t="s">
        <v>1758</v>
      </c>
      <c r="C23" s="295">
        <v>24700</v>
      </c>
      <c r="D23" s="295">
        <v>27290</v>
      </c>
      <c r="E23" s="295">
        <v>26710</v>
      </c>
      <c r="F23" s="306"/>
      <c r="L23" s="295" t="s">
        <v>1807</v>
      </c>
      <c r="M23" s="295" t="s">
        <v>1835</v>
      </c>
      <c r="N23" s="295" t="s">
        <v>1870</v>
      </c>
      <c r="O23" s="295" t="s">
        <v>1919</v>
      </c>
      <c r="P23" s="295" t="s">
        <v>1968</v>
      </c>
      <c r="Q23" s="295" t="s">
        <v>2008</v>
      </c>
      <c r="R23" s="295" t="s">
        <v>2055</v>
      </c>
    </row>
    <row r="24" ht="14.25" customHeight="1" spans="1:18">
      <c r="A24" s="290" t="s">
        <v>1744</v>
      </c>
      <c r="B24" s="299" t="s">
        <v>1759</v>
      </c>
      <c r="C24" s="295">
        <v>23070</v>
      </c>
      <c r="D24" s="295">
        <v>24130</v>
      </c>
      <c r="E24" s="295">
        <v>23860</v>
      </c>
      <c r="F24" s="306"/>
      <c r="L24" s="295" t="s">
        <v>1808</v>
      </c>
      <c r="M24" s="295" t="s">
        <v>1836</v>
      </c>
      <c r="N24" s="295" t="s">
        <v>1871</v>
      </c>
      <c r="O24" s="295" t="s">
        <v>1920</v>
      </c>
      <c r="P24" s="295" t="s">
        <v>1969</v>
      </c>
      <c r="Q24" s="295" t="s">
        <v>2009</v>
      </c>
      <c r="R24" s="295" t="s">
        <v>2056</v>
      </c>
    </row>
    <row r="25" ht="14.25" customHeight="1" spans="1:18">
      <c r="A25" s="290" t="s">
        <v>1744</v>
      </c>
      <c r="B25" s="299" t="s">
        <v>1760</v>
      </c>
      <c r="C25" s="295">
        <v>27550</v>
      </c>
      <c r="D25" s="295">
        <v>25850</v>
      </c>
      <c r="E25" s="295">
        <v>25340</v>
      </c>
      <c r="F25" s="306"/>
      <c r="L25" s="295" t="s">
        <v>1809</v>
      </c>
      <c r="M25" s="295" t="s">
        <v>1837</v>
      </c>
      <c r="N25" s="295" t="s">
        <v>1872</v>
      </c>
      <c r="O25" s="295" t="s">
        <v>1921</v>
      </c>
      <c r="P25" s="295" t="s">
        <v>1970</v>
      </c>
      <c r="Q25" s="295" t="s">
        <v>2010</v>
      </c>
      <c r="R25" s="295" t="s">
        <v>2057</v>
      </c>
    </row>
    <row r="26" ht="14.25" customHeight="1" spans="1:18">
      <c r="A26" s="290" t="s">
        <v>1744</v>
      </c>
      <c r="B26" s="299" t="s">
        <v>1761</v>
      </c>
      <c r="C26" s="295"/>
      <c r="D26" s="295">
        <v>23900</v>
      </c>
      <c r="E26" s="295">
        <v>23590</v>
      </c>
      <c r="F26" s="306"/>
      <c r="L26" s="295" t="s">
        <v>1810</v>
      </c>
      <c r="M26" s="295" t="s">
        <v>1838</v>
      </c>
      <c r="N26" s="295" t="s">
        <v>1873</v>
      </c>
      <c r="O26" s="295" t="s">
        <v>1922</v>
      </c>
      <c r="P26" s="295" t="s">
        <v>1971</v>
      </c>
      <c r="Q26" s="295" t="s">
        <v>2011</v>
      </c>
      <c r="R26" s="295" t="s">
        <v>2058</v>
      </c>
    </row>
    <row r="27" ht="14.25" customHeight="1" spans="1:18">
      <c r="A27" s="290" t="s">
        <v>1744</v>
      </c>
      <c r="B27" s="299" t="s">
        <v>1762</v>
      </c>
      <c r="C27" s="295"/>
      <c r="D27" s="295">
        <v>22850</v>
      </c>
      <c r="E27" s="295">
        <v>21920</v>
      </c>
      <c r="F27" s="306"/>
      <c r="L27" s="295" t="s">
        <v>1811</v>
      </c>
      <c r="M27" s="295" t="s">
        <v>1839</v>
      </c>
      <c r="N27" s="295" t="s">
        <v>1874</v>
      </c>
      <c r="O27" s="295" t="s">
        <v>1923</v>
      </c>
      <c r="P27" s="295" t="s">
        <v>1972</v>
      </c>
      <c r="Q27" s="295" t="s">
        <v>2012</v>
      </c>
      <c r="R27" s="295" t="s">
        <v>2059</v>
      </c>
    </row>
    <row r="28" ht="14.25" customHeight="1" spans="1:17">
      <c r="A28" s="308" t="s">
        <v>1744</v>
      </c>
      <c r="B28" s="300" t="s">
        <v>1763</v>
      </c>
      <c r="C28" s="301"/>
      <c r="D28" s="301">
        <v>26610</v>
      </c>
      <c r="E28" s="301">
        <v>26370</v>
      </c>
      <c r="F28" s="302"/>
      <c r="L28" s="295" t="s">
        <v>1812</v>
      </c>
      <c r="M28" s="295" t="s">
        <v>1840</v>
      </c>
      <c r="N28" s="295" t="s">
        <v>1875</v>
      </c>
      <c r="O28" s="295" t="s">
        <v>1924</v>
      </c>
      <c r="P28" s="295" t="s">
        <v>1973</v>
      </c>
      <c r="Q28" s="295" t="s">
        <v>2013</v>
      </c>
    </row>
    <row r="29" ht="14.25" customHeight="1" spans="1:17">
      <c r="A29" s="290" t="s">
        <v>1764</v>
      </c>
      <c r="B29" s="291" t="s">
        <v>1765</v>
      </c>
      <c r="C29" s="291">
        <v>22090</v>
      </c>
      <c r="D29" s="291">
        <v>21860</v>
      </c>
      <c r="E29" s="291">
        <v>19380</v>
      </c>
      <c r="F29" s="292">
        <v>6610</v>
      </c>
      <c r="M29" s="295" t="s">
        <v>1841</v>
      </c>
      <c r="N29" s="295" t="s">
        <v>1876</v>
      </c>
      <c r="O29" s="295" t="s">
        <v>1925</v>
      </c>
      <c r="P29" s="295" t="s">
        <v>1974</v>
      </c>
      <c r="Q29" s="295" t="s">
        <v>2014</v>
      </c>
    </row>
    <row r="30" ht="14.25" customHeight="1" spans="1:17">
      <c r="A30" s="290" t="s">
        <v>1764</v>
      </c>
      <c r="B30" s="299" t="s">
        <v>1766</v>
      </c>
      <c r="C30" s="295">
        <v>21380</v>
      </c>
      <c r="D30" s="295">
        <v>19930</v>
      </c>
      <c r="E30" s="295">
        <v>19860</v>
      </c>
      <c r="F30" s="303">
        <v>6010</v>
      </c>
      <c r="H30" s="307"/>
      <c r="M30" s="295" t="s">
        <v>1842</v>
      </c>
      <c r="N30" s="295" t="s">
        <v>1877</v>
      </c>
      <c r="O30" s="295" t="s">
        <v>1926</v>
      </c>
      <c r="P30" s="295" t="s">
        <v>2127</v>
      </c>
      <c r="Q30" s="295" t="s">
        <v>2015</v>
      </c>
    </row>
    <row r="31" ht="14.25" customHeight="1" spans="1:17">
      <c r="A31" s="290" t="s">
        <v>1764</v>
      </c>
      <c r="B31" s="299" t="s">
        <v>1767</v>
      </c>
      <c r="C31" s="295">
        <v>21670</v>
      </c>
      <c r="D31" s="295">
        <v>20660</v>
      </c>
      <c r="E31" s="295">
        <v>20290</v>
      </c>
      <c r="F31" s="303">
        <v>5840</v>
      </c>
      <c r="H31" s="307"/>
      <c r="M31" s="295" t="s">
        <v>1843</v>
      </c>
      <c r="N31" s="295" t="s">
        <v>1878</v>
      </c>
      <c r="O31" s="295" t="s">
        <v>1927</v>
      </c>
      <c r="P31" s="295" t="s">
        <v>1976</v>
      </c>
      <c r="Q31" s="295" t="s">
        <v>2016</v>
      </c>
    </row>
    <row r="32" ht="14.25" customHeight="1" spans="1:17">
      <c r="A32" s="290" t="s">
        <v>1764</v>
      </c>
      <c r="B32" s="299" t="s">
        <v>1768</v>
      </c>
      <c r="C32" s="295">
        <v>22280</v>
      </c>
      <c r="D32" s="295">
        <v>21800</v>
      </c>
      <c r="E32" s="295">
        <v>17650</v>
      </c>
      <c r="F32" s="303">
        <v>4690</v>
      </c>
      <c r="H32" s="307"/>
      <c r="M32" s="295" t="s">
        <v>1844</v>
      </c>
      <c r="N32" s="295" t="s">
        <v>1879</v>
      </c>
      <c r="O32" s="295" t="s">
        <v>1928</v>
      </c>
      <c r="P32" s="295" t="s">
        <v>1977</v>
      </c>
      <c r="Q32" s="295" t="s">
        <v>2017</v>
      </c>
    </row>
    <row r="33" ht="14.25" customHeight="1" spans="1:17">
      <c r="A33" s="290" t="s">
        <v>1764</v>
      </c>
      <c r="B33" s="299" t="s">
        <v>1769</v>
      </c>
      <c r="C33" s="295">
        <v>22130</v>
      </c>
      <c r="D33" s="295">
        <v>20460</v>
      </c>
      <c r="E33" s="295">
        <v>18500</v>
      </c>
      <c r="F33" s="303">
        <v>5340</v>
      </c>
      <c r="H33" s="307"/>
      <c r="M33" s="295" t="s">
        <v>1845</v>
      </c>
      <c r="N33" s="295" t="s">
        <v>1880</v>
      </c>
      <c r="O33" s="295" t="s">
        <v>1929</v>
      </c>
      <c r="P33" s="295" t="s">
        <v>1978</v>
      </c>
      <c r="Q33" s="295" t="s">
        <v>2018</v>
      </c>
    </row>
    <row r="34" ht="14.25" customHeight="1" spans="1:17">
      <c r="A34" s="290" t="s">
        <v>1764</v>
      </c>
      <c r="B34" s="299" t="s">
        <v>1770</v>
      </c>
      <c r="C34" s="295">
        <v>22070</v>
      </c>
      <c r="D34" s="295">
        <v>20110</v>
      </c>
      <c r="E34" s="295">
        <v>18830</v>
      </c>
      <c r="F34" s="303">
        <v>5190</v>
      </c>
      <c r="H34" s="307"/>
      <c r="M34" s="295" t="s">
        <v>1846</v>
      </c>
      <c r="N34" s="295" t="s">
        <v>1881</v>
      </c>
      <c r="O34" s="295" t="s">
        <v>1930</v>
      </c>
      <c r="P34" s="295" t="s">
        <v>1979</v>
      </c>
      <c r="Q34" s="295" t="s">
        <v>2019</v>
      </c>
    </row>
    <row r="35" ht="14.25" customHeight="1" spans="1:17">
      <c r="A35" s="290" t="s">
        <v>1764</v>
      </c>
      <c r="B35" s="299" t="s">
        <v>1771</v>
      </c>
      <c r="C35" s="295">
        <v>22240</v>
      </c>
      <c r="D35" s="295">
        <v>19550</v>
      </c>
      <c r="E35" s="295">
        <v>19220</v>
      </c>
      <c r="F35" s="303">
        <v>5800</v>
      </c>
      <c r="H35" s="307"/>
      <c r="M35" s="295" t="s">
        <v>1847</v>
      </c>
      <c r="N35" s="295" t="s">
        <v>1882</v>
      </c>
      <c r="O35" s="295" t="s">
        <v>1931</v>
      </c>
      <c r="P35" s="295" t="s">
        <v>1980</v>
      </c>
      <c r="Q35" s="295" t="s">
        <v>2020</v>
      </c>
    </row>
    <row r="36" ht="14.25" customHeight="1" spans="1:17">
      <c r="A36" s="290" t="s">
        <v>1764</v>
      </c>
      <c r="B36" s="299" t="s">
        <v>1772</v>
      </c>
      <c r="C36" s="295">
        <v>19750</v>
      </c>
      <c r="D36" s="295">
        <v>19790</v>
      </c>
      <c r="E36" s="295">
        <v>18510</v>
      </c>
      <c r="F36" s="303">
        <v>6520</v>
      </c>
      <c r="H36" s="307"/>
      <c r="N36" s="295" t="s">
        <v>1883</v>
      </c>
      <c r="O36" s="295" t="s">
        <v>1932</v>
      </c>
      <c r="P36" s="295" t="s">
        <v>1981</v>
      </c>
      <c r="Q36" s="295" t="s">
        <v>2021</v>
      </c>
    </row>
    <row r="37" ht="14.25" customHeight="1" spans="1:17">
      <c r="A37" s="290" t="s">
        <v>1764</v>
      </c>
      <c r="B37" s="299" t="s">
        <v>1773</v>
      </c>
      <c r="C37" s="295">
        <v>22380</v>
      </c>
      <c r="D37" s="295">
        <v>18530</v>
      </c>
      <c r="E37" s="295">
        <v>17930</v>
      </c>
      <c r="F37" s="303">
        <v>6270</v>
      </c>
      <c r="H37" s="309"/>
      <c r="N37" s="295" t="s">
        <v>1884</v>
      </c>
      <c r="O37" s="295" t="s">
        <v>1933</v>
      </c>
      <c r="P37" s="295" t="s">
        <v>1982</v>
      </c>
      <c r="Q37" s="295" t="s">
        <v>2022</v>
      </c>
    </row>
    <row r="38" ht="14.25" customHeight="1" spans="1:17">
      <c r="A38" s="290" t="s">
        <v>1764</v>
      </c>
      <c r="B38" s="299" t="s">
        <v>1774</v>
      </c>
      <c r="C38" s="295">
        <v>20200</v>
      </c>
      <c r="D38" s="295">
        <v>20070</v>
      </c>
      <c r="E38" s="295">
        <v>19950</v>
      </c>
      <c r="F38" s="303"/>
      <c r="H38" s="310"/>
      <c r="N38" s="295" t="s">
        <v>1885</v>
      </c>
      <c r="O38" s="295" t="s">
        <v>1934</v>
      </c>
      <c r="P38" s="295" t="s">
        <v>1983</v>
      </c>
      <c r="Q38" s="295" t="s">
        <v>2023</v>
      </c>
    </row>
    <row r="39" ht="14.25" customHeight="1" spans="1:17">
      <c r="A39" s="290" t="s">
        <v>1764</v>
      </c>
      <c r="B39" s="299" t="s">
        <v>1775</v>
      </c>
      <c r="C39" s="295">
        <v>19300</v>
      </c>
      <c r="D39" s="295">
        <v>20360</v>
      </c>
      <c r="E39" s="295">
        <v>20230</v>
      </c>
      <c r="F39" s="303"/>
      <c r="H39" s="310"/>
      <c r="N39" s="295" t="s">
        <v>1886</v>
      </c>
      <c r="O39" s="295" t="s">
        <v>1935</v>
      </c>
      <c r="P39" s="295" t="s">
        <v>1984</v>
      </c>
      <c r="Q39" s="295" t="s">
        <v>2024</v>
      </c>
    </row>
    <row r="40" ht="14.25" customHeight="1" spans="1:17">
      <c r="A40" s="290" t="s">
        <v>1764</v>
      </c>
      <c r="B40" s="299" t="s">
        <v>1776</v>
      </c>
      <c r="C40" s="295">
        <v>20210</v>
      </c>
      <c r="D40" s="295">
        <v>19060</v>
      </c>
      <c r="E40" s="295">
        <v>18890</v>
      </c>
      <c r="F40" s="303"/>
      <c r="H40" s="310"/>
      <c r="N40" s="295" t="s">
        <v>1887</v>
      </c>
      <c r="O40" s="295" t="s">
        <v>1936</v>
      </c>
      <c r="P40" s="295" t="s">
        <v>1985</v>
      </c>
      <c r="Q40" s="295" t="s">
        <v>2025</v>
      </c>
    </row>
    <row r="41" ht="14.25" customHeight="1" spans="1:17">
      <c r="A41" s="290" t="s">
        <v>1764</v>
      </c>
      <c r="B41" s="299" t="s">
        <v>1777</v>
      </c>
      <c r="C41" s="295">
        <v>20560</v>
      </c>
      <c r="D41" s="295">
        <v>21040</v>
      </c>
      <c r="E41" s="295">
        <v>20740</v>
      </c>
      <c r="F41" s="303"/>
      <c r="H41" s="310"/>
      <c r="N41" s="299" t="s">
        <v>1888</v>
      </c>
      <c r="O41" s="299" t="s">
        <v>1937</v>
      </c>
      <c r="Q41" s="299" t="s">
        <v>2026</v>
      </c>
    </row>
    <row r="42" ht="14.25" customHeight="1" spans="1:17">
      <c r="A42" s="290" t="s">
        <v>1764</v>
      </c>
      <c r="B42" s="299" t="s">
        <v>1778</v>
      </c>
      <c r="C42" s="295">
        <v>19280</v>
      </c>
      <c r="D42" s="295">
        <v>22940</v>
      </c>
      <c r="E42" s="295">
        <v>22500</v>
      </c>
      <c r="F42" s="303"/>
      <c r="H42" s="310"/>
      <c r="N42" s="295" t="s">
        <v>1889</v>
      </c>
      <c r="O42" s="295" t="s">
        <v>1938</v>
      </c>
      <c r="Q42" s="295" t="s">
        <v>2027</v>
      </c>
    </row>
    <row r="43" ht="14.25" customHeight="1" spans="1:17">
      <c r="A43" s="290" t="s">
        <v>1764</v>
      </c>
      <c r="B43" s="299" t="s">
        <v>1779</v>
      </c>
      <c r="C43" s="295">
        <v>21520</v>
      </c>
      <c r="D43" s="295">
        <v>19230</v>
      </c>
      <c r="E43" s="295">
        <v>18540</v>
      </c>
      <c r="F43" s="303"/>
      <c r="H43" s="310"/>
      <c r="N43" s="295" t="s">
        <v>1890</v>
      </c>
      <c r="O43" s="295" t="s">
        <v>1939</v>
      </c>
      <c r="Q43" s="295" t="s">
        <v>2028</v>
      </c>
    </row>
    <row r="44" ht="14.25" customHeight="1" spans="1:17">
      <c r="A44" s="290" t="s">
        <v>1764</v>
      </c>
      <c r="B44" s="299" t="s">
        <v>1780</v>
      </c>
      <c r="C44" s="295">
        <v>23260</v>
      </c>
      <c r="D44" s="295">
        <v>21180</v>
      </c>
      <c r="E44" s="295">
        <v>20730</v>
      </c>
      <c r="F44" s="303"/>
      <c r="H44" s="310"/>
      <c r="N44" s="295" t="s">
        <v>1891</v>
      </c>
      <c r="O44" s="295" t="s">
        <v>1940</v>
      </c>
      <c r="Q44" s="295" t="s">
        <v>2029</v>
      </c>
    </row>
    <row r="45" ht="14.25" customHeight="1" spans="1:17">
      <c r="A45" s="290" t="s">
        <v>1764</v>
      </c>
      <c r="B45" s="299" t="s">
        <v>1781</v>
      </c>
      <c r="C45" s="295">
        <v>19610</v>
      </c>
      <c r="D45" s="295">
        <v>18090</v>
      </c>
      <c r="E45" s="295">
        <v>17970</v>
      </c>
      <c r="F45" s="303"/>
      <c r="H45" s="307"/>
      <c r="N45" s="295" t="s">
        <v>1892</v>
      </c>
      <c r="O45" s="295" t="s">
        <v>1941</v>
      </c>
      <c r="Q45" s="295" t="s">
        <v>2030</v>
      </c>
    </row>
    <row r="46" ht="14.25" customHeight="1" spans="1:17">
      <c r="A46" s="290" t="s">
        <v>1764</v>
      </c>
      <c r="B46" s="299" t="s">
        <v>1782</v>
      </c>
      <c r="C46" s="295">
        <v>21660</v>
      </c>
      <c r="D46" s="295">
        <v>19190</v>
      </c>
      <c r="E46" s="295">
        <v>19790</v>
      </c>
      <c r="F46" s="303"/>
      <c r="H46" s="310"/>
      <c r="N46" s="295" t="s">
        <v>1893</v>
      </c>
      <c r="O46" s="295" t="s">
        <v>1942</v>
      </c>
      <c r="Q46" s="295" t="s">
        <v>2031</v>
      </c>
    </row>
    <row r="47" ht="14.25" customHeight="1" spans="1:15">
      <c r="A47" s="290" t="s">
        <v>1764</v>
      </c>
      <c r="B47" s="299" t="s">
        <v>1783</v>
      </c>
      <c r="C47" s="295">
        <v>18220</v>
      </c>
      <c r="D47" s="295"/>
      <c r="E47" s="295">
        <v>17220</v>
      </c>
      <c r="F47" s="303"/>
      <c r="H47" s="310"/>
      <c r="N47" s="295" t="s">
        <v>1894</v>
      </c>
      <c r="O47" s="295" t="s">
        <v>1943</v>
      </c>
    </row>
    <row r="48" ht="14.25" customHeight="1" spans="1:15">
      <c r="A48" s="290" t="s">
        <v>1764</v>
      </c>
      <c r="B48" s="300" t="s">
        <v>1784</v>
      </c>
      <c r="C48" s="301">
        <v>19430</v>
      </c>
      <c r="D48" s="301"/>
      <c r="E48" s="301">
        <v>17830</v>
      </c>
      <c r="F48" s="311"/>
      <c r="H48" s="307"/>
      <c r="N48" s="295" t="s">
        <v>1895</v>
      </c>
      <c r="O48" s="295" t="s">
        <v>1944</v>
      </c>
    </row>
    <row r="49" ht="14.25" customHeight="1" spans="1:15">
      <c r="A49" s="290" t="s">
        <v>1785</v>
      </c>
      <c r="B49" s="291" t="s">
        <v>1786</v>
      </c>
      <c r="C49" s="291">
        <v>17090</v>
      </c>
      <c r="D49" s="291">
        <v>16950</v>
      </c>
      <c r="E49" s="291">
        <v>16310</v>
      </c>
      <c r="F49" s="292">
        <v>4540</v>
      </c>
      <c r="H49" s="310"/>
      <c r="N49" s="295" t="s">
        <v>1896</v>
      </c>
      <c r="O49" s="295" t="s">
        <v>1945</v>
      </c>
    </row>
    <row r="50" ht="14.25" customHeight="1" spans="1:8">
      <c r="A50" s="290" t="s">
        <v>1785</v>
      </c>
      <c r="B50" s="295" t="s">
        <v>1787</v>
      </c>
      <c r="C50" s="295">
        <v>19040</v>
      </c>
      <c r="D50" s="295">
        <v>16960</v>
      </c>
      <c r="E50" s="295">
        <v>14800</v>
      </c>
      <c r="F50" s="303">
        <v>3940</v>
      </c>
      <c r="H50" s="310"/>
    </row>
    <row r="51" ht="14.25" customHeight="1" spans="1:8">
      <c r="A51" s="290" t="s">
        <v>1785</v>
      </c>
      <c r="B51" s="295" t="s">
        <v>1788</v>
      </c>
      <c r="C51" s="295">
        <v>17040</v>
      </c>
      <c r="D51" s="295">
        <v>16930</v>
      </c>
      <c r="E51" s="295">
        <v>15030</v>
      </c>
      <c r="F51" s="303">
        <v>4120</v>
      </c>
      <c r="H51" s="310"/>
    </row>
    <row r="52" ht="14.25" customHeight="1" spans="1:8">
      <c r="A52" s="290" t="s">
        <v>1785</v>
      </c>
      <c r="B52" s="295" t="s">
        <v>1789</v>
      </c>
      <c r="C52" s="295">
        <v>17110</v>
      </c>
      <c r="D52" s="295">
        <v>17750</v>
      </c>
      <c r="E52" s="295">
        <v>17310</v>
      </c>
      <c r="F52" s="303">
        <v>3220</v>
      </c>
      <c r="H52" s="310"/>
    </row>
    <row r="53" ht="14.25" customHeight="1" spans="1:8">
      <c r="A53" s="290" t="s">
        <v>1785</v>
      </c>
      <c r="B53" s="295" t="s">
        <v>1790</v>
      </c>
      <c r="C53" s="295">
        <v>17810</v>
      </c>
      <c r="D53" s="295">
        <v>17260</v>
      </c>
      <c r="E53" s="295">
        <v>17090</v>
      </c>
      <c r="F53" s="303">
        <v>3520</v>
      </c>
      <c r="H53" s="310"/>
    </row>
    <row r="54" ht="14.25" customHeight="1" spans="1:8">
      <c r="A54" s="290" t="s">
        <v>1785</v>
      </c>
      <c r="B54" s="295" t="s">
        <v>1791</v>
      </c>
      <c r="C54" s="295">
        <v>17410</v>
      </c>
      <c r="D54" s="295">
        <v>16780</v>
      </c>
      <c r="E54" s="295">
        <v>16370</v>
      </c>
      <c r="F54" s="303">
        <v>3410</v>
      </c>
      <c r="H54" s="310"/>
    </row>
    <row r="55" ht="14.25" customHeight="1" spans="1:8">
      <c r="A55" s="290" t="s">
        <v>1785</v>
      </c>
      <c r="B55" s="295" t="s">
        <v>1792</v>
      </c>
      <c r="C55" s="295">
        <v>16930</v>
      </c>
      <c r="D55" s="295">
        <v>14720</v>
      </c>
      <c r="E55" s="295">
        <v>15000</v>
      </c>
      <c r="F55" s="303">
        <v>3710</v>
      </c>
      <c r="H55" s="310"/>
    </row>
    <row r="56" ht="14.25" customHeight="1" spans="1:8">
      <c r="A56" s="290" t="s">
        <v>1785</v>
      </c>
      <c r="B56" s="295" t="s">
        <v>1793</v>
      </c>
      <c r="C56" s="295">
        <v>14930</v>
      </c>
      <c r="D56" s="295">
        <v>15850</v>
      </c>
      <c r="E56" s="295">
        <v>14320</v>
      </c>
      <c r="F56" s="303">
        <v>3960</v>
      </c>
      <c r="H56" s="310"/>
    </row>
    <row r="57" ht="14.25" customHeight="1" spans="1:8">
      <c r="A57" s="290" t="s">
        <v>1785</v>
      </c>
      <c r="B57" s="295" t="s">
        <v>1794</v>
      </c>
      <c r="C57" s="295">
        <v>16160</v>
      </c>
      <c r="D57" s="295">
        <v>16190</v>
      </c>
      <c r="E57" s="295">
        <v>15650</v>
      </c>
      <c r="F57" s="303">
        <v>4200</v>
      </c>
      <c r="H57" s="310"/>
    </row>
    <row r="58" ht="14.25" customHeight="1" spans="1:8">
      <c r="A58" s="290" t="s">
        <v>1785</v>
      </c>
      <c r="B58" s="295" t="s">
        <v>1795</v>
      </c>
      <c r="C58" s="295">
        <v>16360</v>
      </c>
      <c r="D58" s="295">
        <v>14050</v>
      </c>
      <c r="E58" s="295">
        <v>16070</v>
      </c>
      <c r="F58" s="303">
        <v>3990</v>
      </c>
      <c r="H58" s="310"/>
    </row>
    <row r="59" ht="14.25" customHeight="1" spans="1:8">
      <c r="A59" s="290" t="s">
        <v>1785</v>
      </c>
      <c r="B59" s="295" t="s">
        <v>1796</v>
      </c>
      <c r="C59" s="295">
        <v>14160</v>
      </c>
      <c r="D59" s="295">
        <v>16620</v>
      </c>
      <c r="E59" s="295">
        <v>13940</v>
      </c>
      <c r="F59" s="303">
        <v>4260</v>
      </c>
      <c r="H59" s="310"/>
    </row>
    <row r="60" ht="14.25" customHeight="1" spans="1:8">
      <c r="A60" s="290" t="s">
        <v>1785</v>
      </c>
      <c r="B60" s="295" t="s">
        <v>1797</v>
      </c>
      <c r="C60" s="295">
        <v>16750</v>
      </c>
      <c r="D60" s="295">
        <v>13910</v>
      </c>
      <c r="E60" s="295">
        <v>16550</v>
      </c>
      <c r="F60" s="303">
        <v>4550</v>
      </c>
      <c r="H60" s="310"/>
    </row>
    <row r="61" ht="14.25" customHeight="1" spans="1:8">
      <c r="A61" s="290" t="s">
        <v>1785</v>
      </c>
      <c r="B61" s="295" t="s">
        <v>1798</v>
      </c>
      <c r="C61" s="295">
        <v>14000</v>
      </c>
      <c r="D61" s="295">
        <v>14550</v>
      </c>
      <c r="E61" s="295">
        <v>13860</v>
      </c>
      <c r="F61" s="312"/>
      <c r="H61" s="310"/>
    </row>
    <row r="62" ht="14.25" customHeight="1" spans="1:8">
      <c r="A62" s="290" t="s">
        <v>1785</v>
      </c>
      <c r="B62" s="295" t="s">
        <v>1799</v>
      </c>
      <c r="C62" s="295">
        <v>14660</v>
      </c>
      <c r="D62" s="295">
        <v>17450</v>
      </c>
      <c r="E62" s="295">
        <v>14470</v>
      </c>
      <c r="F62" s="312"/>
      <c r="H62" s="310"/>
    </row>
    <row r="63" ht="14.25" customHeight="1" spans="1:8">
      <c r="A63" s="290" t="s">
        <v>1785</v>
      </c>
      <c r="B63" s="295" t="s">
        <v>1800</v>
      </c>
      <c r="C63" s="295">
        <v>17610</v>
      </c>
      <c r="D63" s="295">
        <v>16500</v>
      </c>
      <c r="E63" s="295">
        <v>17330</v>
      </c>
      <c r="F63" s="312"/>
      <c r="H63" s="310"/>
    </row>
    <row r="64" ht="14.25" customHeight="1" spans="1:8">
      <c r="A64" s="290" t="s">
        <v>1785</v>
      </c>
      <c r="B64" s="295" t="s">
        <v>1801</v>
      </c>
      <c r="C64" s="295">
        <v>16590</v>
      </c>
      <c r="D64" s="295">
        <v>15130</v>
      </c>
      <c r="E64" s="295">
        <v>16420</v>
      </c>
      <c r="F64" s="312"/>
      <c r="H64" s="310"/>
    </row>
    <row r="65" s="278" customFormat="1" ht="14.25" customHeight="1" spans="1:8">
      <c r="A65" s="290" t="s">
        <v>1785</v>
      </c>
      <c r="B65" s="295" t="s">
        <v>1802</v>
      </c>
      <c r="C65" s="295">
        <v>15220</v>
      </c>
      <c r="D65" s="295">
        <v>14660</v>
      </c>
      <c r="E65" s="295">
        <v>15060</v>
      </c>
      <c r="F65" s="303"/>
      <c r="H65" s="310"/>
    </row>
    <row r="66" s="278" customFormat="1" ht="14.25" customHeight="1" spans="1:8">
      <c r="A66" s="290" t="s">
        <v>1785</v>
      </c>
      <c r="B66" s="295" t="s">
        <v>1803</v>
      </c>
      <c r="C66" s="295">
        <v>14720</v>
      </c>
      <c r="D66" s="295">
        <v>15970</v>
      </c>
      <c r="E66" s="295">
        <v>14610</v>
      </c>
      <c r="F66" s="303"/>
      <c r="H66" s="310"/>
    </row>
    <row r="67" s="278" customFormat="1" ht="14.25" customHeight="1" spans="1:8">
      <c r="A67" s="290" t="s">
        <v>1785</v>
      </c>
      <c r="B67" s="295" t="s">
        <v>1804</v>
      </c>
      <c r="C67" s="295">
        <v>16080</v>
      </c>
      <c r="D67" s="295">
        <v>14840</v>
      </c>
      <c r="E67" s="295">
        <v>15630</v>
      </c>
      <c r="F67" s="303"/>
      <c r="H67" s="310"/>
    </row>
    <row r="68" s="278" customFormat="1" ht="14.25" customHeight="1" spans="1:8">
      <c r="A68" s="290" t="s">
        <v>1785</v>
      </c>
      <c r="B68" s="295" t="s">
        <v>1805</v>
      </c>
      <c r="C68" s="295">
        <v>14940</v>
      </c>
      <c r="D68" s="295">
        <v>18000</v>
      </c>
      <c r="E68" s="295">
        <v>14040</v>
      </c>
      <c r="F68" s="303"/>
      <c r="H68" s="310"/>
    </row>
    <row r="69" s="278" customFormat="1" ht="14.25" customHeight="1" spans="1:8">
      <c r="A69" s="290" t="s">
        <v>1785</v>
      </c>
      <c r="B69" s="295" t="s">
        <v>1806</v>
      </c>
      <c r="C69" s="295">
        <v>18810</v>
      </c>
      <c r="D69" s="295">
        <v>15100</v>
      </c>
      <c r="E69" s="295">
        <v>14710</v>
      </c>
      <c r="F69" s="303"/>
      <c r="H69" s="310"/>
    </row>
    <row r="70" s="278" customFormat="1" ht="14.25" customHeight="1" spans="1:8">
      <c r="A70" s="290" t="s">
        <v>1785</v>
      </c>
      <c r="B70" s="295" t="s">
        <v>1807</v>
      </c>
      <c r="C70" s="295">
        <v>18270</v>
      </c>
      <c r="D70" s="295"/>
      <c r="E70" s="295"/>
      <c r="F70" s="303"/>
      <c r="H70" s="310"/>
    </row>
    <row r="71" s="278" customFormat="1" ht="14.25" customHeight="1" spans="1:8">
      <c r="A71" s="290" t="s">
        <v>1785</v>
      </c>
      <c r="B71" s="295" t="s">
        <v>1808</v>
      </c>
      <c r="C71" s="295">
        <v>15230</v>
      </c>
      <c r="D71" s="295"/>
      <c r="E71" s="295"/>
      <c r="F71" s="303"/>
      <c r="H71" s="310"/>
    </row>
    <row r="72" s="278" customFormat="1" ht="14.25" customHeight="1" spans="1:8">
      <c r="A72" s="290" t="s">
        <v>1785</v>
      </c>
      <c r="B72" s="295" t="s">
        <v>1809</v>
      </c>
      <c r="C72" s="295"/>
      <c r="D72" s="295"/>
      <c r="E72" s="295"/>
      <c r="F72" s="303">
        <v>4120</v>
      </c>
      <c r="H72" s="310"/>
    </row>
    <row r="73" s="278" customFormat="1" ht="14.25" customHeight="1" spans="1:8">
      <c r="A73" s="290" t="s">
        <v>1785</v>
      </c>
      <c r="B73" s="295" t="s">
        <v>1810</v>
      </c>
      <c r="C73" s="295"/>
      <c r="D73" s="295"/>
      <c r="E73" s="295"/>
      <c r="F73" s="303">
        <v>3930</v>
      </c>
      <c r="H73" s="310"/>
    </row>
    <row r="74" s="278" customFormat="1" ht="14.25" customHeight="1" spans="1:8">
      <c r="A74" s="290" t="s">
        <v>1785</v>
      </c>
      <c r="B74" s="295" t="s">
        <v>1811</v>
      </c>
      <c r="C74" s="295"/>
      <c r="D74" s="295"/>
      <c r="E74" s="295"/>
      <c r="F74" s="303">
        <v>4060</v>
      </c>
      <c r="H74" s="310"/>
    </row>
    <row r="75" s="278" customFormat="1" ht="14.25" customHeight="1" spans="1:8">
      <c r="A75" s="290" t="s">
        <v>1785</v>
      </c>
      <c r="B75" s="301" t="s">
        <v>1812</v>
      </c>
      <c r="C75" s="301"/>
      <c r="D75" s="301"/>
      <c r="E75" s="301"/>
      <c r="F75" s="311">
        <v>3750</v>
      </c>
      <c r="H75" s="310"/>
    </row>
    <row r="76" s="278" customFormat="1" ht="14.25" customHeight="1" spans="1:8">
      <c r="A76" s="290" t="s">
        <v>1813</v>
      </c>
      <c r="B76" s="291" t="s">
        <v>1814</v>
      </c>
      <c r="C76" s="291">
        <v>14690</v>
      </c>
      <c r="D76" s="291">
        <v>14640</v>
      </c>
      <c r="E76" s="291">
        <v>14590</v>
      </c>
      <c r="F76" s="292">
        <v>3060</v>
      </c>
      <c r="H76" s="310"/>
    </row>
    <row r="77" s="278" customFormat="1" ht="14.25" customHeight="1" spans="1:8">
      <c r="A77" s="290" t="s">
        <v>1813</v>
      </c>
      <c r="B77" s="295" t="s">
        <v>1815</v>
      </c>
      <c r="C77" s="295">
        <v>12550</v>
      </c>
      <c r="D77" s="295">
        <v>12480</v>
      </c>
      <c r="E77" s="295">
        <v>12450</v>
      </c>
      <c r="F77" s="303">
        <v>2590</v>
      </c>
      <c r="H77" s="310"/>
    </row>
    <row r="78" s="278" customFormat="1" ht="14.25" customHeight="1" spans="1:8">
      <c r="A78" s="290" t="s">
        <v>1813</v>
      </c>
      <c r="B78" s="295" t="s">
        <v>1816</v>
      </c>
      <c r="C78" s="295">
        <v>14360</v>
      </c>
      <c r="D78" s="295">
        <v>14320</v>
      </c>
      <c r="E78" s="295">
        <v>12510</v>
      </c>
      <c r="F78" s="303">
        <v>2700</v>
      </c>
      <c r="H78" s="310"/>
    </row>
    <row r="79" s="278" customFormat="1" ht="14.25" customHeight="1" spans="1:8">
      <c r="A79" s="290" t="s">
        <v>1813</v>
      </c>
      <c r="B79" s="295" t="s">
        <v>1817</v>
      </c>
      <c r="C79" s="295">
        <v>12590</v>
      </c>
      <c r="D79" s="295">
        <v>12540</v>
      </c>
      <c r="E79" s="295">
        <v>12350</v>
      </c>
      <c r="F79" s="303">
        <v>2740</v>
      </c>
      <c r="H79" s="310"/>
    </row>
    <row r="80" s="278" customFormat="1" ht="14.25" customHeight="1" spans="1:8">
      <c r="A80" s="290" t="s">
        <v>1813</v>
      </c>
      <c r="B80" s="295" t="s">
        <v>1818</v>
      </c>
      <c r="C80" s="295">
        <v>12450</v>
      </c>
      <c r="D80" s="295">
        <v>12370</v>
      </c>
      <c r="E80" s="295">
        <v>10790</v>
      </c>
      <c r="F80" s="303">
        <v>2290</v>
      </c>
      <c r="H80" s="310"/>
    </row>
    <row r="81" s="278" customFormat="1" ht="14.25" customHeight="1" spans="1:8">
      <c r="A81" s="290" t="s">
        <v>1813</v>
      </c>
      <c r="B81" s="295" t="s">
        <v>1819</v>
      </c>
      <c r="C81" s="295">
        <v>14210</v>
      </c>
      <c r="D81" s="295">
        <v>14150</v>
      </c>
      <c r="E81" s="295">
        <v>12730</v>
      </c>
      <c r="F81" s="303">
        <v>2240</v>
      </c>
      <c r="H81" s="310"/>
    </row>
    <row r="82" s="278" customFormat="1" ht="14.25" customHeight="1" spans="1:8">
      <c r="A82" s="290" t="s">
        <v>1813</v>
      </c>
      <c r="B82" s="295" t="s">
        <v>1820</v>
      </c>
      <c r="C82" s="295">
        <v>10860</v>
      </c>
      <c r="D82" s="295">
        <v>10820</v>
      </c>
      <c r="E82" s="295">
        <v>14720</v>
      </c>
      <c r="F82" s="303">
        <v>2490</v>
      </c>
      <c r="H82" s="310"/>
    </row>
    <row r="83" s="278" customFormat="1" ht="14.25" customHeight="1" spans="1:8">
      <c r="A83" s="290" t="s">
        <v>1813</v>
      </c>
      <c r="B83" s="295" t="s">
        <v>1821</v>
      </c>
      <c r="C83" s="295">
        <v>12810</v>
      </c>
      <c r="D83" s="295">
        <v>12760</v>
      </c>
      <c r="E83" s="295">
        <v>14830</v>
      </c>
      <c r="F83" s="303">
        <v>2450</v>
      </c>
      <c r="H83" s="310"/>
    </row>
    <row r="84" s="278" customFormat="1" ht="14.25" customHeight="1" spans="1:8">
      <c r="A84" s="290" t="s">
        <v>1813</v>
      </c>
      <c r="B84" s="295" t="s">
        <v>1822</v>
      </c>
      <c r="C84" s="295">
        <v>14950</v>
      </c>
      <c r="D84" s="295">
        <v>14810</v>
      </c>
      <c r="E84" s="295">
        <v>12590</v>
      </c>
      <c r="F84" s="303">
        <v>2540</v>
      </c>
      <c r="H84" s="310"/>
    </row>
    <row r="85" s="278" customFormat="1" ht="14.25" customHeight="1" spans="1:8">
      <c r="A85" s="290" t="s">
        <v>1813</v>
      </c>
      <c r="B85" s="295" t="s">
        <v>1823</v>
      </c>
      <c r="C85" s="295">
        <v>14960</v>
      </c>
      <c r="D85" s="295">
        <v>14890</v>
      </c>
      <c r="E85" s="295">
        <v>12840</v>
      </c>
      <c r="F85" s="303">
        <v>2840</v>
      </c>
      <c r="H85" s="310"/>
    </row>
    <row r="86" s="278" customFormat="1" ht="14.25" customHeight="1" spans="1:8">
      <c r="A86" s="290" t="s">
        <v>1813</v>
      </c>
      <c r="B86" s="295" t="s">
        <v>1824</v>
      </c>
      <c r="C86" s="295">
        <v>12730</v>
      </c>
      <c r="D86" s="295">
        <v>12660</v>
      </c>
      <c r="E86" s="295">
        <v>13310</v>
      </c>
      <c r="F86" s="303">
        <v>3140</v>
      </c>
      <c r="H86" s="310"/>
    </row>
    <row r="87" s="278" customFormat="1" ht="14.25" customHeight="1" spans="1:8">
      <c r="A87" s="290" t="s">
        <v>1813</v>
      </c>
      <c r="B87" s="295" t="s">
        <v>1825</v>
      </c>
      <c r="C87" s="295">
        <v>12940</v>
      </c>
      <c r="D87" s="295">
        <v>12890</v>
      </c>
      <c r="E87" s="295">
        <v>11580</v>
      </c>
      <c r="F87" s="312"/>
      <c r="H87" s="310"/>
    </row>
    <row r="88" s="278" customFormat="1" ht="14.25" customHeight="1" spans="1:8">
      <c r="A88" s="290" t="s">
        <v>1813</v>
      </c>
      <c r="B88" s="295" t="s">
        <v>1826</v>
      </c>
      <c r="C88" s="295">
        <v>13430</v>
      </c>
      <c r="D88" s="295">
        <v>13360</v>
      </c>
      <c r="E88" s="295">
        <v>12790</v>
      </c>
      <c r="F88" s="312"/>
      <c r="H88" s="310"/>
    </row>
    <row r="89" s="278" customFormat="1" ht="14.25" customHeight="1" spans="1:8">
      <c r="A89" s="290" t="s">
        <v>1813</v>
      </c>
      <c r="B89" s="295" t="s">
        <v>1827</v>
      </c>
      <c r="C89" s="295">
        <v>11680</v>
      </c>
      <c r="D89" s="295">
        <v>11630</v>
      </c>
      <c r="E89" s="295">
        <v>11320</v>
      </c>
      <c r="F89" s="312"/>
      <c r="H89" s="310"/>
    </row>
    <row r="90" s="278" customFormat="1" ht="14.25" customHeight="1" spans="1:8">
      <c r="A90" s="290" t="s">
        <v>1813</v>
      </c>
      <c r="B90" s="295" t="s">
        <v>1828</v>
      </c>
      <c r="C90" s="295">
        <v>12890</v>
      </c>
      <c r="D90" s="295">
        <v>12820</v>
      </c>
      <c r="E90" s="295">
        <v>12710</v>
      </c>
      <c r="F90" s="312"/>
      <c r="H90" s="310"/>
    </row>
    <row r="91" s="278" customFormat="1" ht="14.25" customHeight="1" spans="1:8">
      <c r="A91" s="290" t="s">
        <v>1813</v>
      </c>
      <c r="B91" s="295" t="s">
        <v>1829</v>
      </c>
      <c r="C91" s="295">
        <v>11410</v>
      </c>
      <c r="D91" s="295">
        <v>11360</v>
      </c>
      <c r="E91" s="295">
        <v>12670</v>
      </c>
      <c r="F91" s="312"/>
      <c r="H91" s="310"/>
    </row>
    <row r="92" s="278" customFormat="1" ht="14.25" customHeight="1" spans="1:8">
      <c r="A92" s="290" t="s">
        <v>1813</v>
      </c>
      <c r="B92" s="295" t="s">
        <v>1830</v>
      </c>
      <c r="C92" s="295">
        <v>12770</v>
      </c>
      <c r="D92" s="295">
        <v>12740</v>
      </c>
      <c r="E92" s="295">
        <v>11970</v>
      </c>
      <c r="F92" s="312"/>
      <c r="H92" s="310"/>
    </row>
    <row r="93" s="278" customFormat="1" ht="14.25" customHeight="1" spans="1:8">
      <c r="A93" s="290" t="s">
        <v>1813</v>
      </c>
      <c r="B93" s="295" t="s">
        <v>1831</v>
      </c>
      <c r="C93" s="295">
        <v>12740</v>
      </c>
      <c r="D93" s="295">
        <v>12700</v>
      </c>
      <c r="E93" s="295">
        <v>12540</v>
      </c>
      <c r="F93" s="312"/>
      <c r="H93" s="310"/>
    </row>
    <row r="94" s="278" customFormat="1" ht="14.25" customHeight="1" spans="1:8">
      <c r="A94" s="290" t="s">
        <v>1813</v>
      </c>
      <c r="B94" s="295" t="s">
        <v>1832</v>
      </c>
      <c r="C94" s="295">
        <v>12020</v>
      </c>
      <c r="D94" s="295">
        <v>11990</v>
      </c>
      <c r="E94" s="295">
        <v>13110</v>
      </c>
      <c r="F94" s="312"/>
      <c r="H94" s="310"/>
    </row>
    <row r="95" s="278" customFormat="1" ht="14.25" customHeight="1" spans="1:8">
      <c r="A95" s="290" t="s">
        <v>1813</v>
      </c>
      <c r="B95" s="295" t="s">
        <v>1833</v>
      </c>
      <c r="C95" s="295">
        <v>12620</v>
      </c>
      <c r="D95" s="295">
        <v>12580</v>
      </c>
      <c r="E95" s="295">
        <v>13160</v>
      </c>
      <c r="F95" s="303"/>
      <c r="H95" s="310"/>
    </row>
    <row r="96" s="278" customFormat="1" ht="14.25" customHeight="1" spans="1:8">
      <c r="A96" s="290" t="s">
        <v>1813</v>
      </c>
      <c r="B96" s="295" t="s">
        <v>1834</v>
      </c>
      <c r="C96" s="295">
        <v>13200</v>
      </c>
      <c r="D96" s="295">
        <v>13150</v>
      </c>
      <c r="E96" s="295">
        <v>12900</v>
      </c>
      <c r="F96" s="303"/>
      <c r="H96" s="310"/>
    </row>
    <row r="97" s="278" customFormat="1" ht="14.25" customHeight="1" spans="1:8">
      <c r="A97" s="290" t="s">
        <v>1813</v>
      </c>
      <c r="B97" s="295" t="s">
        <v>1835</v>
      </c>
      <c r="C97" s="295">
        <v>13270</v>
      </c>
      <c r="D97" s="295">
        <v>13210</v>
      </c>
      <c r="E97" s="295">
        <v>11080</v>
      </c>
      <c r="F97" s="303"/>
      <c r="H97" s="310"/>
    </row>
    <row r="98" s="278" customFormat="1" ht="14.25" customHeight="1" spans="1:8">
      <c r="A98" s="290" t="s">
        <v>1813</v>
      </c>
      <c r="B98" s="295" t="s">
        <v>1836</v>
      </c>
      <c r="C98" s="295">
        <v>13010</v>
      </c>
      <c r="D98" s="295">
        <v>12930</v>
      </c>
      <c r="E98" s="295">
        <v>12840</v>
      </c>
      <c r="F98" s="303"/>
      <c r="H98" s="310"/>
    </row>
    <row r="99" s="278" customFormat="1" ht="14.25" customHeight="1" spans="1:8">
      <c r="A99" s="290" t="s">
        <v>1813</v>
      </c>
      <c r="B99" s="295" t="s">
        <v>1837</v>
      </c>
      <c r="C99" s="295">
        <v>11190</v>
      </c>
      <c r="D99" s="295">
        <v>11130</v>
      </c>
      <c r="E99" s="295"/>
      <c r="F99" s="303"/>
      <c r="H99" s="310"/>
    </row>
    <row r="100" s="278" customFormat="1" ht="14.25" customHeight="1" spans="1:8">
      <c r="A100" s="290" t="s">
        <v>1813</v>
      </c>
      <c r="B100" s="295" t="s">
        <v>1838</v>
      </c>
      <c r="C100" s="295">
        <v>14280</v>
      </c>
      <c r="D100" s="295">
        <v>14180</v>
      </c>
      <c r="E100" s="295"/>
      <c r="F100" s="303"/>
      <c r="H100" s="310"/>
    </row>
    <row r="101" s="278" customFormat="1" ht="14.25" customHeight="1" spans="1:8">
      <c r="A101" s="290" t="s">
        <v>1813</v>
      </c>
      <c r="B101" s="295" t="s">
        <v>1839</v>
      </c>
      <c r="C101" s="295">
        <v>12960</v>
      </c>
      <c r="D101" s="295">
        <v>12890</v>
      </c>
      <c r="E101" s="295"/>
      <c r="F101" s="303"/>
      <c r="H101" s="310"/>
    </row>
    <row r="102" s="278" customFormat="1" ht="14.25" customHeight="1" spans="1:8">
      <c r="A102" s="290" t="s">
        <v>1813</v>
      </c>
      <c r="B102" s="295" t="s">
        <v>1840</v>
      </c>
      <c r="C102" s="295"/>
      <c r="D102" s="295"/>
      <c r="E102" s="295"/>
      <c r="F102" s="303">
        <v>3100</v>
      </c>
      <c r="H102" s="310"/>
    </row>
    <row r="103" s="278" customFormat="1" ht="14.25" customHeight="1" spans="1:8">
      <c r="A103" s="290" t="s">
        <v>1813</v>
      </c>
      <c r="B103" s="295" t="s">
        <v>1841</v>
      </c>
      <c r="C103" s="295"/>
      <c r="D103" s="295"/>
      <c r="E103" s="295"/>
      <c r="F103" s="303">
        <v>2320</v>
      </c>
      <c r="H103" s="310"/>
    </row>
    <row r="104" s="278" customFormat="1" ht="14.25" customHeight="1" spans="1:8">
      <c r="A104" s="290" t="s">
        <v>1813</v>
      </c>
      <c r="B104" s="295" t="s">
        <v>1842</v>
      </c>
      <c r="C104" s="295"/>
      <c r="D104" s="295"/>
      <c r="E104" s="295"/>
      <c r="F104" s="303">
        <v>2320</v>
      </c>
      <c r="H104" s="310"/>
    </row>
    <row r="105" s="278" customFormat="1" ht="14.25" customHeight="1" spans="1:8">
      <c r="A105" s="290" t="s">
        <v>1813</v>
      </c>
      <c r="B105" s="295" t="s">
        <v>1843</v>
      </c>
      <c r="C105" s="295"/>
      <c r="D105" s="295"/>
      <c r="E105" s="295"/>
      <c r="F105" s="303">
        <v>2320</v>
      </c>
      <c r="H105" s="310"/>
    </row>
    <row r="106" s="278" customFormat="1" ht="14.25" customHeight="1" spans="1:8">
      <c r="A106" s="290" t="s">
        <v>1813</v>
      </c>
      <c r="B106" s="295" t="s">
        <v>1844</v>
      </c>
      <c r="C106" s="295"/>
      <c r="D106" s="295"/>
      <c r="E106" s="295"/>
      <c r="F106" s="303">
        <v>2320</v>
      </c>
      <c r="H106" s="310"/>
    </row>
    <row r="107" s="278" customFormat="1" ht="14.25" customHeight="1" spans="1:8">
      <c r="A107" s="290" t="s">
        <v>1813</v>
      </c>
      <c r="B107" s="295" t="s">
        <v>1845</v>
      </c>
      <c r="C107" s="295"/>
      <c r="D107" s="295"/>
      <c r="E107" s="295"/>
      <c r="F107" s="303">
        <v>2280</v>
      </c>
      <c r="H107" s="310"/>
    </row>
    <row r="108" s="278" customFormat="1" ht="14.25" customHeight="1" spans="1:8">
      <c r="A108" s="290" t="s">
        <v>1813</v>
      </c>
      <c r="B108" s="295" t="s">
        <v>1846</v>
      </c>
      <c r="C108" s="295"/>
      <c r="D108" s="295"/>
      <c r="E108" s="295"/>
      <c r="F108" s="303">
        <v>2280</v>
      </c>
      <c r="H108" s="310"/>
    </row>
    <row r="109" s="278" customFormat="1" ht="14.25" customHeight="1" spans="1:8">
      <c r="A109" s="290" t="s">
        <v>1813</v>
      </c>
      <c r="B109" s="301" t="s">
        <v>1847</v>
      </c>
      <c r="C109" s="301"/>
      <c r="D109" s="301"/>
      <c r="E109" s="301"/>
      <c r="F109" s="311">
        <v>2280</v>
      </c>
      <c r="H109" s="310"/>
    </row>
    <row r="110" s="278" customFormat="1" ht="14.25" customHeight="1" spans="1:8">
      <c r="A110" s="290" t="s">
        <v>1848</v>
      </c>
      <c r="B110" s="291" t="s">
        <v>1849</v>
      </c>
      <c r="C110" s="291">
        <v>10520</v>
      </c>
      <c r="D110" s="291">
        <v>10490</v>
      </c>
      <c r="E110" s="291">
        <v>10760</v>
      </c>
      <c r="F110" s="292">
        <v>2160</v>
      </c>
      <c r="H110" s="310"/>
    </row>
    <row r="111" s="278" customFormat="1" ht="14.25" customHeight="1" spans="1:8">
      <c r="A111" s="290" t="s">
        <v>1848</v>
      </c>
      <c r="B111" s="295" t="s">
        <v>1850</v>
      </c>
      <c r="C111" s="295">
        <v>10090</v>
      </c>
      <c r="D111" s="295">
        <v>10060</v>
      </c>
      <c r="E111" s="295">
        <v>10300</v>
      </c>
      <c r="F111" s="303">
        <v>2010</v>
      </c>
      <c r="H111" s="310"/>
    </row>
    <row r="112" s="278" customFormat="1" ht="14.25" customHeight="1" spans="1:8">
      <c r="A112" s="290" t="s">
        <v>1848</v>
      </c>
      <c r="B112" s="295" t="s">
        <v>1851</v>
      </c>
      <c r="C112" s="295">
        <v>9910</v>
      </c>
      <c r="D112" s="295">
        <v>9850</v>
      </c>
      <c r="E112" s="295">
        <v>9960</v>
      </c>
      <c r="F112" s="303">
        <v>2090</v>
      </c>
      <c r="H112" s="310"/>
    </row>
    <row r="113" s="278" customFormat="1" ht="14.25" customHeight="1" spans="1:8">
      <c r="A113" s="290" t="s">
        <v>1848</v>
      </c>
      <c r="B113" s="295" t="s">
        <v>1852</v>
      </c>
      <c r="C113" s="295">
        <v>11430</v>
      </c>
      <c r="D113" s="295">
        <v>11400</v>
      </c>
      <c r="E113" s="295">
        <v>11710</v>
      </c>
      <c r="F113" s="303">
        <v>2050</v>
      </c>
      <c r="H113" s="310"/>
    </row>
    <row r="114" s="278" customFormat="1" ht="14.25" customHeight="1" spans="1:8">
      <c r="A114" s="290" t="s">
        <v>1848</v>
      </c>
      <c r="B114" s="295" t="s">
        <v>1853</v>
      </c>
      <c r="C114" s="295">
        <v>11390</v>
      </c>
      <c r="D114" s="295">
        <v>11350</v>
      </c>
      <c r="E114" s="295">
        <v>11640</v>
      </c>
      <c r="F114" s="303">
        <v>1620</v>
      </c>
      <c r="H114" s="310"/>
    </row>
    <row r="115" s="278" customFormat="1" ht="14.25" customHeight="1" spans="1:8">
      <c r="A115" s="290" t="s">
        <v>1848</v>
      </c>
      <c r="B115" s="295" t="s">
        <v>1854</v>
      </c>
      <c r="C115" s="295">
        <v>9930</v>
      </c>
      <c r="D115" s="295">
        <v>9900</v>
      </c>
      <c r="E115" s="295">
        <v>10160</v>
      </c>
      <c r="F115" s="303">
        <v>1580</v>
      </c>
      <c r="H115" s="310"/>
    </row>
    <row r="116" s="278" customFormat="1" ht="14.25" customHeight="1" spans="1:8">
      <c r="A116" s="290" t="s">
        <v>1848</v>
      </c>
      <c r="B116" s="295" t="s">
        <v>1855</v>
      </c>
      <c r="C116" s="295">
        <v>9150</v>
      </c>
      <c r="D116" s="295">
        <v>9120</v>
      </c>
      <c r="E116" s="295">
        <v>9380</v>
      </c>
      <c r="F116" s="303">
        <v>1750</v>
      </c>
      <c r="H116" s="310"/>
    </row>
    <row r="117" s="278" customFormat="1" ht="14.25" customHeight="1" spans="1:8">
      <c r="A117" s="290" t="s">
        <v>1848</v>
      </c>
      <c r="B117" s="295" t="s">
        <v>1856</v>
      </c>
      <c r="C117" s="295">
        <v>10680</v>
      </c>
      <c r="D117" s="295">
        <v>10650</v>
      </c>
      <c r="E117" s="295">
        <v>10970</v>
      </c>
      <c r="F117" s="303">
        <v>1730</v>
      </c>
      <c r="H117" s="310"/>
    </row>
    <row r="118" s="278" customFormat="1" ht="14.25" customHeight="1" spans="1:8">
      <c r="A118" s="290" t="s">
        <v>1848</v>
      </c>
      <c r="B118" s="295" t="s">
        <v>1857</v>
      </c>
      <c r="C118" s="295">
        <v>10080</v>
      </c>
      <c r="D118" s="295">
        <v>10050</v>
      </c>
      <c r="E118" s="295">
        <v>10350</v>
      </c>
      <c r="F118" s="303">
        <v>1920</v>
      </c>
      <c r="H118" s="310"/>
    </row>
    <row r="119" s="278" customFormat="1" ht="14.25" customHeight="1" spans="1:8">
      <c r="A119" s="290" t="s">
        <v>1848</v>
      </c>
      <c r="B119" s="295" t="s">
        <v>1858</v>
      </c>
      <c r="C119" s="295">
        <v>9450</v>
      </c>
      <c r="D119" s="295">
        <v>9410</v>
      </c>
      <c r="E119" s="295">
        <v>9680</v>
      </c>
      <c r="F119" s="303">
        <v>1880</v>
      </c>
      <c r="H119" s="310"/>
    </row>
    <row r="120" s="278" customFormat="1" ht="14.25" customHeight="1" spans="1:8">
      <c r="A120" s="290" t="s">
        <v>1848</v>
      </c>
      <c r="B120" s="295" t="s">
        <v>1859</v>
      </c>
      <c r="C120" s="295">
        <v>8730</v>
      </c>
      <c r="D120" s="295">
        <v>8700</v>
      </c>
      <c r="E120" s="295">
        <v>8950</v>
      </c>
      <c r="F120" s="303">
        <v>1830</v>
      </c>
      <c r="H120" s="310"/>
    </row>
    <row r="121" s="278" customFormat="1" ht="14.25" customHeight="1" spans="1:8">
      <c r="A121" s="290" t="s">
        <v>1848</v>
      </c>
      <c r="B121" s="295" t="s">
        <v>1860</v>
      </c>
      <c r="C121" s="295">
        <v>10070</v>
      </c>
      <c r="D121" s="295">
        <v>10040</v>
      </c>
      <c r="E121" s="295">
        <v>10270</v>
      </c>
      <c r="F121" s="303">
        <v>1960</v>
      </c>
      <c r="H121" s="310"/>
    </row>
    <row r="122" s="278" customFormat="1" ht="14.25" customHeight="1" spans="1:8">
      <c r="A122" s="290" t="s">
        <v>1848</v>
      </c>
      <c r="B122" s="295" t="s">
        <v>1861</v>
      </c>
      <c r="C122" s="295">
        <v>10500</v>
      </c>
      <c r="D122" s="295">
        <v>10470</v>
      </c>
      <c r="E122" s="295">
        <v>10780</v>
      </c>
      <c r="F122" s="303">
        <v>2180</v>
      </c>
      <c r="H122" s="310"/>
    </row>
    <row r="123" s="278" customFormat="1" ht="14.25" customHeight="1" spans="1:8">
      <c r="A123" s="290" t="s">
        <v>1848</v>
      </c>
      <c r="B123" s="295" t="s">
        <v>1862</v>
      </c>
      <c r="C123" s="295">
        <v>10390</v>
      </c>
      <c r="D123" s="295">
        <v>10360</v>
      </c>
      <c r="E123" s="295">
        <v>10660</v>
      </c>
      <c r="F123" s="303">
        <v>2040</v>
      </c>
      <c r="H123" s="310"/>
    </row>
    <row r="124" s="278" customFormat="1" ht="14.25" customHeight="1" spans="1:8">
      <c r="A124" s="290" t="s">
        <v>1848</v>
      </c>
      <c r="B124" s="295" t="s">
        <v>1863</v>
      </c>
      <c r="C124" s="295">
        <v>10390</v>
      </c>
      <c r="D124" s="295">
        <v>10360</v>
      </c>
      <c r="E124" s="295">
        <v>10680</v>
      </c>
      <c r="F124" s="312"/>
      <c r="H124" s="310"/>
    </row>
    <row r="125" s="278" customFormat="1" ht="14.25" customHeight="1" spans="1:8">
      <c r="A125" s="290" t="s">
        <v>1848</v>
      </c>
      <c r="B125" s="295" t="s">
        <v>1864</v>
      </c>
      <c r="C125" s="295">
        <v>10440</v>
      </c>
      <c r="D125" s="295">
        <v>10410</v>
      </c>
      <c r="E125" s="295">
        <v>10710</v>
      </c>
      <c r="F125" s="312"/>
      <c r="H125" s="310"/>
    </row>
    <row r="126" s="278" customFormat="1" ht="14.25" customHeight="1" spans="1:8">
      <c r="A126" s="290" t="s">
        <v>1848</v>
      </c>
      <c r="B126" s="295" t="s">
        <v>1865</v>
      </c>
      <c r="C126" s="295">
        <v>10780</v>
      </c>
      <c r="D126" s="295">
        <v>10750</v>
      </c>
      <c r="E126" s="295">
        <v>11080</v>
      </c>
      <c r="F126" s="312"/>
      <c r="H126" s="310"/>
    </row>
    <row r="127" s="278" customFormat="1" ht="14.25" customHeight="1" spans="1:8">
      <c r="A127" s="290" t="s">
        <v>1848</v>
      </c>
      <c r="B127" s="295" t="s">
        <v>1866</v>
      </c>
      <c r="C127" s="295">
        <v>10100</v>
      </c>
      <c r="D127" s="295">
        <v>10070</v>
      </c>
      <c r="E127" s="295">
        <v>10350</v>
      </c>
      <c r="F127" s="312"/>
      <c r="H127" s="310"/>
    </row>
    <row r="128" s="278" customFormat="1" ht="14.25" customHeight="1" spans="1:8">
      <c r="A128" s="290" t="s">
        <v>1848</v>
      </c>
      <c r="B128" s="295" t="s">
        <v>1867</v>
      </c>
      <c r="C128" s="295">
        <v>9200</v>
      </c>
      <c r="D128" s="295">
        <v>9160</v>
      </c>
      <c r="E128" s="295">
        <v>9660</v>
      </c>
      <c r="F128" s="312"/>
      <c r="H128" s="310"/>
    </row>
    <row r="129" s="278" customFormat="1" ht="14.25" customHeight="1" spans="1:8">
      <c r="A129" s="290" t="s">
        <v>1848</v>
      </c>
      <c r="B129" s="295" t="s">
        <v>1868</v>
      </c>
      <c r="C129" s="295">
        <v>10340</v>
      </c>
      <c r="D129" s="295">
        <v>10310</v>
      </c>
      <c r="E129" s="295">
        <v>10580</v>
      </c>
      <c r="F129" s="312"/>
      <c r="H129" s="310"/>
    </row>
    <row r="130" s="278" customFormat="1" ht="14.25" customHeight="1" spans="1:8">
      <c r="A130" s="290" t="s">
        <v>1848</v>
      </c>
      <c r="B130" s="295" t="s">
        <v>1869</v>
      </c>
      <c r="C130" s="295">
        <v>9680</v>
      </c>
      <c r="D130" s="295">
        <v>9660</v>
      </c>
      <c r="E130" s="295">
        <v>9950</v>
      </c>
      <c r="F130" s="312"/>
      <c r="H130" s="310"/>
    </row>
    <row r="131" s="278" customFormat="1" ht="14.25" customHeight="1" spans="1:8">
      <c r="A131" s="290" t="s">
        <v>1848</v>
      </c>
      <c r="B131" s="295" t="s">
        <v>1870</v>
      </c>
      <c r="C131" s="295">
        <v>9540</v>
      </c>
      <c r="D131" s="295">
        <v>9510</v>
      </c>
      <c r="E131" s="295">
        <v>9790</v>
      </c>
      <c r="F131" s="312"/>
      <c r="H131" s="310"/>
    </row>
    <row r="132" s="278" customFormat="1" ht="14.25" customHeight="1" spans="1:8">
      <c r="A132" s="290" t="s">
        <v>1848</v>
      </c>
      <c r="B132" s="295" t="s">
        <v>1871</v>
      </c>
      <c r="C132" s="295">
        <v>9320</v>
      </c>
      <c r="D132" s="295">
        <v>9290</v>
      </c>
      <c r="E132" s="295">
        <v>9570</v>
      </c>
      <c r="F132" s="312"/>
      <c r="H132" s="310"/>
    </row>
    <row r="133" s="278" customFormat="1" ht="14.25" customHeight="1" spans="1:8">
      <c r="A133" s="290" t="s">
        <v>1848</v>
      </c>
      <c r="B133" s="295" t="s">
        <v>1872</v>
      </c>
      <c r="C133" s="295">
        <v>10310</v>
      </c>
      <c r="D133" s="295">
        <v>10280</v>
      </c>
      <c r="E133" s="295">
        <v>10530</v>
      </c>
      <c r="F133" s="312"/>
      <c r="H133" s="310"/>
    </row>
    <row r="134" s="278" customFormat="1" ht="14.25" customHeight="1" spans="1:8">
      <c r="A134" s="290" t="s">
        <v>1848</v>
      </c>
      <c r="B134" s="295" t="s">
        <v>1873</v>
      </c>
      <c r="C134" s="295">
        <v>10370</v>
      </c>
      <c r="D134" s="295">
        <v>10310</v>
      </c>
      <c r="E134" s="295">
        <v>10240</v>
      </c>
      <c r="F134" s="303">
        <v>2060</v>
      </c>
      <c r="H134" s="310"/>
    </row>
    <row r="135" s="278" customFormat="1" ht="14.25" customHeight="1" spans="1:8">
      <c r="A135" s="290" t="s">
        <v>1848</v>
      </c>
      <c r="B135" s="295" t="s">
        <v>1874</v>
      </c>
      <c r="C135" s="295">
        <v>9300</v>
      </c>
      <c r="D135" s="295">
        <v>9270</v>
      </c>
      <c r="E135" s="295">
        <v>9350</v>
      </c>
      <c r="F135" s="312"/>
      <c r="H135" s="310"/>
    </row>
    <row r="136" s="278" customFormat="1" ht="14.25" customHeight="1" spans="1:8">
      <c r="A136" s="290" t="s">
        <v>1848</v>
      </c>
      <c r="B136" s="295" t="s">
        <v>1875</v>
      </c>
      <c r="C136" s="295">
        <v>10160</v>
      </c>
      <c r="D136" s="295">
        <v>10110</v>
      </c>
      <c r="E136" s="295">
        <v>10080</v>
      </c>
      <c r="F136" s="312"/>
      <c r="H136" s="310"/>
    </row>
    <row r="137" s="278" customFormat="1" ht="14.25" customHeight="1" spans="1:8">
      <c r="A137" s="290" t="s">
        <v>1848</v>
      </c>
      <c r="B137" s="295" t="s">
        <v>1876</v>
      </c>
      <c r="C137" s="295">
        <v>9200</v>
      </c>
      <c r="D137" s="295">
        <v>9170</v>
      </c>
      <c r="E137" s="295">
        <v>9450</v>
      </c>
      <c r="F137" s="312"/>
      <c r="H137" s="310"/>
    </row>
    <row r="138" s="278" customFormat="1" ht="14.25" customHeight="1" spans="1:8">
      <c r="A138" s="290" t="s">
        <v>1848</v>
      </c>
      <c r="B138" s="295" t="s">
        <v>1877</v>
      </c>
      <c r="C138" s="295">
        <v>9690</v>
      </c>
      <c r="D138" s="295">
        <v>9660</v>
      </c>
      <c r="E138" s="295">
        <v>9840</v>
      </c>
      <c r="F138" s="312"/>
      <c r="H138" s="310"/>
    </row>
    <row r="139" s="278" customFormat="1" ht="14.25" customHeight="1" spans="1:8">
      <c r="A139" s="290" t="s">
        <v>1848</v>
      </c>
      <c r="B139" s="295" t="s">
        <v>1878</v>
      </c>
      <c r="C139" s="295">
        <v>10290</v>
      </c>
      <c r="D139" s="295">
        <v>10260</v>
      </c>
      <c r="E139" s="295">
        <v>10550</v>
      </c>
      <c r="F139" s="303">
        <v>1700</v>
      </c>
      <c r="H139" s="310"/>
    </row>
    <row r="140" s="278" customFormat="1" ht="14.25" customHeight="1" spans="1:8">
      <c r="A140" s="290" t="s">
        <v>1848</v>
      </c>
      <c r="B140" s="295" t="s">
        <v>1879</v>
      </c>
      <c r="C140" s="295">
        <v>9740</v>
      </c>
      <c r="D140" s="295">
        <v>9710</v>
      </c>
      <c r="E140" s="295">
        <v>10000</v>
      </c>
      <c r="F140" s="303">
        <v>2000</v>
      </c>
      <c r="H140" s="310"/>
    </row>
    <row r="141" s="278" customFormat="1" ht="14.25" customHeight="1" spans="1:8">
      <c r="A141" s="290" t="s">
        <v>1848</v>
      </c>
      <c r="B141" s="295" t="s">
        <v>1880</v>
      </c>
      <c r="C141" s="295">
        <v>9810</v>
      </c>
      <c r="D141" s="295">
        <v>9770</v>
      </c>
      <c r="E141" s="295">
        <v>10060</v>
      </c>
      <c r="F141" s="312"/>
      <c r="H141" s="310"/>
    </row>
    <row r="142" s="278" customFormat="1" ht="14.25" customHeight="1" spans="1:8">
      <c r="A142" s="290" t="s">
        <v>1848</v>
      </c>
      <c r="B142" s="295" t="s">
        <v>1881</v>
      </c>
      <c r="C142" s="295">
        <v>9300</v>
      </c>
      <c r="D142" s="295">
        <v>9270</v>
      </c>
      <c r="E142" s="295">
        <v>9530</v>
      </c>
      <c r="F142" s="312"/>
      <c r="H142" s="310"/>
    </row>
    <row r="143" s="278" customFormat="1" ht="14.25" customHeight="1" spans="1:8">
      <c r="A143" s="290" t="s">
        <v>1848</v>
      </c>
      <c r="B143" s="295" t="s">
        <v>1882</v>
      </c>
      <c r="C143" s="295">
        <v>10080</v>
      </c>
      <c r="D143" s="295">
        <v>10050</v>
      </c>
      <c r="E143" s="295">
        <v>10340</v>
      </c>
      <c r="F143" s="312"/>
      <c r="H143" s="310"/>
    </row>
    <row r="144" s="278" customFormat="1" ht="14.25" customHeight="1" spans="1:8">
      <c r="A144" s="290" t="s">
        <v>1848</v>
      </c>
      <c r="B144" s="295" t="s">
        <v>1883</v>
      </c>
      <c r="C144" s="295">
        <v>9820</v>
      </c>
      <c r="D144" s="295">
        <v>9750</v>
      </c>
      <c r="E144" s="295">
        <v>9900</v>
      </c>
      <c r="F144" s="312"/>
      <c r="H144" s="310"/>
    </row>
    <row r="145" s="278" customFormat="1" ht="14.25" customHeight="1" spans="1:8">
      <c r="A145" s="290" t="s">
        <v>1848</v>
      </c>
      <c r="B145" s="295" t="s">
        <v>1884</v>
      </c>
      <c r="C145" s="295"/>
      <c r="D145" s="295"/>
      <c r="E145" s="295"/>
      <c r="F145" s="303">
        <v>1740</v>
      </c>
      <c r="H145" s="310"/>
    </row>
    <row r="146" s="278" customFormat="1" ht="14.25" customHeight="1" spans="1:8">
      <c r="A146" s="290" t="s">
        <v>1848</v>
      </c>
      <c r="B146" s="295" t="s">
        <v>1885</v>
      </c>
      <c r="C146" s="295"/>
      <c r="D146" s="295"/>
      <c r="E146" s="295"/>
      <c r="F146" s="303">
        <v>1740</v>
      </c>
      <c r="H146" s="310"/>
    </row>
    <row r="147" s="278" customFormat="1" ht="14.25" customHeight="1" spans="1:8">
      <c r="A147" s="290" t="s">
        <v>1848</v>
      </c>
      <c r="B147" s="295" t="s">
        <v>1886</v>
      </c>
      <c r="C147" s="295"/>
      <c r="D147" s="295"/>
      <c r="E147" s="295"/>
      <c r="F147" s="303">
        <v>1740</v>
      </c>
      <c r="H147" s="310"/>
    </row>
    <row r="148" s="278" customFormat="1" ht="14.25" customHeight="1" spans="1:8">
      <c r="A148" s="290" t="s">
        <v>1848</v>
      </c>
      <c r="B148" s="295" t="s">
        <v>1887</v>
      </c>
      <c r="C148" s="295"/>
      <c r="D148" s="295"/>
      <c r="E148" s="295"/>
      <c r="F148" s="303">
        <v>1740</v>
      </c>
      <c r="H148" s="310"/>
    </row>
    <row r="149" s="278" customFormat="1" ht="14.25" customHeight="1" spans="1:8">
      <c r="A149" s="290" t="s">
        <v>1848</v>
      </c>
      <c r="B149" s="295" t="s">
        <v>1888</v>
      </c>
      <c r="C149" s="295"/>
      <c r="D149" s="295"/>
      <c r="E149" s="295"/>
      <c r="F149" s="303">
        <v>1740</v>
      </c>
      <c r="H149" s="310"/>
    </row>
    <row r="150" s="278" customFormat="1" ht="14.25" customHeight="1" spans="1:8">
      <c r="A150" s="290" t="s">
        <v>1848</v>
      </c>
      <c r="B150" s="295" t="s">
        <v>1889</v>
      </c>
      <c r="C150" s="295"/>
      <c r="D150" s="295"/>
      <c r="E150" s="295"/>
      <c r="F150" s="303">
        <v>1610</v>
      </c>
      <c r="H150" s="310"/>
    </row>
    <row r="151" s="278" customFormat="1" ht="14.25" customHeight="1" spans="1:8">
      <c r="A151" s="290" t="s">
        <v>1848</v>
      </c>
      <c r="B151" s="295" t="s">
        <v>1890</v>
      </c>
      <c r="C151" s="295"/>
      <c r="D151" s="295"/>
      <c r="E151" s="295"/>
      <c r="F151" s="303">
        <v>1610</v>
      </c>
      <c r="H151" s="310"/>
    </row>
    <row r="152" s="278" customFormat="1" ht="14.25" customHeight="1" spans="1:8">
      <c r="A152" s="290" t="s">
        <v>1848</v>
      </c>
      <c r="B152" s="295" t="s">
        <v>1891</v>
      </c>
      <c r="C152" s="295"/>
      <c r="D152" s="295"/>
      <c r="E152" s="295"/>
      <c r="F152" s="303">
        <v>1610</v>
      </c>
      <c r="H152" s="310"/>
    </row>
    <row r="153" s="278" customFormat="1" ht="14.25" customHeight="1" spans="1:8">
      <c r="A153" s="290" t="s">
        <v>1848</v>
      </c>
      <c r="B153" s="295" t="s">
        <v>1892</v>
      </c>
      <c r="C153" s="295"/>
      <c r="D153" s="295"/>
      <c r="E153" s="295"/>
      <c r="F153" s="303">
        <v>1610</v>
      </c>
      <c r="H153" s="310"/>
    </row>
    <row r="154" s="278" customFormat="1" ht="14.25" customHeight="1" spans="1:8">
      <c r="A154" s="290" t="s">
        <v>1848</v>
      </c>
      <c r="B154" s="295" t="s">
        <v>1893</v>
      </c>
      <c r="C154" s="295"/>
      <c r="D154" s="295"/>
      <c r="E154" s="295"/>
      <c r="F154" s="303">
        <v>1610</v>
      </c>
      <c r="H154" s="310"/>
    </row>
    <row r="155" s="278" customFormat="1" ht="14.25" customHeight="1" spans="1:8">
      <c r="A155" s="290" t="s">
        <v>1848</v>
      </c>
      <c r="B155" s="295" t="s">
        <v>1894</v>
      </c>
      <c r="C155" s="295"/>
      <c r="D155" s="295"/>
      <c r="E155" s="295"/>
      <c r="F155" s="303">
        <v>1800</v>
      </c>
      <c r="H155" s="310"/>
    </row>
    <row r="156" s="278" customFormat="1" ht="14.25" customHeight="1" spans="1:8">
      <c r="A156" s="290" t="s">
        <v>1848</v>
      </c>
      <c r="B156" s="295" t="s">
        <v>1895</v>
      </c>
      <c r="C156" s="295"/>
      <c r="D156" s="295"/>
      <c r="E156" s="295"/>
      <c r="F156" s="303">
        <v>1910</v>
      </c>
      <c r="H156" s="310"/>
    </row>
    <row r="157" s="278" customFormat="1" ht="14.25" customHeight="1" spans="1:8">
      <c r="A157" s="290" t="s">
        <v>1848</v>
      </c>
      <c r="B157" s="301" t="s">
        <v>1896</v>
      </c>
      <c r="C157" s="301"/>
      <c r="D157" s="301"/>
      <c r="E157" s="301"/>
      <c r="F157" s="311">
        <v>1500</v>
      </c>
      <c r="H157" s="310"/>
    </row>
    <row r="158" s="278" customFormat="1" ht="14.25" customHeight="1" spans="1:8">
      <c r="A158" s="290" t="s">
        <v>1897</v>
      </c>
      <c r="B158" s="291" t="s">
        <v>1898</v>
      </c>
      <c r="C158" s="291">
        <v>8170</v>
      </c>
      <c r="D158" s="291">
        <v>8140</v>
      </c>
      <c r="E158" s="291">
        <v>8590</v>
      </c>
      <c r="F158" s="292">
        <v>1450</v>
      </c>
      <c r="H158" s="310"/>
    </row>
    <row r="159" s="278" customFormat="1" ht="14.25" customHeight="1" spans="1:8">
      <c r="A159" s="290" t="s">
        <v>1897</v>
      </c>
      <c r="B159" s="295" t="s">
        <v>1899</v>
      </c>
      <c r="C159" s="295">
        <v>7410</v>
      </c>
      <c r="D159" s="295">
        <v>7370</v>
      </c>
      <c r="E159" s="295">
        <v>8030</v>
      </c>
      <c r="F159" s="303">
        <v>1510</v>
      </c>
      <c r="H159" s="310"/>
    </row>
    <row r="160" s="278" customFormat="1" ht="14.25" customHeight="1" spans="1:8">
      <c r="A160" s="290" t="s">
        <v>1897</v>
      </c>
      <c r="B160" s="295" t="s">
        <v>1900</v>
      </c>
      <c r="C160" s="295">
        <v>7240</v>
      </c>
      <c r="D160" s="295">
        <v>7210</v>
      </c>
      <c r="E160" s="295">
        <v>7860</v>
      </c>
      <c r="F160" s="303">
        <v>1370</v>
      </c>
      <c r="H160" s="310"/>
    </row>
    <row r="161" s="278" customFormat="1" ht="14.25" customHeight="1" spans="1:8">
      <c r="A161" s="290" t="s">
        <v>1897</v>
      </c>
      <c r="B161" s="295" t="s">
        <v>1901</v>
      </c>
      <c r="C161" s="295">
        <v>7720</v>
      </c>
      <c r="D161" s="295">
        <v>7690</v>
      </c>
      <c r="E161" s="295">
        <v>8200</v>
      </c>
      <c r="F161" s="303">
        <v>1190</v>
      </c>
      <c r="H161" s="310"/>
    </row>
    <row r="162" s="278" customFormat="1" ht="14.25" customHeight="1" spans="1:8">
      <c r="A162" s="290" t="s">
        <v>1897</v>
      </c>
      <c r="B162" s="295" t="s">
        <v>1902</v>
      </c>
      <c r="C162" s="295">
        <v>6900</v>
      </c>
      <c r="D162" s="295">
        <v>6870</v>
      </c>
      <c r="E162" s="295">
        <v>7500</v>
      </c>
      <c r="F162" s="303">
        <v>1390</v>
      </c>
      <c r="H162" s="310"/>
    </row>
    <row r="163" s="278" customFormat="1" ht="14.25" customHeight="1" spans="1:8">
      <c r="A163" s="290" t="s">
        <v>1897</v>
      </c>
      <c r="B163" s="295" t="s">
        <v>1903</v>
      </c>
      <c r="C163" s="295">
        <v>7120</v>
      </c>
      <c r="D163" s="295">
        <v>7090</v>
      </c>
      <c r="E163" s="295">
        <v>7690</v>
      </c>
      <c r="F163" s="303">
        <v>1230</v>
      </c>
      <c r="H163" s="310"/>
    </row>
    <row r="164" s="278" customFormat="1" ht="14.25" customHeight="1" spans="1:8">
      <c r="A164" s="290" t="s">
        <v>1897</v>
      </c>
      <c r="B164" s="295" t="s">
        <v>1904</v>
      </c>
      <c r="C164" s="295">
        <v>6560</v>
      </c>
      <c r="D164" s="295">
        <v>6530</v>
      </c>
      <c r="E164" s="295">
        <v>7110</v>
      </c>
      <c r="F164" s="303">
        <v>1340</v>
      </c>
      <c r="H164" s="310"/>
    </row>
    <row r="165" s="278" customFormat="1" ht="14.25" customHeight="1" spans="1:8">
      <c r="A165" s="290" t="s">
        <v>1897</v>
      </c>
      <c r="B165" s="295" t="s">
        <v>1905</v>
      </c>
      <c r="C165" s="295">
        <v>7450</v>
      </c>
      <c r="D165" s="295">
        <v>7430</v>
      </c>
      <c r="E165" s="295">
        <v>8110</v>
      </c>
      <c r="F165" s="303">
        <v>1290</v>
      </c>
      <c r="H165" s="310"/>
    </row>
    <row r="166" s="278" customFormat="1" ht="14.25" customHeight="1" spans="1:8">
      <c r="A166" s="290" t="s">
        <v>1897</v>
      </c>
      <c r="B166" s="295" t="s">
        <v>1906</v>
      </c>
      <c r="C166" s="295">
        <v>7490</v>
      </c>
      <c r="D166" s="295">
        <v>7460</v>
      </c>
      <c r="E166" s="295">
        <v>8150</v>
      </c>
      <c r="F166" s="303">
        <v>1350</v>
      </c>
      <c r="H166" s="310"/>
    </row>
    <row r="167" s="278" customFormat="1" ht="14.25" customHeight="1" spans="1:8">
      <c r="A167" s="290" t="s">
        <v>1897</v>
      </c>
      <c r="B167" s="295" t="s">
        <v>1907</v>
      </c>
      <c r="C167" s="295">
        <v>7540</v>
      </c>
      <c r="D167" s="295">
        <v>7510</v>
      </c>
      <c r="E167" s="295">
        <v>8030</v>
      </c>
      <c r="F167" s="312"/>
      <c r="H167" s="310"/>
    </row>
    <row r="168" s="278" customFormat="1" ht="14.25" customHeight="1" spans="1:8">
      <c r="A168" s="290" t="s">
        <v>1897</v>
      </c>
      <c r="B168" s="295" t="s">
        <v>1908</v>
      </c>
      <c r="C168" s="295">
        <v>7210</v>
      </c>
      <c r="D168" s="295">
        <v>7180</v>
      </c>
      <c r="E168" s="295">
        <v>7830</v>
      </c>
      <c r="F168" s="312"/>
      <c r="H168" s="310"/>
    </row>
    <row r="169" s="278" customFormat="1" ht="14.25" customHeight="1" spans="1:8">
      <c r="A169" s="290" t="s">
        <v>1897</v>
      </c>
      <c r="B169" s="295" t="s">
        <v>1909</v>
      </c>
      <c r="C169" s="295">
        <v>7040</v>
      </c>
      <c r="D169" s="295">
        <v>7020</v>
      </c>
      <c r="E169" s="295">
        <v>7670</v>
      </c>
      <c r="F169" s="312"/>
      <c r="H169" s="310"/>
    </row>
    <row r="170" s="278" customFormat="1" ht="14.25" customHeight="1" spans="1:8">
      <c r="A170" s="290" t="s">
        <v>1897</v>
      </c>
      <c r="B170" s="295" t="s">
        <v>1910</v>
      </c>
      <c r="C170" s="295">
        <v>8040</v>
      </c>
      <c r="D170" s="295">
        <v>7190</v>
      </c>
      <c r="E170" s="295">
        <v>7850</v>
      </c>
      <c r="F170" s="312"/>
      <c r="H170" s="310"/>
    </row>
    <row r="171" s="278" customFormat="1" ht="14.25" customHeight="1" spans="1:8">
      <c r="A171" s="290" t="s">
        <v>1897</v>
      </c>
      <c r="B171" s="295" t="s">
        <v>1911</v>
      </c>
      <c r="C171" s="295">
        <v>7860</v>
      </c>
      <c r="D171" s="295">
        <v>7720</v>
      </c>
      <c r="E171" s="295">
        <v>8150</v>
      </c>
      <c r="F171" s="303">
        <v>1110</v>
      </c>
      <c r="H171" s="310"/>
    </row>
    <row r="172" s="278" customFormat="1" ht="14.25" customHeight="1" spans="1:8">
      <c r="A172" s="290" t="s">
        <v>1897</v>
      </c>
      <c r="B172" s="295" t="s">
        <v>1912</v>
      </c>
      <c r="C172" s="295">
        <v>7210</v>
      </c>
      <c r="D172" s="295">
        <v>7170</v>
      </c>
      <c r="E172" s="295">
        <v>7320</v>
      </c>
      <c r="F172" s="312"/>
      <c r="H172" s="310"/>
    </row>
    <row r="173" s="278" customFormat="1" ht="14.25" customHeight="1" spans="1:8">
      <c r="A173" s="290" t="s">
        <v>1897</v>
      </c>
      <c r="B173" s="295" t="s">
        <v>1913</v>
      </c>
      <c r="C173" s="295">
        <v>6860</v>
      </c>
      <c r="D173" s="295">
        <v>6810</v>
      </c>
      <c r="E173" s="295">
        <v>7440</v>
      </c>
      <c r="F173" s="312"/>
      <c r="H173" s="310"/>
    </row>
    <row r="174" s="278" customFormat="1" ht="14.25" customHeight="1" spans="1:8">
      <c r="A174" s="290" t="s">
        <v>1897</v>
      </c>
      <c r="B174" s="295" t="s">
        <v>1914</v>
      </c>
      <c r="C174" s="295">
        <v>7120</v>
      </c>
      <c r="D174" s="295">
        <v>7090</v>
      </c>
      <c r="E174" s="295">
        <v>7500</v>
      </c>
      <c r="F174" s="303">
        <v>1490</v>
      </c>
      <c r="H174" s="310"/>
    </row>
    <row r="175" s="278" customFormat="1" ht="14.25" customHeight="1" spans="1:8">
      <c r="A175" s="290" t="s">
        <v>1897</v>
      </c>
      <c r="B175" s="295" t="s">
        <v>1915</v>
      </c>
      <c r="C175" s="295">
        <v>7850</v>
      </c>
      <c r="D175" s="295">
        <v>7820</v>
      </c>
      <c r="E175" s="295">
        <v>8120</v>
      </c>
      <c r="F175" s="303">
        <v>1530</v>
      </c>
      <c r="H175" s="310"/>
    </row>
    <row r="176" s="278" customFormat="1" ht="14.25" customHeight="1" spans="1:8">
      <c r="A176" s="290" t="s">
        <v>1897</v>
      </c>
      <c r="B176" s="295" t="s">
        <v>1916</v>
      </c>
      <c r="C176" s="295">
        <v>7620</v>
      </c>
      <c r="D176" s="295">
        <v>7570</v>
      </c>
      <c r="E176" s="295">
        <v>7990</v>
      </c>
      <c r="F176" s="303">
        <v>1480</v>
      </c>
      <c r="H176" s="310"/>
    </row>
    <row r="177" s="278" customFormat="1" ht="14.25" customHeight="1" spans="1:8">
      <c r="A177" s="290" t="s">
        <v>1897</v>
      </c>
      <c r="B177" s="295" t="s">
        <v>1917</v>
      </c>
      <c r="C177" s="295">
        <v>8590</v>
      </c>
      <c r="D177" s="295">
        <v>8570</v>
      </c>
      <c r="E177" s="295">
        <v>8740</v>
      </c>
      <c r="F177" s="303">
        <v>1540</v>
      </c>
      <c r="H177" s="310"/>
    </row>
    <row r="178" s="278" customFormat="1" ht="14.25" customHeight="1" spans="1:8">
      <c r="A178" s="290" t="s">
        <v>1897</v>
      </c>
      <c r="B178" s="295" t="s">
        <v>1918</v>
      </c>
      <c r="C178" s="295">
        <v>7510</v>
      </c>
      <c r="D178" s="295">
        <v>7470</v>
      </c>
      <c r="E178" s="295">
        <v>8090</v>
      </c>
      <c r="F178" s="303">
        <v>1320</v>
      </c>
      <c r="H178" s="310"/>
    </row>
    <row r="179" s="278" customFormat="1" ht="14.25" customHeight="1" spans="1:8">
      <c r="A179" s="290" t="s">
        <v>1897</v>
      </c>
      <c r="B179" s="295" t="s">
        <v>1919</v>
      </c>
      <c r="C179" s="295">
        <v>6380</v>
      </c>
      <c r="D179" s="295">
        <v>6340</v>
      </c>
      <c r="E179" s="295">
        <v>6810</v>
      </c>
      <c r="F179" s="312"/>
      <c r="H179" s="310"/>
    </row>
    <row r="180" s="278" customFormat="1" ht="14.25" customHeight="1" spans="1:8">
      <c r="A180" s="290" t="s">
        <v>1897</v>
      </c>
      <c r="B180" s="295" t="s">
        <v>1920</v>
      </c>
      <c r="C180" s="295">
        <v>7830</v>
      </c>
      <c r="D180" s="295">
        <v>7800</v>
      </c>
      <c r="E180" s="295">
        <v>7780</v>
      </c>
      <c r="F180" s="303">
        <v>1440</v>
      </c>
      <c r="H180" s="310"/>
    </row>
    <row r="181" s="278" customFormat="1" ht="14.25" customHeight="1" spans="1:8">
      <c r="A181" s="290" t="s">
        <v>1897</v>
      </c>
      <c r="B181" s="295" t="s">
        <v>1921</v>
      </c>
      <c r="C181" s="295">
        <v>7110</v>
      </c>
      <c r="D181" s="295">
        <v>7080</v>
      </c>
      <c r="E181" s="295">
        <v>7730</v>
      </c>
      <c r="F181" s="303">
        <v>1350</v>
      </c>
      <c r="H181" s="310"/>
    </row>
    <row r="182" s="278" customFormat="1" ht="14.25" customHeight="1" spans="1:8">
      <c r="A182" s="290" t="s">
        <v>1897</v>
      </c>
      <c r="B182" s="295" t="s">
        <v>1922</v>
      </c>
      <c r="C182" s="295">
        <v>7310</v>
      </c>
      <c r="D182" s="295">
        <v>7280</v>
      </c>
      <c r="E182" s="295">
        <v>7950</v>
      </c>
      <c r="F182" s="303">
        <v>1220</v>
      </c>
      <c r="H182" s="310"/>
    </row>
    <row r="183" s="278" customFormat="1" ht="14.25" customHeight="1" spans="1:8">
      <c r="A183" s="290" t="s">
        <v>1897</v>
      </c>
      <c r="B183" s="295" t="s">
        <v>1923</v>
      </c>
      <c r="C183" s="295">
        <v>7470</v>
      </c>
      <c r="D183" s="295">
        <v>7440</v>
      </c>
      <c r="E183" s="295">
        <v>7880</v>
      </c>
      <c r="F183" s="312"/>
      <c r="H183" s="310"/>
    </row>
    <row r="184" s="278" customFormat="1" ht="14.25" customHeight="1" spans="1:8">
      <c r="A184" s="290" t="s">
        <v>1897</v>
      </c>
      <c r="B184" s="295" t="s">
        <v>1924</v>
      </c>
      <c r="C184" s="295">
        <v>6960</v>
      </c>
      <c r="D184" s="295">
        <v>6930</v>
      </c>
      <c r="E184" s="295">
        <v>7570</v>
      </c>
      <c r="F184" s="312"/>
      <c r="H184" s="310"/>
    </row>
    <row r="185" s="278" customFormat="1" ht="14.25" customHeight="1" spans="1:8">
      <c r="A185" s="290" t="s">
        <v>1897</v>
      </c>
      <c r="B185" s="295" t="s">
        <v>1925</v>
      </c>
      <c r="C185" s="295">
        <v>7260</v>
      </c>
      <c r="D185" s="295">
        <v>7230</v>
      </c>
      <c r="E185" s="295">
        <v>7710</v>
      </c>
      <c r="F185" s="303">
        <v>1360</v>
      </c>
      <c r="H185" s="310"/>
    </row>
    <row r="186" s="278" customFormat="1" ht="14.25" customHeight="1" spans="1:8">
      <c r="A186" s="290" t="s">
        <v>1897</v>
      </c>
      <c r="B186" s="295" t="s">
        <v>1926</v>
      </c>
      <c r="C186" s="295"/>
      <c r="D186" s="295"/>
      <c r="E186" s="295"/>
      <c r="F186" s="303">
        <v>1560</v>
      </c>
      <c r="H186" s="310"/>
    </row>
    <row r="187" s="278" customFormat="1" ht="14.25" customHeight="1" spans="1:8">
      <c r="A187" s="290" t="s">
        <v>1897</v>
      </c>
      <c r="B187" s="295" t="s">
        <v>1927</v>
      </c>
      <c r="C187" s="295"/>
      <c r="D187" s="295"/>
      <c r="E187" s="295"/>
      <c r="F187" s="303">
        <v>1560</v>
      </c>
      <c r="H187" s="310"/>
    </row>
    <row r="188" s="278" customFormat="1" ht="14.25" customHeight="1" spans="1:8">
      <c r="A188" s="290" t="s">
        <v>1897</v>
      </c>
      <c r="B188" s="295" t="s">
        <v>1928</v>
      </c>
      <c r="C188" s="295"/>
      <c r="D188" s="295"/>
      <c r="E188" s="295"/>
      <c r="F188" s="303">
        <v>1560</v>
      </c>
      <c r="H188" s="310"/>
    </row>
    <row r="189" s="278" customFormat="1" ht="14.25" customHeight="1" spans="1:8">
      <c r="A189" s="290" t="s">
        <v>1897</v>
      </c>
      <c r="B189" s="295" t="s">
        <v>1929</v>
      </c>
      <c r="C189" s="295"/>
      <c r="D189" s="295"/>
      <c r="E189" s="295"/>
      <c r="F189" s="303">
        <v>1320</v>
      </c>
      <c r="H189" s="310"/>
    </row>
    <row r="190" s="278" customFormat="1" ht="14.25" customHeight="1" spans="1:8">
      <c r="A190" s="290" t="s">
        <v>1897</v>
      </c>
      <c r="B190" s="295" t="s">
        <v>1930</v>
      </c>
      <c r="C190" s="295"/>
      <c r="D190" s="295"/>
      <c r="E190" s="295"/>
      <c r="F190" s="303">
        <v>1320</v>
      </c>
      <c r="H190" s="310"/>
    </row>
    <row r="191" s="278" customFormat="1" ht="14.25" customHeight="1" spans="1:8">
      <c r="A191" s="290" t="s">
        <v>1897</v>
      </c>
      <c r="B191" s="295" t="s">
        <v>1931</v>
      </c>
      <c r="C191" s="295"/>
      <c r="D191" s="295"/>
      <c r="E191" s="295"/>
      <c r="F191" s="303">
        <v>1320</v>
      </c>
      <c r="H191" s="310"/>
    </row>
    <row r="192" s="278" customFormat="1" ht="14.25" customHeight="1" spans="1:8">
      <c r="A192" s="290" t="s">
        <v>1897</v>
      </c>
      <c r="B192" s="295" t="s">
        <v>1932</v>
      </c>
      <c r="C192" s="295"/>
      <c r="D192" s="295"/>
      <c r="E192" s="295"/>
      <c r="F192" s="303">
        <v>1100</v>
      </c>
      <c r="H192" s="310"/>
    </row>
    <row r="193" s="278" customFormat="1" ht="14.25" customHeight="1" spans="1:8">
      <c r="A193" s="290" t="s">
        <v>1897</v>
      </c>
      <c r="B193" s="295" t="s">
        <v>1933</v>
      </c>
      <c r="C193" s="295"/>
      <c r="D193" s="295"/>
      <c r="E193" s="295"/>
      <c r="F193" s="303">
        <v>1100</v>
      </c>
      <c r="H193" s="310"/>
    </row>
    <row r="194" s="278" customFormat="1" ht="14.25" customHeight="1" spans="1:8">
      <c r="A194" s="290" t="s">
        <v>1897</v>
      </c>
      <c r="B194" s="295" t="s">
        <v>1934</v>
      </c>
      <c r="C194" s="295"/>
      <c r="D194" s="295"/>
      <c r="E194" s="295"/>
      <c r="F194" s="303">
        <v>1080</v>
      </c>
      <c r="H194" s="310"/>
    </row>
    <row r="195" s="278" customFormat="1" ht="14.25" customHeight="1" spans="1:8">
      <c r="A195" s="290" t="s">
        <v>1897</v>
      </c>
      <c r="B195" s="295" t="s">
        <v>1935</v>
      </c>
      <c r="C195" s="295"/>
      <c r="D195" s="295"/>
      <c r="E195" s="295"/>
      <c r="F195" s="303">
        <v>1270</v>
      </c>
      <c r="H195" s="310"/>
    </row>
    <row r="196" s="278" customFormat="1" ht="14.25" customHeight="1" spans="1:8">
      <c r="A196" s="290" t="s">
        <v>1897</v>
      </c>
      <c r="B196" s="295" t="s">
        <v>1936</v>
      </c>
      <c r="C196" s="295"/>
      <c r="D196" s="295"/>
      <c r="E196" s="295"/>
      <c r="F196" s="303">
        <v>1150</v>
      </c>
      <c r="H196" s="310"/>
    </row>
    <row r="197" s="278" customFormat="1" ht="14.25" customHeight="1" spans="1:8">
      <c r="A197" s="290" t="s">
        <v>1897</v>
      </c>
      <c r="B197" s="295" t="s">
        <v>1937</v>
      </c>
      <c r="C197" s="295"/>
      <c r="D197" s="295"/>
      <c r="E197" s="295"/>
      <c r="F197" s="303">
        <v>1330</v>
      </c>
      <c r="H197" s="310"/>
    </row>
    <row r="198" s="278" customFormat="1" ht="14.25" customHeight="1" spans="1:8">
      <c r="A198" s="290" t="s">
        <v>1897</v>
      </c>
      <c r="B198" s="295" t="s">
        <v>1938</v>
      </c>
      <c r="C198" s="295"/>
      <c r="D198" s="295"/>
      <c r="E198" s="295"/>
      <c r="F198" s="303">
        <v>1170</v>
      </c>
      <c r="H198" s="310"/>
    </row>
    <row r="199" s="278" customFormat="1" ht="14.25" customHeight="1" spans="1:8">
      <c r="A199" s="290" t="s">
        <v>1897</v>
      </c>
      <c r="B199" s="295" t="s">
        <v>1939</v>
      </c>
      <c r="C199" s="295"/>
      <c r="D199" s="295"/>
      <c r="E199" s="295"/>
      <c r="F199" s="303">
        <v>1120</v>
      </c>
      <c r="H199" s="310"/>
    </row>
    <row r="200" s="278" customFormat="1" ht="14.25" customHeight="1" spans="1:8">
      <c r="A200" s="290" t="s">
        <v>1897</v>
      </c>
      <c r="B200" s="295" t="s">
        <v>1940</v>
      </c>
      <c r="C200" s="295"/>
      <c r="D200" s="295"/>
      <c r="E200" s="295"/>
      <c r="F200" s="303">
        <v>1120</v>
      </c>
      <c r="H200" s="310"/>
    </row>
    <row r="201" s="278" customFormat="1" ht="14.25" customHeight="1" spans="1:8">
      <c r="A201" s="290" t="s">
        <v>1897</v>
      </c>
      <c r="B201" s="295" t="s">
        <v>1941</v>
      </c>
      <c r="C201" s="295"/>
      <c r="D201" s="295"/>
      <c r="E201" s="295"/>
      <c r="F201" s="303">
        <v>1540</v>
      </c>
      <c r="H201" s="310"/>
    </row>
    <row r="202" s="278" customFormat="1" ht="14.25" customHeight="1" spans="1:8">
      <c r="A202" s="290" t="s">
        <v>1897</v>
      </c>
      <c r="B202" s="295" t="s">
        <v>1942</v>
      </c>
      <c r="C202" s="295"/>
      <c r="D202" s="295"/>
      <c r="E202" s="295"/>
      <c r="F202" s="303">
        <v>1310</v>
      </c>
      <c r="H202" s="310"/>
    </row>
    <row r="203" s="278" customFormat="1" ht="14.25" customHeight="1" spans="1:8">
      <c r="A203" s="290" t="s">
        <v>1897</v>
      </c>
      <c r="B203" s="295" t="s">
        <v>1943</v>
      </c>
      <c r="C203" s="295"/>
      <c r="D203" s="295"/>
      <c r="E203" s="295"/>
      <c r="F203" s="303">
        <v>1310</v>
      </c>
      <c r="H203" s="310"/>
    </row>
    <row r="204" s="278" customFormat="1" ht="14.25" customHeight="1" spans="1:8">
      <c r="A204" s="290" t="s">
        <v>1897</v>
      </c>
      <c r="B204" s="295" t="s">
        <v>1944</v>
      </c>
      <c r="C204" s="295"/>
      <c r="D204" s="295"/>
      <c r="E204" s="295"/>
      <c r="F204" s="303">
        <v>1080</v>
      </c>
      <c r="H204" s="310"/>
    </row>
    <row r="205" s="278" customFormat="1" ht="14.25" customHeight="1" spans="1:8">
      <c r="A205" s="290" t="s">
        <v>1897</v>
      </c>
      <c r="B205" s="295" t="s">
        <v>1945</v>
      </c>
      <c r="C205" s="295"/>
      <c r="D205" s="295"/>
      <c r="E205" s="295"/>
      <c r="F205" s="303">
        <v>1080</v>
      </c>
      <c r="H205" s="310"/>
    </row>
    <row r="206" s="278" customFormat="1" ht="14.25" customHeight="1" spans="1:8">
      <c r="A206" s="290" t="s">
        <v>1946</v>
      </c>
      <c r="B206" s="291" t="s">
        <v>1947</v>
      </c>
      <c r="C206" s="291">
        <v>5450</v>
      </c>
      <c r="D206" s="291">
        <v>5430</v>
      </c>
      <c r="E206" s="291">
        <v>5700</v>
      </c>
      <c r="F206" s="292">
        <v>1020</v>
      </c>
      <c r="H206" s="310"/>
    </row>
    <row r="207" s="278" customFormat="1" ht="14.25" customHeight="1" spans="1:8">
      <c r="A207" s="290" t="s">
        <v>1946</v>
      </c>
      <c r="B207" s="295" t="s">
        <v>1948</v>
      </c>
      <c r="C207" s="295">
        <v>5860</v>
      </c>
      <c r="D207" s="295">
        <v>5820</v>
      </c>
      <c r="E207" s="295">
        <v>6050</v>
      </c>
      <c r="F207" s="303">
        <v>1080</v>
      </c>
      <c r="H207" s="310"/>
    </row>
    <row r="208" s="278" customFormat="1" ht="14.25" customHeight="1" spans="1:8">
      <c r="A208" s="290" t="s">
        <v>1946</v>
      </c>
      <c r="B208" s="295" t="s">
        <v>1949</v>
      </c>
      <c r="C208" s="295">
        <v>4630</v>
      </c>
      <c r="D208" s="295">
        <v>4600</v>
      </c>
      <c r="E208" s="295">
        <v>4840</v>
      </c>
      <c r="F208" s="303">
        <v>900</v>
      </c>
      <c r="H208" s="310"/>
    </row>
    <row r="209" s="278" customFormat="1" ht="14.25" customHeight="1" spans="1:8">
      <c r="A209" s="290" t="s">
        <v>1946</v>
      </c>
      <c r="B209" s="295" t="s">
        <v>1950</v>
      </c>
      <c r="C209" s="295">
        <v>5320</v>
      </c>
      <c r="D209" s="295">
        <v>5270</v>
      </c>
      <c r="E209" s="295">
        <v>5540</v>
      </c>
      <c r="F209" s="303">
        <v>980</v>
      </c>
      <c r="H209" s="310"/>
    </row>
    <row r="210" s="278" customFormat="1" ht="14.25" customHeight="1" spans="1:8">
      <c r="A210" s="290" t="s">
        <v>1946</v>
      </c>
      <c r="B210" s="295" t="s">
        <v>1951</v>
      </c>
      <c r="C210" s="295">
        <v>5760</v>
      </c>
      <c r="D210" s="295">
        <v>5710</v>
      </c>
      <c r="E210" s="295">
        <v>6010</v>
      </c>
      <c r="F210" s="303">
        <v>870</v>
      </c>
      <c r="H210" s="310"/>
    </row>
    <row r="211" s="278" customFormat="1" ht="14.25" customHeight="1" spans="1:8">
      <c r="A211" s="290" t="s">
        <v>1946</v>
      </c>
      <c r="B211" s="295" t="s">
        <v>1952</v>
      </c>
      <c r="C211" s="295">
        <v>4160</v>
      </c>
      <c r="D211" s="295">
        <v>4100</v>
      </c>
      <c r="E211" s="295">
        <v>4270</v>
      </c>
      <c r="F211" s="303">
        <v>790</v>
      </c>
      <c r="H211" s="310"/>
    </row>
    <row r="212" s="278" customFormat="1" ht="14.25" customHeight="1" spans="1:8">
      <c r="A212" s="290" t="s">
        <v>1946</v>
      </c>
      <c r="B212" s="295" t="s">
        <v>1953</v>
      </c>
      <c r="C212" s="295">
        <v>4880</v>
      </c>
      <c r="D212" s="295">
        <v>4850</v>
      </c>
      <c r="E212" s="295">
        <v>5110</v>
      </c>
      <c r="F212" s="303">
        <v>940</v>
      </c>
      <c r="H212" s="310"/>
    </row>
    <row r="213" s="278" customFormat="1" ht="14.25" customHeight="1" spans="1:8">
      <c r="A213" s="290" t="s">
        <v>1946</v>
      </c>
      <c r="B213" s="295" t="s">
        <v>1954</v>
      </c>
      <c r="C213" s="295">
        <v>4640</v>
      </c>
      <c r="D213" s="295">
        <v>4590</v>
      </c>
      <c r="E213" s="295">
        <v>4700</v>
      </c>
      <c r="F213" s="303">
        <v>1030</v>
      </c>
      <c r="H213" s="310"/>
    </row>
    <row r="214" s="278" customFormat="1" ht="14.25" customHeight="1" spans="1:8">
      <c r="A214" s="290" t="s">
        <v>1946</v>
      </c>
      <c r="B214" s="295" t="s">
        <v>1955</v>
      </c>
      <c r="C214" s="295">
        <v>4540</v>
      </c>
      <c r="D214" s="295">
        <v>4490</v>
      </c>
      <c r="E214" s="295">
        <v>4610</v>
      </c>
      <c r="F214" s="312"/>
      <c r="H214" s="310"/>
    </row>
    <row r="215" s="278" customFormat="1" ht="14.25" customHeight="1" spans="1:8">
      <c r="A215" s="290" t="s">
        <v>1946</v>
      </c>
      <c r="B215" s="295" t="s">
        <v>1956</v>
      </c>
      <c r="C215" s="295">
        <v>5280</v>
      </c>
      <c r="D215" s="295">
        <v>5250</v>
      </c>
      <c r="E215" s="295">
        <v>5520</v>
      </c>
      <c r="F215" s="303">
        <v>1000</v>
      </c>
      <c r="H215" s="310"/>
    </row>
    <row r="216" s="278" customFormat="1" ht="14.25" customHeight="1" spans="1:8">
      <c r="A216" s="290" t="s">
        <v>1946</v>
      </c>
      <c r="B216" s="295" t="s">
        <v>1957</v>
      </c>
      <c r="C216" s="295">
        <v>5100</v>
      </c>
      <c r="D216" s="295">
        <v>5050</v>
      </c>
      <c r="E216" s="295">
        <v>5300</v>
      </c>
      <c r="F216" s="303">
        <v>950</v>
      </c>
      <c r="H216" s="310"/>
    </row>
    <row r="217" s="278" customFormat="1" ht="14.25" customHeight="1" spans="1:8">
      <c r="A217" s="290" t="s">
        <v>1946</v>
      </c>
      <c r="B217" s="295" t="s">
        <v>1958</v>
      </c>
      <c r="C217" s="295">
        <v>5370</v>
      </c>
      <c r="D217" s="295">
        <v>5320</v>
      </c>
      <c r="E217" s="295">
        <v>5410</v>
      </c>
      <c r="F217" s="303">
        <v>950</v>
      </c>
      <c r="H217" s="310"/>
    </row>
    <row r="218" s="278" customFormat="1" ht="14.25" customHeight="1" spans="1:8">
      <c r="A218" s="290" t="s">
        <v>1946</v>
      </c>
      <c r="B218" s="295" t="s">
        <v>1959</v>
      </c>
      <c r="C218" s="295">
        <v>5540</v>
      </c>
      <c r="D218" s="295">
        <v>5480</v>
      </c>
      <c r="E218" s="295">
        <v>5740</v>
      </c>
      <c r="F218" s="303">
        <v>1020</v>
      </c>
      <c r="H218" s="310"/>
    </row>
    <row r="219" s="278" customFormat="1" ht="14.25" customHeight="1" spans="1:8">
      <c r="A219" s="290" t="s">
        <v>1946</v>
      </c>
      <c r="B219" s="295" t="s">
        <v>1960</v>
      </c>
      <c r="C219" s="295">
        <v>5140</v>
      </c>
      <c r="D219" s="295">
        <v>5100</v>
      </c>
      <c r="E219" s="295">
        <v>5350</v>
      </c>
      <c r="F219" s="303">
        <v>1120</v>
      </c>
      <c r="H219" s="310"/>
    </row>
    <row r="220" s="278" customFormat="1" ht="14.25" customHeight="1" spans="1:8">
      <c r="A220" s="290" t="s">
        <v>1946</v>
      </c>
      <c r="B220" s="295" t="s">
        <v>1961</v>
      </c>
      <c r="C220" s="295">
        <v>5040</v>
      </c>
      <c r="D220" s="295">
        <v>5000</v>
      </c>
      <c r="E220" s="295">
        <v>5240</v>
      </c>
      <c r="F220" s="303">
        <v>980</v>
      </c>
      <c r="H220" s="310"/>
    </row>
    <row r="221" s="278" customFormat="1" ht="14.25" customHeight="1" spans="1:8">
      <c r="A221" s="290" t="s">
        <v>1946</v>
      </c>
      <c r="B221" s="295" t="s">
        <v>1962</v>
      </c>
      <c r="C221" s="315"/>
      <c r="D221" s="315"/>
      <c r="E221" s="315"/>
      <c r="F221" s="303">
        <v>1070</v>
      </c>
      <c r="H221" s="310"/>
    </row>
    <row r="222" s="278" customFormat="1" ht="14.25" customHeight="1" spans="1:8">
      <c r="A222" s="290" t="s">
        <v>1946</v>
      </c>
      <c r="B222" s="295" t="s">
        <v>1963</v>
      </c>
      <c r="C222" s="315"/>
      <c r="D222" s="315"/>
      <c r="E222" s="315"/>
      <c r="F222" s="303">
        <v>870</v>
      </c>
      <c r="H222" s="310"/>
    </row>
    <row r="223" s="278" customFormat="1" ht="14.25" customHeight="1" spans="1:8">
      <c r="A223" s="290" t="s">
        <v>1946</v>
      </c>
      <c r="B223" s="295" t="s">
        <v>1964</v>
      </c>
      <c r="C223" s="315"/>
      <c r="D223" s="315"/>
      <c r="E223" s="315"/>
      <c r="F223" s="303">
        <v>940</v>
      </c>
      <c r="H223" s="310"/>
    </row>
    <row r="224" s="278" customFormat="1" ht="14.25" customHeight="1" spans="1:8">
      <c r="A224" s="290" t="s">
        <v>1946</v>
      </c>
      <c r="B224" s="295" t="s">
        <v>1965</v>
      </c>
      <c r="C224" s="315"/>
      <c r="D224" s="315"/>
      <c r="E224" s="315"/>
      <c r="F224" s="303">
        <v>990</v>
      </c>
      <c r="H224" s="310"/>
    </row>
    <row r="225" s="278" customFormat="1" ht="14.25" customHeight="1" spans="1:8">
      <c r="A225" s="290" t="s">
        <v>1946</v>
      </c>
      <c r="B225" s="295" t="s">
        <v>1966</v>
      </c>
      <c r="C225" s="295">
        <v>5730</v>
      </c>
      <c r="D225" s="295">
        <v>5680</v>
      </c>
      <c r="E225" s="295">
        <v>6020</v>
      </c>
      <c r="F225" s="303">
        <v>1000</v>
      </c>
      <c r="H225" s="310"/>
    </row>
    <row r="226" s="278" customFormat="1" ht="14.25" customHeight="1" spans="1:8">
      <c r="A226" s="290" t="s">
        <v>1946</v>
      </c>
      <c r="B226" s="295" t="s">
        <v>1967</v>
      </c>
      <c r="C226" s="295">
        <v>4970</v>
      </c>
      <c r="D226" s="295">
        <v>4940</v>
      </c>
      <c r="E226" s="295">
        <v>5180</v>
      </c>
      <c r="F226" s="303">
        <v>960</v>
      </c>
      <c r="H226" s="310"/>
    </row>
    <row r="227" s="278" customFormat="1" ht="14.25" customHeight="1" spans="1:8">
      <c r="A227" s="290" t="s">
        <v>1946</v>
      </c>
      <c r="B227" s="295" t="s">
        <v>1968</v>
      </c>
      <c r="C227" s="295">
        <v>5550</v>
      </c>
      <c r="D227" s="295">
        <v>5500</v>
      </c>
      <c r="E227" s="295">
        <v>5780</v>
      </c>
      <c r="F227" s="303">
        <v>940</v>
      </c>
      <c r="H227" s="310"/>
    </row>
    <row r="228" s="278" customFormat="1" ht="14.25" customHeight="1" spans="1:8">
      <c r="A228" s="290" t="s">
        <v>1946</v>
      </c>
      <c r="B228" s="295" t="s">
        <v>1969</v>
      </c>
      <c r="C228" s="295">
        <v>5460</v>
      </c>
      <c r="D228" s="295">
        <v>5420</v>
      </c>
      <c r="E228" s="295">
        <v>5690</v>
      </c>
      <c r="F228" s="303">
        <v>910</v>
      </c>
      <c r="H228" s="310"/>
    </row>
    <row r="229" s="278" customFormat="1" ht="14.25" customHeight="1" spans="1:8">
      <c r="A229" s="290" t="s">
        <v>1946</v>
      </c>
      <c r="B229" s="295" t="s">
        <v>1970</v>
      </c>
      <c r="C229" s="295">
        <v>5310</v>
      </c>
      <c r="D229" s="295">
        <v>5270</v>
      </c>
      <c r="E229" s="295">
        <v>5510</v>
      </c>
      <c r="F229" s="312"/>
      <c r="H229" s="310"/>
    </row>
    <row r="230" s="278" customFormat="1" ht="14.25" customHeight="1" spans="1:8">
      <c r="A230" s="290" t="s">
        <v>1946</v>
      </c>
      <c r="B230" s="295" t="s">
        <v>1971</v>
      </c>
      <c r="C230" s="295">
        <v>4540</v>
      </c>
      <c r="D230" s="295">
        <v>4500</v>
      </c>
      <c r="E230" s="295">
        <v>4730</v>
      </c>
      <c r="F230" s="312"/>
      <c r="H230" s="310"/>
    </row>
    <row r="231" s="278" customFormat="1" ht="14.25" customHeight="1" spans="1:8">
      <c r="A231" s="290" t="s">
        <v>1946</v>
      </c>
      <c r="B231" s="295" t="s">
        <v>1972</v>
      </c>
      <c r="C231" s="295">
        <v>4480</v>
      </c>
      <c r="D231" s="295">
        <v>4410</v>
      </c>
      <c r="E231" s="295">
        <v>4640</v>
      </c>
      <c r="F231" s="312"/>
      <c r="H231" s="310"/>
    </row>
    <row r="232" s="278" customFormat="1" ht="14.25" customHeight="1" spans="1:8">
      <c r="A232" s="290" t="s">
        <v>1946</v>
      </c>
      <c r="B232" s="295" t="s">
        <v>1973</v>
      </c>
      <c r="C232" s="295">
        <v>5670</v>
      </c>
      <c r="D232" s="295">
        <v>5600</v>
      </c>
      <c r="E232" s="295">
        <v>5890</v>
      </c>
      <c r="F232" s="303">
        <v>1150</v>
      </c>
      <c r="H232" s="310"/>
    </row>
    <row r="233" s="278" customFormat="1" ht="14.25" customHeight="1" spans="1:8">
      <c r="A233" s="290" t="s">
        <v>1946</v>
      </c>
      <c r="B233" s="295" t="s">
        <v>1974</v>
      </c>
      <c r="C233" s="295">
        <v>4590</v>
      </c>
      <c r="D233" s="295">
        <v>4500</v>
      </c>
      <c r="E233" s="295">
        <v>4600</v>
      </c>
      <c r="F233" s="312"/>
      <c r="H233" s="310"/>
    </row>
    <row r="234" s="278" customFormat="1" ht="14.25" customHeight="1" spans="1:8">
      <c r="A234" s="290" t="s">
        <v>1946</v>
      </c>
      <c r="B234" s="295" t="s">
        <v>2127</v>
      </c>
      <c r="C234" s="295">
        <v>3990</v>
      </c>
      <c r="D234" s="295">
        <v>3950</v>
      </c>
      <c r="E234" s="295">
        <v>4180</v>
      </c>
      <c r="F234" s="312"/>
      <c r="H234" s="310"/>
    </row>
    <row r="235" s="278" customFormat="1" ht="14.25" customHeight="1" spans="1:8">
      <c r="A235" s="290" t="s">
        <v>1946</v>
      </c>
      <c r="B235" s="295" t="s">
        <v>1976</v>
      </c>
      <c r="C235" s="295">
        <v>5590</v>
      </c>
      <c r="D235" s="295">
        <v>5540</v>
      </c>
      <c r="E235" s="295">
        <v>5810</v>
      </c>
      <c r="F235" s="303">
        <v>970</v>
      </c>
      <c r="H235" s="310"/>
    </row>
    <row r="236" s="278" customFormat="1" ht="14.25" customHeight="1" spans="1:8">
      <c r="A236" s="290" t="s">
        <v>1946</v>
      </c>
      <c r="B236" s="295" t="s">
        <v>1977</v>
      </c>
      <c r="C236" s="295"/>
      <c r="D236" s="295"/>
      <c r="E236" s="295"/>
      <c r="F236" s="303">
        <v>1020</v>
      </c>
      <c r="H236" s="310"/>
    </row>
    <row r="237" s="278" customFormat="1" ht="14.25" customHeight="1" spans="1:8">
      <c r="A237" s="290" t="s">
        <v>1946</v>
      </c>
      <c r="B237" s="295" t="s">
        <v>1978</v>
      </c>
      <c r="C237" s="295"/>
      <c r="D237" s="295"/>
      <c r="E237" s="295"/>
      <c r="F237" s="303">
        <v>960</v>
      </c>
      <c r="H237" s="310"/>
    </row>
    <row r="238" s="278" customFormat="1" ht="14.25" customHeight="1" spans="1:8">
      <c r="A238" s="290" t="s">
        <v>1946</v>
      </c>
      <c r="B238" s="295" t="s">
        <v>1979</v>
      </c>
      <c r="C238" s="295"/>
      <c r="D238" s="295"/>
      <c r="E238" s="295"/>
      <c r="F238" s="303">
        <v>960</v>
      </c>
      <c r="H238" s="310"/>
    </row>
    <row r="239" s="278" customFormat="1" ht="14.25" customHeight="1" spans="1:8">
      <c r="A239" s="290" t="s">
        <v>1946</v>
      </c>
      <c r="B239" s="295" t="s">
        <v>1980</v>
      </c>
      <c r="C239" s="295"/>
      <c r="D239" s="295"/>
      <c r="E239" s="295"/>
      <c r="F239" s="303">
        <v>960</v>
      </c>
      <c r="H239" s="310"/>
    </row>
    <row r="240" s="278" customFormat="1" ht="14.25" customHeight="1" spans="1:8">
      <c r="A240" s="290" t="s">
        <v>1946</v>
      </c>
      <c r="B240" s="295" t="s">
        <v>1981</v>
      </c>
      <c r="C240" s="295"/>
      <c r="D240" s="295"/>
      <c r="E240" s="295"/>
      <c r="F240" s="303">
        <v>990</v>
      </c>
      <c r="H240" s="310"/>
    </row>
    <row r="241" s="278" customFormat="1" ht="14.25" customHeight="1" spans="1:8">
      <c r="A241" s="290" t="s">
        <v>1946</v>
      </c>
      <c r="B241" s="295" t="s">
        <v>1982</v>
      </c>
      <c r="C241" s="295"/>
      <c r="D241" s="295"/>
      <c r="E241" s="295"/>
      <c r="F241" s="303">
        <v>1000</v>
      </c>
      <c r="H241" s="310"/>
    </row>
    <row r="242" s="278" customFormat="1" ht="14.25" customHeight="1" spans="1:8">
      <c r="A242" s="290" t="s">
        <v>1946</v>
      </c>
      <c r="B242" s="295" t="s">
        <v>1983</v>
      </c>
      <c r="C242" s="295"/>
      <c r="D242" s="295"/>
      <c r="E242" s="295"/>
      <c r="F242" s="303">
        <v>980</v>
      </c>
      <c r="H242" s="310"/>
    </row>
    <row r="243" s="278" customFormat="1" ht="14.25" customHeight="1" spans="1:8">
      <c r="A243" s="290" t="s">
        <v>1946</v>
      </c>
      <c r="B243" s="295" t="s">
        <v>1984</v>
      </c>
      <c r="C243" s="295"/>
      <c r="D243" s="295"/>
      <c r="E243" s="295"/>
      <c r="F243" s="303">
        <v>970</v>
      </c>
      <c r="H243" s="310"/>
    </row>
    <row r="244" s="278" customFormat="1" ht="14.25" customHeight="1" spans="1:8">
      <c r="A244" s="290" t="s">
        <v>1946</v>
      </c>
      <c r="B244" s="301" t="s">
        <v>1985</v>
      </c>
      <c r="C244" s="301"/>
      <c r="D244" s="301"/>
      <c r="E244" s="301"/>
      <c r="F244" s="311">
        <v>970</v>
      </c>
      <c r="H244" s="310"/>
    </row>
    <row r="245" s="278" customFormat="1" ht="14.25" customHeight="1" spans="1:8">
      <c r="A245" s="290" t="s">
        <v>1986</v>
      </c>
      <c r="B245" s="291" t="s">
        <v>1987</v>
      </c>
      <c r="C245" s="291">
        <v>4050</v>
      </c>
      <c r="D245" s="291">
        <v>4020</v>
      </c>
      <c r="E245" s="291">
        <v>4160</v>
      </c>
      <c r="F245" s="292">
        <v>840</v>
      </c>
      <c r="H245" s="310"/>
    </row>
    <row r="246" s="278" customFormat="1" ht="14.25" customHeight="1" spans="1:8">
      <c r="A246" s="290" t="s">
        <v>1986</v>
      </c>
      <c r="B246" s="295" t="s">
        <v>1988</v>
      </c>
      <c r="C246" s="295">
        <v>4010</v>
      </c>
      <c r="D246" s="295">
        <v>3960</v>
      </c>
      <c r="E246" s="295">
        <v>4130</v>
      </c>
      <c r="F246" s="303">
        <v>840</v>
      </c>
      <c r="H246" s="310"/>
    </row>
    <row r="247" s="278" customFormat="1" ht="14.25" customHeight="1" spans="1:8">
      <c r="A247" s="290" t="s">
        <v>1986</v>
      </c>
      <c r="B247" s="295" t="s">
        <v>1989</v>
      </c>
      <c r="C247" s="295">
        <v>3170</v>
      </c>
      <c r="D247" s="295">
        <v>3140</v>
      </c>
      <c r="E247" s="295">
        <v>3270</v>
      </c>
      <c r="F247" s="303">
        <v>640</v>
      </c>
      <c r="H247" s="310"/>
    </row>
    <row r="248" s="278" customFormat="1" ht="14.25" customHeight="1" spans="1:8">
      <c r="A248" s="290" t="s">
        <v>1986</v>
      </c>
      <c r="B248" s="295" t="s">
        <v>1990</v>
      </c>
      <c r="C248" s="295">
        <v>3140</v>
      </c>
      <c r="D248" s="295">
        <v>3120</v>
      </c>
      <c r="E248" s="295">
        <v>3240</v>
      </c>
      <c r="F248" s="303">
        <v>620</v>
      </c>
      <c r="H248" s="310"/>
    </row>
    <row r="249" s="278" customFormat="1" ht="14.25" customHeight="1" spans="1:8">
      <c r="A249" s="290" t="s">
        <v>1986</v>
      </c>
      <c r="B249" s="295" t="s">
        <v>1991</v>
      </c>
      <c r="C249" s="295">
        <v>3200</v>
      </c>
      <c r="D249" s="295">
        <v>3100</v>
      </c>
      <c r="E249" s="295">
        <v>3230</v>
      </c>
      <c r="F249" s="303">
        <v>750</v>
      </c>
      <c r="H249" s="310"/>
    </row>
    <row r="250" s="278" customFormat="1" ht="14.25" customHeight="1" spans="1:8">
      <c r="A250" s="290" t="s">
        <v>1986</v>
      </c>
      <c r="B250" s="295" t="s">
        <v>1992</v>
      </c>
      <c r="C250" s="295">
        <v>4060</v>
      </c>
      <c r="D250" s="295">
        <v>4000</v>
      </c>
      <c r="E250" s="295">
        <v>4140</v>
      </c>
      <c r="F250" s="303">
        <v>790</v>
      </c>
      <c r="H250" s="310"/>
    </row>
    <row r="251" s="278" customFormat="1" ht="14.25" customHeight="1" spans="1:8">
      <c r="A251" s="290" t="s">
        <v>1986</v>
      </c>
      <c r="B251" s="295" t="s">
        <v>1993</v>
      </c>
      <c r="C251" s="295">
        <v>3990</v>
      </c>
      <c r="D251" s="295">
        <v>3970</v>
      </c>
      <c r="E251" s="295">
        <v>4110</v>
      </c>
      <c r="F251" s="303">
        <v>730</v>
      </c>
      <c r="H251" s="310"/>
    </row>
    <row r="252" s="278" customFormat="1" ht="14.25" customHeight="1" spans="1:8">
      <c r="A252" s="290" t="s">
        <v>1986</v>
      </c>
      <c r="B252" s="295" t="s">
        <v>1994</v>
      </c>
      <c r="C252" s="295">
        <v>3560</v>
      </c>
      <c r="D252" s="295">
        <v>3530</v>
      </c>
      <c r="E252" s="295">
        <v>3650</v>
      </c>
      <c r="F252" s="303">
        <v>750</v>
      </c>
      <c r="H252" s="310"/>
    </row>
    <row r="253" s="278" customFormat="1" ht="14.25" customHeight="1" spans="1:8">
      <c r="A253" s="290" t="s">
        <v>1986</v>
      </c>
      <c r="B253" s="295" t="s">
        <v>1995</v>
      </c>
      <c r="C253" s="295">
        <v>3780</v>
      </c>
      <c r="D253" s="295">
        <v>3750</v>
      </c>
      <c r="E253" s="295">
        <v>3870</v>
      </c>
      <c r="F253" s="303">
        <v>770</v>
      </c>
      <c r="H253" s="310"/>
    </row>
    <row r="254" s="278" customFormat="1" ht="14.25" customHeight="1" spans="1:8">
      <c r="A254" s="290" t="s">
        <v>1986</v>
      </c>
      <c r="B254" s="295" t="s">
        <v>1996</v>
      </c>
      <c r="C254" s="315"/>
      <c r="D254" s="315"/>
      <c r="E254" s="315"/>
      <c r="F254" s="303">
        <v>740</v>
      </c>
      <c r="H254" s="310"/>
    </row>
    <row r="255" s="278" customFormat="1" ht="14.25" customHeight="1" spans="1:8">
      <c r="A255" s="290" t="s">
        <v>1986</v>
      </c>
      <c r="B255" s="295" t="s">
        <v>1997</v>
      </c>
      <c r="C255" s="315"/>
      <c r="D255" s="315"/>
      <c r="E255" s="315"/>
      <c r="F255" s="303">
        <v>760</v>
      </c>
      <c r="H255" s="310"/>
    </row>
    <row r="256" s="278" customFormat="1" ht="14.25" customHeight="1" spans="1:8">
      <c r="A256" s="290" t="s">
        <v>1986</v>
      </c>
      <c r="B256" s="295" t="s">
        <v>1998</v>
      </c>
      <c r="C256" s="295">
        <v>3760</v>
      </c>
      <c r="D256" s="295">
        <v>3730</v>
      </c>
      <c r="E256" s="295">
        <v>3870</v>
      </c>
      <c r="F256" s="303">
        <v>830</v>
      </c>
      <c r="H256" s="310"/>
    </row>
    <row r="257" s="278" customFormat="1" ht="14.25" customHeight="1" spans="1:8">
      <c r="A257" s="290" t="s">
        <v>1986</v>
      </c>
      <c r="B257" s="295" t="s">
        <v>1999</v>
      </c>
      <c r="C257" s="295">
        <v>3570</v>
      </c>
      <c r="D257" s="295">
        <v>3540</v>
      </c>
      <c r="E257" s="295">
        <v>3650</v>
      </c>
      <c r="F257" s="303">
        <v>790</v>
      </c>
      <c r="H257" s="310"/>
    </row>
    <row r="258" s="278" customFormat="1" ht="14.25" customHeight="1" spans="1:8">
      <c r="A258" s="290" t="s">
        <v>1986</v>
      </c>
      <c r="B258" s="295" t="s">
        <v>2000</v>
      </c>
      <c r="C258" s="295">
        <v>3410</v>
      </c>
      <c r="D258" s="295">
        <v>3380</v>
      </c>
      <c r="E258" s="295">
        <v>3500</v>
      </c>
      <c r="F258" s="303">
        <v>830</v>
      </c>
      <c r="H258" s="310"/>
    </row>
    <row r="259" s="278" customFormat="1" ht="14.25" customHeight="1" spans="1:8">
      <c r="A259" s="290" t="s">
        <v>1986</v>
      </c>
      <c r="B259" s="295" t="s">
        <v>2001</v>
      </c>
      <c r="C259" s="295">
        <v>3870</v>
      </c>
      <c r="D259" s="295">
        <v>3840</v>
      </c>
      <c r="E259" s="295">
        <v>3970</v>
      </c>
      <c r="F259" s="303">
        <v>830</v>
      </c>
      <c r="H259" s="310"/>
    </row>
    <row r="260" s="278" customFormat="1" ht="14.25" customHeight="1" spans="1:8">
      <c r="A260" s="290" t="s">
        <v>1986</v>
      </c>
      <c r="B260" s="295" t="s">
        <v>2002</v>
      </c>
      <c r="C260" s="295">
        <v>3700</v>
      </c>
      <c r="D260" s="295">
        <v>3660</v>
      </c>
      <c r="E260" s="295">
        <v>3810</v>
      </c>
      <c r="F260" s="303">
        <v>790</v>
      </c>
      <c r="H260" s="310"/>
    </row>
    <row r="261" s="278" customFormat="1" ht="14.25" customHeight="1" spans="1:8">
      <c r="A261" s="290" t="s">
        <v>1986</v>
      </c>
      <c r="B261" s="295" t="s">
        <v>2003</v>
      </c>
      <c r="C261" s="295">
        <v>3470</v>
      </c>
      <c r="D261" s="295">
        <v>3430</v>
      </c>
      <c r="E261" s="295">
        <v>3640</v>
      </c>
      <c r="F261" s="303">
        <v>760</v>
      </c>
      <c r="H261" s="310"/>
    </row>
    <row r="262" s="278" customFormat="1" ht="14.25" customHeight="1" spans="1:8">
      <c r="A262" s="290" t="s">
        <v>1986</v>
      </c>
      <c r="B262" s="295" t="s">
        <v>2004</v>
      </c>
      <c r="C262" s="295">
        <v>3510</v>
      </c>
      <c r="D262" s="295">
        <v>3470</v>
      </c>
      <c r="E262" s="295">
        <v>3680</v>
      </c>
      <c r="F262" s="312"/>
      <c r="H262" s="310"/>
    </row>
    <row r="263" s="278" customFormat="1" ht="14.25" customHeight="1" spans="1:8">
      <c r="A263" s="290" t="s">
        <v>1986</v>
      </c>
      <c r="B263" s="295" t="s">
        <v>2005</v>
      </c>
      <c r="C263" s="295">
        <v>3960</v>
      </c>
      <c r="D263" s="295">
        <v>3930</v>
      </c>
      <c r="E263" s="295">
        <v>4070</v>
      </c>
      <c r="F263" s="303">
        <v>830</v>
      </c>
      <c r="H263" s="310"/>
    </row>
    <row r="264" s="278" customFormat="1" ht="14.25" customHeight="1" spans="1:8">
      <c r="A264" s="290" t="s">
        <v>1986</v>
      </c>
      <c r="B264" s="295" t="s">
        <v>2006</v>
      </c>
      <c r="C264" s="295">
        <v>4010</v>
      </c>
      <c r="D264" s="295">
        <v>3980</v>
      </c>
      <c r="E264" s="295">
        <v>4150</v>
      </c>
      <c r="F264" s="303">
        <v>760</v>
      </c>
      <c r="H264" s="310"/>
    </row>
    <row r="265" s="278" customFormat="1" ht="14.25" customHeight="1" spans="1:8">
      <c r="A265" s="290" t="s">
        <v>1986</v>
      </c>
      <c r="B265" s="295" t="s">
        <v>2007</v>
      </c>
      <c r="C265" s="295">
        <v>3910</v>
      </c>
      <c r="D265" s="295">
        <v>3890</v>
      </c>
      <c r="E265" s="295">
        <v>4040</v>
      </c>
      <c r="F265" s="303">
        <v>780</v>
      </c>
      <c r="H265" s="310"/>
    </row>
    <row r="266" s="278" customFormat="1" ht="14.25" customHeight="1" spans="1:8">
      <c r="A266" s="290" t="s">
        <v>1986</v>
      </c>
      <c r="B266" s="295" t="s">
        <v>2008</v>
      </c>
      <c r="C266" s="295">
        <v>3930</v>
      </c>
      <c r="D266" s="295">
        <v>3900</v>
      </c>
      <c r="E266" s="295">
        <v>4080</v>
      </c>
      <c r="F266" s="303">
        <v>770</v>
      </c>
      <c r="H266" s="310"/>
    </row>
    <row r="267" s="278" customFormat="1" ht="14.25" customHeight="1" spans="1:8">
      <c r="A267" s="290" t="s">
        <v>1986</v>
      </c>
      <c r="B267" s="295" t="s">
        <v>2009</v>
      </c>
      <c r="C267" s="295">
        <v>3800</v>
      </c>
      <c r="D267" s="295">
        <v>3780</v>
      </c>
      <c r="E267" s="295">
        <v>3930</v>
      </c>
      <c r="F267" s="312"/>
      <c r="H267" s="310"/>
    </row>
    <row r="268" s="278" customFormat="1" ht="14.25" customHeight="1" spans="1:8">
      <c r="A268" s="290" t="s">
        <v>1986</v>
      </c>
      <c r="B268" s="295" t="s">
        <v>2010</v>
      </c>
      <c r="C268" s="295">
        <v>3460</v>
      </c>
      <c r="D268" s="295">
        <v>3430</v>
      </c>
      <c r="E268" s="295">
        <v>3560</v>
      </c>
      <c r="F268" s="303">
        <v>840</v>
      </c>
      <c r="H268" s="310"/>
    </row>
    <row r="269" s="278" customFormat="1" ht="14.25" customHeight="1" spans="1:8">
      <c r="A269" s="290" t="s">
        <v>1986</v>
      </c>
      <c r="B269" s="295" t="s">
        <v>2011</v>
      </c>
      <c r="C269" s="295">
        <v>3210</v>
      </c>
      <c r="D269" s="295">
        <v>3190</v>
      </c>
      <c r="E269" s="295">
        <v>3310</v>
      </c>
      <c r="F269" s="303">
        <v>730</v>
      </c>
      <c r="H269" s="310"/>
    </row>
    <row r="270" s="278" customFormat="1" ht="14.25" customHeight="1" spans="1:8">
      <c r="A270" s="290" t="s">
        <v>1986</v>
      </c>
      <c r="B270" s="295" t="s">
        <v>2012</v>
      </c>
      <c r="C270" s="295">
        <v>3240</v>
      </c>
      <c r="D270" s="295">
        <v>3210</v>
      </c>
      <c r="E270" s="295">
        <v>3390</v>
      </c>
      <c r="F270" s="303">
        <v>820</v>
      </c>
      <c r="H270" s="310"/>
    </row>
    <row r="271" s="278" customFormat="1" ht="14.25" customHeight="1" spans="1:8">
      <c r="A271" s="290" t="s">
        <v>1986</v>
      </c>
      <c r="B271" s="295" t="s">
        <v>2013</v>
      </c>
      <c r="C271" s="295">
        <v>3300</v>
      </c>
      <c r="D271" s="295">
        <v>3270</v>
      </c>
      <c r="E271" s="295">
        <v>3380</v>
      </c>
      <c r="F271" s="303">
        <v>750</v>
      </c>
      <c r="H271" s="310"/>
    </row>
    <row r="272" s="278" customFormat="1" ht="14.25" customHeight="1" spans="1:8">
      <c r="A272" s="290" t="s">
        <v>1986</v>
      </c>
      <c r="B272" s="295" t="s">
        <v>2014</v>
      </c>
      <c r="C272" s="315"/>
      <c r="D272" s="315"/>
      <c r="E272" s="315"/>
      <c r="F272" s="303">
        <v>740</v>
      </c>
      <c r="H272" s="310"/>
    </row>
    <row r="273" s="278" customFormat="1" ht="14.25" customHeight="1" spans="1:8">
      <c r="A273" s="290" t="s">
        <v>1986</v>
      </c>
      <c r="B273" s="295" t="s">
        <v>2015</v>
      </c>
      <c r="C273" s="295">
        <v>3130</v>
      </c>
      <c r="D273" s="295">
        <v>3100</v>
      </c>
      <c r="E273" s="295">
        <v>3230</v>
      </c>
      <c r="F273" s="303">
        <v>700</v>
      </c>
      <c r="H273" s="310"/>
    </row>
    <row r="274" s="278" customFormat="1" ht="14.25" customHeight="1" spans="1:8">
      <c r="A274" s="290" t="s">
        <v>1986</v>
      </c>
      <c r="B274" s="295" t="s">
        <v>2016</v>
      </c>
      <c r="C274" s="295">
        <v>3460</v>
      </c>
      <c r="D274" s="295">
        <v>3430</v>
      </c>
      <c r="E274" s="295">
        <v>3560</v>
      </c>
      <c r="F274" s="303">
        <v>690</v>
      </c>
      <c r="H274" s="310"/>
    </row>
    <row r="275" s="278" customFormat="1" ht="14.25" customHeight="1" spans="1:8">
      <c r="A275" s="290" t="s">
        <v>1986</v>
      </c>
      <c r="B275" s="295" t="s">
        <v>2017</v>
      </c>
      <c r="C275" s="295">
        <v>4040</v>
      </c>
      <c r="D275" s="295">
        <v>4020</v>
      </c>
      <c r="E275" s="295">
        <v>4160</v>
      </c>
      <c r="F275" s="303">
        <v>820</v>
      </c>
      <c r="H275" s="310"/>
    </row>
    <row r="276" s="278" customFormat="1" ht="14.25" customHeight="1" spans="1:8">
      <c r="A276" s="290" t="s">
        <v>1986</v>
      </c>
      <c r="B276" s="295" t="s">
        <v>2018</v>
      </c>
      <c r="C276" s="295">
        <v>3270</v>
      </c>
      <c r="D276" s="295">
        <v>3240</v>
      </c>
      <c r="E276" s="295">
        <v>3350</v>
      </c>
      <c r="F276" s="303">
        <v>680</v>
      </c>
      <c r="H276" s="310"/>
    </row>
    <row r="277" s="278" customFormat="1" ht="14.25" customHeight="1" spans="1:8">
      <c r="A277" s="290" t="s">
        <v>1986</v>
      </c>
      <c r="B277" s="295" t="s">
        <v>2019</v>
      </c>
      <c r="C277" s="295">
        <v>2930</v>
      </c>
      <c r="D277" s="295">
        <v>2900</v>
      </c>
      <c r="E277" s="295">
        <v>3000</v>
      </c>
      <c r="F277" s="303">
        <v>640</v>
      </c>
      <c r="H277" s="310"/>
    </row>
    <row r="278" s="278" customFormat="1" ht="14.25" customHeight="1" spans="1:8">
      <c r="A278" s="290" t="s">
        <v>1986</v>
      </c>
      <c r="B278" s="295" t="s">
        <v>2020</v>
      </c>
      <c r="C278" s="295">
        <v>4080</v>
      </c>
      <c r="D278" s="295">
        <v>4030</v>
      </c>
      <c r="E278" s="295">
        <v>4140</v>
      </c>
      <c r="F278" s="303">
        <v>850</v>
      </c>
      <c r="H278" s="310"/>
    </row>
    <row r="279" s="278" customFormat="1" ht="14.25" customHeight="1" spans="1:8">
      <c r="A279" s="290" t="s">
        <v>1986</v>
      </c>
      <c r="B279" s="295" t="s">
        <v>2021</v>
      </c>
      <c r="C279" s="295"/>
      <c r="D279" s="295"/>
      <c r="E279" s="295"/>
      <c r="F279" s="303">
        <v>760</v>
      </c>
      <c r="H279" s="310"/>
    </row>
    <row r="280" s="278" customFormat="1" ht="14.25" customHeight="1" spans="1:8">
      <c r="A280" s="290" t="s">
        <v>1986</v>
      </c>
      <c r="B280" s="295" t="s">
        <v>2022</v>
      </c>
      <c r="C280" s="295"/>
      <c r="D280" s="295"/>
      <c r="E280" s="295"/>
      <c r="F280" s="303">
        <v>760</v>
      </c>
      <c r="H280" s="310"/>
    </row>
    <row r="281" s="278" customFormat="1" ht="14.25" customHeight="1" spans="1:8">
      <c r="A281" s="290" t="s">
        <v>1986</v>
      </c>
      <c r="B281" s="295" t="s">
        <v>2023</v>
      </c>
      <c r="C281" s="295"/>
      <c r="D281" s="295"/>
      <c r="E281" s="295"/>
      <c r="F281" s="303">
        <v>780</v>
      </c>
      <c r="H281" s="310"/>
    </row>
    <row r="282" s="278" customFormat="1" ht="14.25" customHeight="1" spans="1:8">
      <c r="A282" s="290" t="s">
        <v>1986</v>
      </c>
      <c r="B282" s="295" t="s">
        <v>2024</v>
      </c>
      <c r="C282" s="295"/>
      <c r="D282" s="295"/>
      <c r="E282" s="295"/>
      <c r="F282" s="303">
        <v>730</v>
      </c>
      <c r="H282" s="310"/>
    </row>
    <row r="283" s="278" customFormat="1" ht="14.25" customHeight="1" spans="1:8">
      <c r="A283" s="290" t="s">
        <v>1986</v>
      </c>
      <c r="B283" s="295" t="s">
        <v>2025</v>
      </c>
      <c r="C283" s="295"/>
      <c r="D283" s="295"/>
      <c r="E283" s="295"/>
      <c r="F283" s="303">
        <v>770</v>
      </c>
      <c r="H283" s="310"/>
    </row>
    <row r="284" s="278" customFormat="1" ht="14.25" customHeight="1" spans="1:8">
      <c r="A284" s="290" t="s">
        <v>1986</v>
      </c>
      <c r="B284" s="295" t="s">
        <v>2026</v>
      </c>
      <c r="C284" s="295"/>
      <c r="D284" s="295"/>
      <c r="E284" s="295"/>
      <c r="F284" s="303">
        <v>640</v>
      </c>
      <c r="H284" s="310"/>
    </row>
    <row r="285" s="278" customFormat="1" ht="14.25" customHeight="1" spans="1:8">
      <c r="A285" s="290" t="s">
        <v>1986</v>
      </c>
      <c r="B285" s="295" t="s">
        <v>2027</v>
      </c>
      <c r="C285" s="295"/>
      <c r="D285" s="295"/>
      <c r="E285" s="295"/>
      <c r="F285" s="303">
        <v>640</v>
      </c>
      <c r="H285" s="310"/>
    </row>
    <row r="286" s="278" customFormat="1" ht="14.25" customHeight="1" spans="1:8">
      <c r="A286" s="290" t="s">
        <v>1986</v>
      </c>
      <c r="B286" s="295" t="s">
        <v>2028</v>
      </c>
      <c r="C286" s="295"/>
      <c r="D286" s="295"/>
      <c r="E286" s="295"/>
      <c r="F286" s="303">
        <v>850</v>
      </c>
      <c r="H286" s="310"/>
    </row>
    <row r="287" s="278" customFormat="1" ht="14.25" customHeight="1" spans="1:8">
      <c r="A287" s="290" t="s">
        <v>1986</v>
      </c>
      <c r="B287" s="295" t="s">
        <v>2029</v>
      </c>
      <c r="C287" s="295"/>
      <c r="D287" s="295"/>
      <c r="E287" s="295"/>
      <c r="F287" s="303">
        <v>760</v>
      </c>
      <c r="H287" s="310"/>
    </row>
    <row r="288" s="278" customFormat="1" ht="14.25" customHeight="1" spans="1:8">
      <c r="A288" s="290" t="s">
        <v>1986</v>
      </c>
      <c r="B288" s="295" t="s">
        <v>2030</v>
      </c>
      <c r="C288" s="295"/>
      <c r="D288" s="295"/>
      <c r="E288" s="295"/>
      <c r="F288" s="303">
        <v>830</v>
      </c>
      <c r="H288" s="310"/>
    </row>
    <row r="289" s="278" customFormat="1" ht="14.25" customHeight="1" spans="1:8">
      <c r="A289" s="290" t="s">
        <v>1986</v>
      </c>
      <c r="B289" s="301" t="s">
        <v>2031</v>
      </c>
      <c r="C289" s="301"/>
      <c r="D289" s="301"/>
      <c r="E289" s="301"/>
      <c r="F289" s="311">
        <v>680</v>
      </c>
      <c r="H289" s="310"/>
    </row>
    <row r="290" s="278" customFormat="1" ht="14.25" customHeight="1" spans="1:8">
      <c r="A290" s="290" t="s">
        <v>2032</v>
      </c>
      <c r="B290" s="291" t="s">
        <v>2033</v>
      </c>
      <c r="C290" s="291">
        <v>2770</v>
      </c>
      <c r="D290" s="291">
        <v>2740</v>
      </c>
      <c r="E290" s="291">
        <v>2720</v>
      </c>
      <c r="F290" s="316"/>
      <c r="H290" s="310"/>
    </row>
    <row r="291" s="278" customFormat="1" ht="14.25" customHeight="1" spans="1:8">
      <c r="A291" s="290" t="s">
        <v>2032</v>
      </c>
      <c r="B291" s="295" t="s">
        <v>2034</v>
      </c>
      <c r="C291" s="295">
        <v>2670</v>
      </c>
      <c r="D291" s="295">
        <v>2640</v>
      </c>
      <c r="E291" s="295">
        <v>2620</v>
      </c>
      <c r="F291" s="312"/>
      <c r="H291" s="310"/>
    </row>
    <row r="292" s="278" customFormat="1" ht="14.25" customHeight="1" spans="1:8">
      <c r="A292" s="290" t="s">
        <v>2032</v>
      </c>
      <c r="B292" s="295" t="s">
        <v>2035</v>
      </c>
      <c r="C292" s="295">
        <v>2180</v>
      </c>
      <c r="D292" s="295">
        <v>2140</v>
      </c>
      <c r="E292" s="295">
        <v>2120</v>
      </c>
      <c r="F292" s="303">
        <v>490</v>
      </c>
      <c r="H292" s="310"/>
    </row>
    <row r="293" s="278" customFormat="1" ht="14.25" customHeight="1" spans="1:8">
      <c r="A293" s="290" t="s">
        <v>2032</v>
      </c>
      <c r="B293" s="295" t="s">
        <v>2036</v>
      </c>
      <c r="C293" s="295"/>
      <c r="D293" s="295"/>
      <c r="E293" s="295"/>
      <c r="F293" s="303">
        <v>470</v>
      </c>
      <c r="H293" s="310"/>
    </row>
    <row r="294" s="278" customFormat="1" ht="14.25" customHeight="1" spans="1:8">
      <c r="A294" s="290" t="s">
        <v>2032</v>
      </c>
      <c r="B294" s="295" t="s">
        <v>2037</v>
      </c>
      <c r="C294" s="295">
        <v>2730</v>
      </c>
      <c r="D294" s="295">
        <v>2700</v>
      </c>
      <c r="E294" s="295">
        <v>2680</v>
      </c>
      <c r="F294" s="303">
        <v>490</v>
      </c>
      <c r="H294" s="310"/>
    </row>
    <row r="295" s="278" customFormat="1" ht="14.25" customHeight="1" spans="1:8">
      <c r="A295" s="290" t="s">
        <v>2032</v>
      </c>
      <c r="B295" s="295" t="s">
        <v>2038</v>
      </c>
      <c r="C295" s="295">
        <v>2380</v>
      </c>
      <c r="D295" s="295">
        <v>2350</v>
      </c>
      <c r="E295" s="295">
        <v>2330</v>
      </c>
      <c r="F295" s="303">
        <v>530</v>
      </c>
      <c r="H295" s="310"/>
    </row>
    <row r="296" s="278" customFormat="1" ht="14.25" customHeight="1" spans="1:8">
      <c r="A296" s="290" t="s">
        <v>2032</v>
      </c>
      <c r="B296" s="295" t="s">
        <v>2039</v>
      </c>
      <c r="C296" s="295">
        <v>2650</v>
      </c>
      <c r="D296" s="295">
        <v>2620</v>
      </c>
      <c r="E296" s="295">
        <v>2590</v>
      </c>
      <c r="F296" s="303">
        <v>590</v>
      </c>
      <c r="H296" s="310"/>
    </row>
    <row r="297" s="278" customFormat="1" ht="14.25" customHeight="1" spans="1:8">
      <c r="A297" s="290" t="s">
        <v>2032</v>
      </c>
      <c r="B297" s="295" t="s">
        <v>2040</v>
      </c>
      <c r="C297" s="295">
        <v>2700</v>
      </c>
      <c r="D297" s="295">
        <v>2670</v>
      </c>
      <c r="E297" s="295">
        <v>2650</v>
      </c>
      <c r="F297" s="303">
        <v>630</v>
      </c>
      <c r="H297" s="310"/>
    </row>
    <row r="298" s="278" customFormat="1" ht="14.25" customHeight="1" spans="1:8">
      <c r="A298" s="290" t="s">
        <v>2032</v>
      </c>
      <c r="B298" s="295" t="s">
        <v>2041</v>
      </c>
      <c r="C298" s="295">
        <v>2650</v>
      </c>
      <c r="D298" s="295">
        <v>2620</v>
      </c>
      <c r="E298" s="295">
        <v>2590</v>
      </c>
      <c r="F298" s="303">
        <v>640</v>
      </c>
      <c r="H298" s="310"/>
    </row>
    <row r="299" s="278" customFormat="1" ht="14.25" customHeight="1" spans="1:8">
      <c r="A299" s="290" t="s">
        <v>2032</v>
      </c>
      <c r="B299" s="295" t="s">
        <v>2042</v>
      </c>
      <c r="C299" s="295">
        <v>2500</v>
      </c>
      <c r="D299" s="295">
        <v>2480</v>
      </c>
      <c r="E299" s="295">
        <v>2460</v>
      </c>
      <c r="F299" s="312"/>
      <c r="H299" s="310"/>
    </row>
    <row r="300" s="278" customFormat="1" ht="14.25" customHeight="1" spans="1:8">
      <c r="A300" s="290" t="s">
        <v>2032</v>
      </c>
      <c r="B300" s="295" t="s">
        <v>2043</v>
      </c>
      <c r="C300" s="295">
        <v>2760</v>
      </c>
      <c r="D300" s="295">
        <v>2730</v>
      </c>
      <c r="E300" s="295">
        <v>2700</v>
      </c>
      <c r="F300" s="303">
        <v>630</v>
      </c>
      <c r="H300" s="310"/>
    </row>
    <row r="301" s="278" customFormat="1" ht="14.25" customHeight="1" spans="1:8">
      <c r="A301" s="290" t="s">
        <v>2032</v>
      </c>
      <c r="B301" s="295" t="s">
        <v>2044</v>
      </c>
      <c r="C301" s="295">
        <v>2510</v>
      </c>
      <c r="D301" s="295">
        <v>2480</v>
      </c>
      <c r="E301" s="295">
        <v>2460</v>
      </c>
      <c r="F301" s="312"/>
      <c r="H301" s="310"/>
    </row>
    <row r="302" s="278" customFormat="1" ht="14.25" customHeight="1" spans="1:8">
      <c r="A302" s="290" t="s">
        <v>2032</v>
      </c>
      <c r="B302" s="295" t="s">
        <v>2045</v>
      </c>
      <c r="C302" s="295">
        <v>2480</v>
      </c>
      <c r="D302" s="295">
        <v>2450</v>
      </c>
      <c r="E302" s="295">
        <v>2420</v>
      </c>
      <c r="F302" s="303">
        <v>600</v>
      </c>
      <c r="H302" s="310"/>
    </row>
    <row r="303" s="278" customFormat="1" ht="14.25" customHeight="1" spans="1:8">
      <c r="A303" s="290" t="s">
        <v>2032</v>
      </c>
      <c r="B303" s="295" t="s">
        <v>2046</v>
      </c>
      <c r="C303" s="295">
        <v>2270</v>
      </c>
      <c r="D303" s="295">
        <v>2240</v>
      </c>
      <c r="E303" s="295">
        <v>2210</v>
      </c>
      <c r="F303" s="303">
        <v>540</v>
      </c>
      <c r="H303" s="310"/>
    </row>
    <row r="304" s="278" customFormat="1" ht="14.25" customHeight="1" spans="1:8">
      <c r="A304" s="290" t="s">
        <v>2032</v>
      </c>
      <c r="B304" s="295" t="s">
        <v>2047</v>
      </c>
      <c r="C304" s="295">
        <v>2310</v>
      </c>
      <c r="D304" s="295">
        <v>2290</v>
      </c>
      <c r="E304" s="295">
        <v>2270</v>
      </c>
      <c r="F304" s="312"/>
      <c r="H304" s="310"/>
    </row>
    <row r="305" s="278" customFormat="1" ht="14.25" customHeight="1" spans="1:8">
      <c r="A305" s="290" t="s">
        <v>2032</v>
      </c>
      <c r="B305" s="295" t="s">
        <v>2048</v>
      </c>
      <c r="C305" s="295">
        <v>2490</v>
      </c>
      <c r="D305" s="295">
        <v>2470</v>
      </c>
      <c r="E305" s="295">
        <v>2440</v>
      </c>
      <c r="F305" s="303">
        <v>560</v>
      </c>
      <c r="H305" s="310"/>
    </row>
    <row r="306" s="278" customFormat="1" ht="14.25" customHeight="1" spans="1:8">
      <c r="A306" s="290" t="s">
        <v>2032</v>
      </c>
      <c r="B306" s="295" t="s">
        <v>2049</v>
      </c>
      <c r="C306" s="295">
        <v>2420</v>
      </c>
      <c r="D306" s="295">
        <v>2400</v>
      </c>
      <c r="E306" s="295">
        <v>2380</v>
      </c>
      <c r="F306" s="312"/>
      <c r="H306" s="310"/>
    </row>
    <row r="307" s="278" customFormat="1" ht="14.25" customHeight="1" spans="1:8">
      <c r="A307" s="290" t="s">
        <v>2032</v>
      </c>
      <c r="B307" s="295" t="s">
        <v>2050</v>
      </c>
      <c r="C307" s="295">
        <v>2770</v>
      </c>
      <c r="D307" s="295">
        <v>2740</v>
      </c>
      <c r="E307" s="295">
        <v>2710</v>
      </c>
      <c r="F307" s="303">
        <v>650</v>
      </c>
      <c r="H307" s="310"/>
    </row>
    <row r="308" s="278" customFormat="1" ht="14.25" customHeight="1" spans="1:8">
      <c r="A308" s="290" t="s">
        <v>2032</v>
      </c>
      <c r="B308" s="295" t="s">
        <v>2051</v>
      </c>
      <c r="C308" s="295">
        <v>2610</v>
      </c>
      <c r="D308" s="295">
        <v>2580</v>
      </c>
      <c r="E308" s="295">
        <v>2550</v>
      </c>
      <c r="F308" s="303">
        <v>580</v>
      </c>
      <c r="H308" s="310"/>
    </row>
    <row r="309" s="278" customFormat="1" ht="14.25" customHeight="1" spans="1:8">
      <c r="A309" s="290" t="s">
        <v>2032</v>
      </c>
      <c r="B309" s="295" t="s">
        <v>2052</v>
      </c>
      <c r="C309" s="295">
        <v>2690</v>
      </c>
      <c r="D309" s="295">
        <v>2670</v>
      </c>
      <c r="E309" s="295">
        <v>2650</v>
      </c>
      <c r="F309" s="312"/>
      <c r="H309" s="310"/>
    </row>
    <row r="310" s="278" customFormat="1" ht="14.25" customHeight="1" spans="1:8">
      <c r="A310" s="290" t="s">
        <v>2032</v>
      </c>
      <c r="B310" s="295" t="s">
        <v>2053</v>
      </c>
      <c r="C310" s="295">
        <v>2360</v>
      </c>
      <c r="D310" s="295">
        <v>2330</v>
      </c>
      <c r="E310" s="295">
        <v>2310</v>
      </c>
      <c r="F310" s="303">
        <v>560</v>
      </c>
      <c r="H310" s="310"/>
    </row>
    <row r="311" s="278" customFormat="1" ht="14.25" customHeight="1" spans="1:8">
      <c r="A311" s="290" t="s">
        <v>2032</v>
      </c>
      <c r="B311" s="295" t="s">
        <v>2054</v>
      </c>
      <c r="C311" s="295">
        <v>1970</v>
      </c>
      <c r="D311" s="295">
        <v>1950</v>
      </c>
      <c r="E311" s="295">
        <v>1920</v>
      </c>
      <c r="F311" s="303">
        <v>470</v>
      </c>
      <c r="H311" s="310"/>
    </row>
    <row r="312" s="278" customFormat="1" ht="14.25" customHeight="1" spans="1:8">
      <c r="A312" s="290" t="s">
        <v>2032</v>
      </c>
      <c r="B312" s="295" t="s">
        <v>2055</v>
      </c>
      <c r="C312" s="295">
        <v>2230</v>
      </c>
      <c r="D312" s="295">
        <v>2200</v>
      </c>
      <c r="E312" s="295">
        <v>2170</v>
      </c>
      <c r="F312" s="303">
        <v>460</v>
      </c>
      <c r="H312" s="310"/>
    </row>
    <row r="313" s="278" customFormat="1" ht="14.25" customHeight="1" spans="1:8">
      <c r="A313" s="290" t="s">
        <v>2032</v>
      </c>
      <c r="B313" s="295" t="s">
        <v>2056</v>
      </c>
      <c r="C313" s="295">
        <v>2770</v>
      </c>
      <c r="D313" s="295">
        <v>2740</v>
      </c>
      <c r="E313" s="295">
        <v>2710</v>
      </c>
      <c r="F313" s="303">
        <v>610</v>
      </c>
      <c r="H313" s="310"/>
    </row>
    <row r="314" s="278" customFormat="1" ht="14.25" customHeight="1" spans="1:8">
      <c r="A314" s="290" t="s">
        <v>2032</v>
      </c>
      <c r="B314" s="295" t="s">
        <v>2057</v>
      </c>
      <c r="C314" s="295"/>
      <c r="D314" s="295"/>
      <c r="E314" s="295"/>
      <c r="F314" s="303">
        <v>490</v>
      </c>
      <c r="H314" s="310"/>
    </row>
    <row r="315" s="278" customFormat="1" ht="14.25" customHeight="1" spans="1:8">
      <c r="A315" s="290" t="s">
        <v>2032</v>
      </c>
      <c r="B315" s="295" t="s">
        <v>2058</v>
      </c>
      <c r="C315" s="295"/>
      <c r="D315" s="295"/>
      <c r="E315" s="295"/>
      <c r="F315" s="303">
        <v>520</v>
      </c>
      <c r="H315" s="310"/>
    </row>
    <row r="316" s="278" customFormat="1" ht="14.25" customHeight="1" spans="1:8">
      <c r="A316" s="290" t="s">
        <v>2032</v>
      </c>
      <c r="B316" s="301" t="s">
        <v>2059</v>
      </c>
      <c r="C316" s="301"/>
      <c r="D316" s="301"/>
      <c r="E316" s="301"/>
      <c r="F316" s="311">
        <v>460</v>
      </c>
      <c r="H316" s="310"/>
    </row>
    <row r="317" s="278" customFormat="1" ht="14.25" customHeight="1" spans="1:8">
      <c r="A317" s="290" t="s">
        <v>2060</v>
      </c>
      <c r="B317" s="291" t="s">
        <v>2061</v>
      </c>
      <c r="C317" s="291">
        <v>1200</v>
      </c>
      <c r="D317" s="291">
        <v>1180</v>
      </c>
      <c r="E317" s="291">
        <v>1160</v>
      </c>
      <c r="F317" s="292">
        <v>370</v>
      </c>
      <c r="H317" s="280"/>
    </row>
    <row r="318" s="278" customFormat="1" ht="14.25" customHeight="1" spans="1:8">
      <c r="A318" s="290" t="s">
        <v>2060</v>
      </c>
      <c r="B318" s="295" t="s">
        <v>2062</v>
      </c>
      <c r="C318" s="295">
        <v>1090</v>
      </c>
      <c r="D318" s="295">
        <v>1060</v>
      </c>
      <c r="E318" s="295">
        <v>1040</v>
      </c>
      <c r="F318" s="312"/>
      <c r="H318" s="280"/>
    </row>
    <row r="319" s="278" customFormat="1" ht="14.25" customHeight="1" spans="1:8">
      <c r="A319" s="290" t="s">
        <v>2060</v>
      </c>
      <c r="B319" s="295" t="s">
        <v>2063</v>
      </c>
      <c r="C319" s="295">
        <v>1520</v>
      </c>
      <c r="D319" s="295">
        <v>1470</v>
      </c>
      <c r="E319" s="295">
        <v>1440</v>
      </c>
      <c r="F319" s="303">
        <v>370</v>
      </c>
      <c r="H319" s="280"/>
    </row>
    <row r="320" s="278" customFormat="1" ht="14.25" customHeight="1" spans="1:8">
      <c r="A320" s="290" t="s">
        <v>2060</v>
      </c>
      <c r="B320" s="295" t="s">
        <v>2064</v>
      </c>
      <c r="C320" s="295">
        <v>1360</v>
      </c>
      <c r="D320" s="295">
        <v>1300</v>
      </c>
      <c r="E320" s="295">
        <v>1270</v>
      </c>
      <c r="F320" s="312"/>
      <c r="H320" s="280"/>
    </row>
    <row r="321" s="278" customFormat="1" ht="14.25" customHeight="1" spans="1:8">
      <c r="A321" s="290" t="s">
        <v>2060</v>
      </c>
      <c r="B321" s="295" t="s">
        <v>2065</v>
      </c>
      <c r="C321" s="295">
        <v>1750</v>
      </c>
      <c r="D321" s="295">
        <v>1690</v>
      </c>
      <c r="E321" s="295">
        <v>1660</v>
      </c>
      <c r="F321" s="312"/>
      <c r="H321" s="280"/>
    </row>
    <row r="322" s="278" customFormat="1" ht="14.25" customHeight="1" spans="1:8">
      <c r="A322" s="290" t="s">
        <v>2060</v>
      </c>
      <c r="B322" s="295" t="s">
        <v>2066</v>
      </c>
      <c r="C322" s="295">
        <v>1650</v>
      </c>
      <c r="D322" s="295">
        <v>1610</v>
      </c>
      <c r="E322" s="295">
        <v>1580</v>
      </c>
      <c r="F322" s="303">
        <v>500</v>
      </c>
      <c r="H322" s="280"/>
    </row>
    <row r="323" s="278" customFormat="1" ht="14.25" customHeight="1" spans="1:8">
      <c r="A323" s="290" t="s">
        <v>2060</v>
      </c>
      <c r="B323" s="295" t="s">
        <v>2067</v>
      </c>
      <c r="C323" s="295">
        <v>1780</v>
      </c>
      <c r="D323" s="295">
        <v>1740</v>
      </c>
      <c r="E323" s="295">
        <v>1720</v>
      </c>
      <c r="F323" s="312"/>
      <c r="H323" s="280"/>
    </row>
    <row r="324" s="278" customFormat="1" ht="14.25" customHeight="1" spans="1:8">
      <c r="A324" s="290" t="s">
        <v>2060</v>
      </c>
      <c r="B324" s="295" t="s">
        <v>2068</v>
      </c>
      <c r="C324" s="295">
        <v>1650</v>
      </c>
      <c r="D324" s="295">
        <v>1610</v>
      </c>
      <c r="E324" s="295">
        <v>1580</v>
      </c>
      <c r="F324" s="312"/>
      <c r="H324" s="280"/>
    </row>
    <row r="325" s="278" customFormat="1" ht="14.25" customHeight="1" spans="1:8">
      <c r="A325" s="290" t="s">
        <v>2060</v>
      </c>
      <c r="B325" s="295" t="s">
        <v>2069</v>
      </c>
      <c r="C325" s="295">
        <v>1330</v>
      </c>
      <c r="D325" s="295">
        <v>1270</v>
      </c>
      <c r="E325" s="295">
        <v>1240</v>
      </c>
      <c r="F325" s="303">
        <v>430</v>
      </c>
      <c r="H325" s="280"/>
    </row>
    <row r="326" s="278" customFormat="1" ht="14.25" customHeight="1" spans="1:8">
      <c r="A326" s="290" t="s">
        <v>2060</v>
      </c>
      <c r="B326" s="295" t="s">
        <v>2070</v>
      </c>
      <c r="C326" s="295">
        <v>1470</v>
      </c>
      <c r="D326" s="295">
        <v>1430</v>
      </c>
      <c r="E326" s="295">
        <v>1400</v>
      </c>
      <c r="F326" s="312"/>
      <c r="H326" s="280"/>
    </row>
    <row r="327" s="278" customFormat="1" ht="14.25" customHeight="1" spans="1:8">
      <c r="A327" s="290" t="s">
        <v>2060</v>
      </c>
      <c r="B327" s="295" t="s">
        <v>2071</v>
      </c>
      <c r="C327" s="295">
        <v>1420</v>
      </c>
      <c r="D327" s="295">
        <v>1380</v>
      </c>
      <c r="E327" s="295">
        <v>1360</v>
      </c>
      <c r="F327" s="303">
        <v>420</v>
      </c>
      <c r="H327" s="280"/>
    </row>
    <row r="328" s="278" customFormat="1" ht="14.25" customHeight="1" spans="1:8">
      <c r="A328" s="290" t="s">
        <v>2060</v>
      </c>
      <c r="B328" s="295" t="s">
        <v>2072</v>
      </c>
      <c r="C328" s="295">
        <v>1400</v>
      </c>
      <c r="D328" s="295">
        <v>1360</v>
      </c>
      <c r="E328" s="295">
        <v>1330</v>
      </c>
      <c r="F328" s="303">
        <v>460</v>
      </c>
      <c r="H328" s="280"/>
    </row>
    <row r="329" s="278" customFormat="1" ht="14.25" customHeight="1" spans="1:8">
      <c r="A329" s="290" t="s">
        <v>2060</v>
      </c>
      <c r="B329" s="295" t="s">
        <v>2073</v>
      </c>
      <c r="C329" s="295">
        <v>1640</v>
      </c>
      <c r="D329" s="295">
        <v>1610</v>
      </c>
      <c r="E329" s="295">
        <v>1580</v>
      </c>
      <c r="F329" s="303">
        <v>410</v>
      </c>
      <c r="H329" s="280"/>
    </row>
    <row r="330" s="278" customFormat="1" ht="14.25" customHeight="1" spans="1:8">
      <c r="A330" s="290" t="s">
        <v>2060</v>
      </c>
      <c r="B330" s="295" t="s">
        <v>2074</v>
      </c>
      <c r="C330" s="295">
        <v>1260</v>
      </c>
      <c r="D330" s="295">
        <v>1220</v>
      </c>
      <c r="E330" s="295">
        <v>1200</v>
      </c>
      <c r="F330" s="312"/>
      <c r="H330" s="280"/>
    </row>
    <row r="331" s="278" customFormat="1" ht="14.25" customHeight="1" spans="1:8">
      <c r="A331" s="290" t="s">
        <v>2060</v>
      </c>
      <c r="B331" s="295" t="s">
        <v>2075</v>
      </c>
      <c r="C331" s="295">
        <v>1620</v>
      </c>
      <c r="D331" s="295">
        <v>1560</v>
      </c>
      <c r="E331" s="295">
        <v>1530</v>
      </c>
      <c r="F331" s="303">
        <v>490</v>
      </c>
      <c r="H331" s="280"/>
    </row>
    <row r="332" s="278" customFormat="1" ht="14.25" customHeight="1" spans="1:8">
      <c r="A332" s="290" t="s">
        <v>2060</v>
      </c>
      <c r="B332" s="295" t="s">
        <v>2076</v>
      </c>
      <c r="C332" s="295">
        <v>1520</v>
      </c>
      <c r="D332" s="295">
        <v>1470</v>
      </c>
      <c r="E332" s="295">
        <v>1440</v>
      </c>
      <c r="F332" s="303">
        <v>440</v>
      </c>
      <c r="H332" s="280"/>
    </row>
    <row r="333" s="278" customFormat="1" ht="14.25" customHeight="1" spans="1:8">
      <c r="A333" s="290" t="s">
        <v>2060</v>
      </c>
      <c r="B333" s="295" t="s">
        <v>2077</v>
      </c>
      <c r="C333" s="295">
        <v>1370</v>
      </c>
      <c r="D333" s="295">
        <v>1320</v>
      </c>
      <c r="E333" s="295">
        <v>1300</v>
      </c>
      <c r="F333" s="303">
        <v>460</v>
      </c>
      <c r="H333" s="280"/>
    </row>
    <row r="334" s="278" customFormat="1" ht="14.25" customHeight="1" spans="1:8">
      <c r="A334" s="290" t="s">
        <v>2060</v>
      </c>
      <c r="B334" s="295" t="s">
        <v>2078</v>
      </c>
      <c r="C334" s="295">
        <v>1410</v>
      </c>
      <c r="D334" s="295">
        <v>1340</v>
      </c>
      <c r="E334" s="295">
        <v>1310</v>
      </c>
      <c r="F334" s="303">
        <v>410</v>
      </c>
      <c r="H334" s="280"/>
    </row>
    <row r="335" s="278" customFormat="1" ht="14.25" customHeight="1" spans="1:8">
      <c r="A335" s="290" t="s">
        <v>2060</v>
      </c>
      <c r="B335" s="295" t="s">
        <v>2079</v>
      </c>
      <c r="C335" s="295">
        <v>1260</v>
      </c>
      <c r="D335" s="295">
        <v>1220</v>
      </c>
      <c r="E335" s="295">
        <v>1200</v>
      </c>
      <c r="F335" s="312"/>
      <c r="H335" s="280"/>
    </row>
    <row r="336" s="278" customFormat="1" ht="14.25" customHeight="1" spans="1:8">
      <c r="A336" s="290" t="s">
        <v>2060</v>
      </c>
      <c r="B336" s="295" t="s">
        <v>2080</v>
      </c>
      <c r="C336" s="295">
        <v>1160</v>
      </c>
      <c r="D336" s="295">
        <v>1140</v>
      </c>
      <c r="E336" s="295">
        <v>1120</v>
      </c>
      <c r="F336" s="303">
        <v>430</v>
      </c>
      <c r="H336" s="280"/>
    </row>
    <row r="337" s="278" customFormat="1" ht="14.25" customHeight="1" spans="1:8">
      <c r="A337" s="290" t="s">
        <v>2060</v>
      </c>
      <c r="B337" s="301" t="s">
        <v>2081</v>
      </c>
      <c r="C337" s="301"/>
      <c r="D337" s="301"/>
      <c r="E337" s="301"/>
      <c r="F337" s="311">
        <v>380</v>
      </c>
      <c r="H337" s="280"/>
    </row>
    <row r="338" s="278" customFormat="1" ht="14.25" customHeight="1" spans="1:8">
      <c r="A338" s="290" t="s">
        <v>2082</v>
      </c>
      <c r="B338" s="291" t="s">
        <v>2083</v>
      </c>
      <c r="C338" s="291">
        <v>880</v>
      </c>
      <c r="D338" s="291">
        <v>850</v>
      </c>
      <c r="E338" s="291">
        <v>830</v>
      </c>
      <c r="F338" s="316"/>
      <c r="H338" s="280"/>
    </row>
    <row r="339" s="278" customFormat="1" ht="14.25" customHeight="1" spans="1:8">
      <c r="A339" s="290" t="s">
        <v>2082</v>
      </c>
      <c r="B339" s="295" t="s">
        <v>2084</v>
      </c>
      <c r="C339" s="295">
        <v>830</v>
      </c>
      <c r="D339" s="295">
        <v>800</v>
      </c>
      <c r="E339" s="295">
        <v>780</v>
      </c>
      <c r="F339" s="312"/>
      <c r="H339" s="280"/>
    </row>
    <row r="340" s="278" customFormat="1" ht="14.25" customHeight="1" spans="1:8">
      <c r="A340" s="290" t="s">
        <v>2082</v>
      </c>
      <c r="B340" s="295" t="s">
        <v>2085</v>
      </c>
      <c r="C340" s="295">
        <v>980</v>
      </c>
      <c r="D340" s="295">
        <v>950</v>
      </c>
      <c r="E340" s="295">
        <v>920</v>
      </c>
      <c r="F340" s="312"/>
      <c r="H340" s="280"/>
    </row>
    <row r="341" s="278" customFormat="1" ht="14.25" customHeight="1" spans="1:8">
      <c r="A341" s="290" t="s">
        <v>2082</v>
      </c>
      <c r="B341" s="295" t="s">
        <v>2086</v>
      </c>
      <c r="C341" s="295">
        <v>760</v>
      </c>
      <c r="D341" s="295">
        <v>720</v>
      </c>
      <c r="E341" s="295">
        <v>690</v>
      </c>
      <c r="F341" s="303">
        <v>350</v>
      </c>
      <c r="H341" s="280"/>
    </row>
    <row r="342" s="278" customFormat="1" ht="14.25" customHeight="1" spans="1:8">
      <c r="A342" s="290" t="s">
        <v>2082</v>
      </c>
      <c r="B342" s="295" t="s">
        <v>2087</v>
      </c>
      <c r="C342" s="295">
        <v>910</v>
      </c>
      <c r="D342" s="295">
        <v>870</v>
      </c>
      <c r="E342" s="295">
        <v>850</v>
      </c>
      <c r="F342" s="303">
        <v>370</v>
      </c>
      <c r="H342" s="280"/>
    </row>
    <row r="343" s="278" customFormat="1" ht="14.25" customHeight="1" spans="1:8">
      <c r="A343" s="290" t="s">
        <v>2082</v>
      </c>
      <c r="B343" s="295" t="s">
        <v>2088</v>
      </c>
      <c r="C343" s="295">
        <v>800</v>
      </c>
      <c r="D343" s="295">
        <v>760</v>
      </c>
      <c r="E343" s="295">
        <v>730</v>
      </c>
      <c r="F343" s="303">
        <v>340</v>
      </c>
      <c r="H343" s="280"/>
    </row>
    <row r="344" s="278" customFormat="1" ht="14.25" customHeight="1" spans="1:8">
      <c r="A344" s="290" t="s">
        <v>2082</v>
      </c>
      <c r="B344" s="301" t="s">
        <v>2089</v>
      </c>
      <c r="C344" s="301">
        <v>720</v>
      </c>
      <c r="D344" s="301">
        <v>690</v>
      </c>
      <c r="E344" s="301">
        <v>660</v>
      </c>
      <c r="F344" s="311">
        <v>300</v>
      </c>
      <c r="H344" s="280"/>
    </row>
  </sheetData>
  <sheetProtection password="C66D" sheet="1" formatCells="0" formatColumns="0" formatRows="0" objects="1" scenarios="1"/>
  <mergeCells count="3">
    <mergeCell ref="A1:F1"/>
    <mergeCell ref="A2:F2"/>
    <mergeCell ref="A3:A4"/>
  </mergeCells>
  <pageMargins left="0.7" right="0.7" top="0.75" bottom="0.75" header="0.3" footer="0.3"/>
  <pageSetup paperSize="9" orientation="portrait"/>
  <headerFooter/>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19"/>
  <sheetViews>
    <sheetView workbookViewId="0">
      <selection activeCell="A15" sqref="A15:M15"/>
    </sheetView>
  </sheetViews>
  <sheetFormatPr defaultColWidth="8.25" defaultRowHeight="19.5" customHeight="1"/>
  <cols>
    <col min="1" max="1" width="13.625" style="233" customWidth="1"/>
    <col min="2" max="9" width="8.25" style="232" customWidth="1"/>
    <col min="10" max="13" width="8.25" style="233"/>
    <col min="14" max="14" width="10" style="233" customWidth="1"/>
    <col min="15" max="16" width="8.25" style="233"/>
    <col min="17" max="17" width="34.125" style="233" customWidth="1"/>
    <col min="18" max="18" width="8.25" style="233" customWidth="1"/>
    <col min="19" max="19" width="8.25" style="233"/>
    <col min="20" max="20" width="11.625" style="233" customWidth="1"/>
    <col min="21" max="16384" width="8.25" style="233"/>
  </cols>
  <sheetData>
    <row r="1" customHeight="1" spans="1:13">
      <c r="A1" s="234" t="s">
        <v>2128</v>
      </c>
      <c r="B1" s="235" t="s">
        <v>1738</v>
      </c>
      <c r="C1" s="235" t="s">
        <v>1744</v>
      </c>
      <c r="D1" s="235" t="s">
        <v>1764</v>
      </c>
      <c r="E1" s="235" t="s">
        <v>1785</v>
      </c>
      <c r="F1" s="235" t="s">
        <v>1813</v>
      </c>
      <c r="G1" s="235" t="s">
        <v>1848</v>
      </c>
      <c r="H1" s="235" t="s">
        <v>1897</v>
      </c>
      <c r="I1" s="235" t="s">
        <v>1946</v>
      </c>
      <c r="J1" s="235" t="s">
        <v>1986</v>
      </c>
      <c r="K1" s="235" t="s">
        <v>2032</v>
      </c>
      <c r="L1" s="235" t="s">
        <v>2060</v>
      </c>
      <c r="M1" s="270" t="s">
        <v>2082</v>
      </c>
    </row>
    <row r="2" customHeight="1" spans="1:13">
      <c r="A2" s="236" t="s">
        <v>1733</v>
      </c>
      <c r="B2" s="237">
        <v>3.5</v>
      </c>
      <c r="C2" s="237">
        <v>3.5</v>
      </c>
      <c r="D2" s="238">
        <v>2.5</v>
      </c>
      <c r="E2" s="238">
        <v>2.5</v>
      </c>
      <c r="F2" s="238">
        <v>2.5</v>
      </c>
      <c r="G2" s="238">
        <v>2.5</v>
      </c>
      <c r="H2" s="238">
        <v>2.5</v>
      </c>
      <c r="I2" s="237">
        <v>2</v>
      </c>
      <c r="J2" s="237">
        <v>2</v>
      </c>
      <c r="K2" s="237">
        <v>2</v>
      </c>
      <c r="L2" s="237">
        <v>2</v>
      </c>
      <c r="M2" s="271">
        <v>2</v>
      </c>
    </row>
    <row r="3" customHeight="1" spans="1:13">
      <c r="A3" s="239" t="s">
        <v>1734</v>
      </c>
      <c r="B3" s="240">
        <v>3.5</v>
      </c>
      <c r="C3" s="240">
        <v>3.5</v>
      </c>
      <c r="D3" s="241">
        <v>2.5</v>
      </c>
      <c r="E3" s="241">
        <v>2.5</v>
      </c>
      <c r="F3" s="241">
        <v>2.5</v>
      </c>
      <c r="G3" s="241">
        <v>2.5</v>
      </c>
      <c r="H3" s="241">
        <v>2.5</v>
      </c>
      <c r="I3" s="240">
        <v>2</v>
      </c>
      <c r="J3" s="240">
        <v>2</v>
      </c>
      <c r="K3" s="240">
        <v>2</v>
      </c>
      <c r="L3" s="240">
        <v>2</v>
      </c>
      <c r="M3" s="272">
        <v>2</v>
      </c>
    </row>
    <row r="4" customHeight="1" spans="1:13">
      <c r="A4" s="239" t="s">
        <v>461</v>
      </c>
      <c r="B4" s="241">
        <v>2.5</v>
      </c>
      <c r="C4" s="241">
        <v>2.5</v>
      </c>
      <c r="D4" s="241">
        <v>2.5</v>
      </c>
      <c r="E4" s="241">
        <v>2.5</v>
      </c>
      <c r="F4" s="241">
        <v>2.5</v>
      </c>
      <c r="G4" s="241">
        <v>2.5</v>
      </c>
      <c r="H4" s="241">
        <v>2.5</v>
      </c>
      <c r="I4" s="240">
        <v>1.5</v>
      </c>
      <c r="J4" s="240">
        <v>1.5</v>
      </c>
      <c r="K4" s="240">
        <v>1.5</v>
      </c>
      <c r="L4" s="240">
        <v>1.5</v>
      </c>
      <c r="M4" s="272">
        <v>1.5</v>
      </c>
    </row>
    <row r="5" customHeight="1" spans="1:13">
      <c r="A5" s="242" t="s">
        <v>1735</v>
      </c>
      <c r="B5" s="243">
        <v>1.5</v>
      </c>
      <c r="C5" s="243">
        <v>1.5</v>
      </c>
      <c r="D5" s="243">
        <v>1.5</v>
      </c>
      <c r="E5" s="243">
        <v>1.5</v>
      </c>
      <c r="F5" s="243">
        <v>1.5</v>
      </c>
      <c r="G5" s="244">
        <v>1.2</v>
      </c>
      <c r="H5" s="244">
        <v>1.2</v>
      </c>
      <c r="I5" s="244">
        <v>1</v>
      </c>
      <c r="J5" s="244">
        <v>1</v>
      </c>
      <c r="K5" s="244">
        <v>1</v>
      </c>
      <c r="L5" s="244">
        <v>1</v>
      </c>
      <c r="M5" s="273">
        <v>1</v>
      </c>
    </row>
    <row r="6" customHeight="1" spans="1:13">
      <c r="A6" s="245" t="s">
        <v>2129</v>
      </c>
      <c r="B6" s="246">
        <v>80</v>
      </c>
      <c r="C6" s="246">
        <v>80</v>
      </c>
      <c r="D6" s="246">
        <v>65</v>
      </c>
      <c r="E6" s="246">
        <v>65</v>
      </c>
      <c r="F6" s="246">
        <v>65</v>
      </c>
      <c r="G6" s="246">
        <v>65</v>
      </c>
      <c r="H6" s="246">
        <v>65</v>
      </c>
      <c r="I6" s="246">
        <v>50</v>
      </c>
      <c r="J6" s="246">
        <v>50</v>
      </c>
      <c r="K6" s="246">
        <v>50</v>
      </c>
      <c r="L6" s="246">
        <v>50</v>
      </c>
      <c r="M6" s="274">
        <v>50</v>
      </c>
    </row>
    <row r="7" customHeight="1" spans="1:13">
      <c r="A7" s="247" t="s">
        <v>2130</v>
      </c>
      <c r="B7" s="248">
        <v>70</v>
      </c>
      <c r="C7" s="248">
        <v>70</v>
      </c>
      <c r="D7" s="248">
        <v>55</v>
      </c>
      <c r="E7" s="248">
        <v>55</v>
      </c>
      <c r="F7" s="248">
        <v>55</v>
      </c>
      <c r="G7" s="248">
        <v>55</v>
      </c>
      <c r="H7" s="248">
        <v>55</v>
      </c>
      <c r="I7" s="248">
        <v>40</v>
      </c>
      <c r="J7" s="248">
        <v>40</v>
      </c>
      <c r="K7" s="248">
        <v>40</v>
      </c>
      <c r="L7" s="248">
        <v>40</v>
      </c>
      <c r="M7" s="275">
        <v>40</v>
      </c>
    </row>
    <row r="8" customHeight="1" spans="1:13">
      <c r="A8" s="247" t="s">
        <v>2131</v>
      </c>
      <c r="B8" s="248">
        <v>20</v>
      </c>
      <c r="C8" s="248">
        <v>20</v>
      </c>
      <c r="D8" s="248">
        <v>15</v>
      </c>
      <c r="E8" s="248">
        <v>15</v>
      </c>
      <c r="F8" s="248">
        <v>15</v>
      </c>
      <c r="G8" s="248">
        <v>15</v>
      </c>
      <c r="H8" s="248">
        <v>15</v>
      </c>
      <c r="I8" s="248">
        <v>10</v>
      </c>
      <c r="J8" s="248">
        <v>10</v>
      </c>
      <c r="K8" s="248">
        <v>10</v>
      </c>
      <c r="L8" s="248">
        <v>10</v>
      </c>
      <c r="M8" s="275">
        <v>10</v>
      </c>
    </row>
    <row r="9" customHeight="1" spans="1:13">
      <c r="A9" s="247" t="s">
        <v>2132</v>
      </c>
      <c r="B9" s="248">
        <v>30</v>
      </c>
      <c r="C9" s="248">
        <v>30</v>
      </c>
      <c r="D9" s="248">
        <v>25</v>
      </c>
      <c r="E9" s="248">
        <v>25</v>
      </c>
      <c r="F9" s="248">
        <v>25</v>
      </c>
      <c r="G9" s="248">
        <v>25</v>
      </c>
      <c r="H9" s="248">
        <v>25</v>
      </c>
      <c r="I9" s="248">
        <v>20</v>
      </c>
      <c r="J9" s="248">
        <v>20</v>
      </c>
      <c r="K9" s="248">
        <v>20</v>
      </c>
      <c r="L9" s="248">
        <v>20</v>
      </c>
      <c r="M9" s="275">
        <v>20</v>
      </c>
    </row>
    <row r="10" customHeight="1" spans="1:13">
      <c r="A10" s="247" t="s">
        <v>2133</v>
      </c>
      <c r="B10" s="248">
        <v>45</v>
      </c>
      <c r="C10" s="248">
        <v>45</v>
      </c>
      <c r="D10" s="248">
        <v>35</v>
      </c>
      <c r="E10" s="248">
        <v>35</v>
      </c>
      <c r="F10" s="248">
        <v>35</v>
      </c>
      <c r="G10" s="248">
        <v>35</v>
      </c>
      <c r="H10" s="248">
        <v>35</v>
      </c>
      <c r="I10" s="248">
        <v>25</v>
      </c>
      <c r="J10" s="248">
        <v>25</v>
      </c>
      <c r="K10" s="248">
        <v>25</v>
      </c>
      <c r="L10" s="248">
        <v>25</v>
      </c>
      <c r="M10" s="275">
        <v>25</v>
      </c>
    </row>
    <row r="11" customHeight="1" spans="1:13">
      <c r="A11" s="247" t="s">
        <v>2134</v>
      </c>
      <c r="B11" s="248">
        <v>60</v>
      </c>
      <c r="C11" s="248">
        <v>60</v>
      </c>
      <c r="D11" s="248">
        <v>50</v>
      </c>
      <c r="E11" s="248">
        <v>50</v>
      </c>
      <c r="F11" s="248">
        <v>50</v>
      </c>
      <c r="G11" s="248">
        <v>50</v>
      </c>
      <c r="H11" s="248">
        <v>50</v>
      </c>
      <c r="I11" s="248">
        <v>40</v>
      </c>
      <c r="J11" s="248">
        <v>40</v>
      </c>
      <c r="K11" s="248">
        <v>40</v>
      </c>
      <c r="L11" s="248">
        <v>40</v>
      </c>
      <c r="M11" s="275">
        <v>40</v>
      </c>
    </row>
    <row r="12" customHeight="1" spans="1:13">
      <c r="A12" s="247" t="s">
        <v>2135</v>
      </c>
      <c r="B12" s="248">
        <v>50</v>
      </c>
      <c r="C12" s="248">
        <v>50</v>
      </c>
      <c r="D12" s="248">
        <v>40</v>
      </c>
      <c r="E12" s="248">
        <v>40</v>
      </c>
      <c r="F12" s="248">
        <v>40</v>
      </c>
      <c r="G12" s="248">
        <v>40</v>
      </c>
      <c r="H12" s="248">
        <v>40</v>
      </c>
      <c r="I12" s="248">
        <v>30</v>
      </c>
      <c r="J12" s="248">
        <v>30</v>
      </c>
      <c r="K12" s="248">
        <v>30</v>
      </c>
      <c r="L12" s="248">
        <v>30</v>
      </c>
      <c r="M12" s="275">
        <v>30</v>
      </c>
    </row>
    <row r="13" customHeight="1" spans="1:13">
      <c r="A13" s="249" t="s">
        <v>2136</v>
      </c>
      <c r="B13" s="250">
        <v>20</v>
      </c>
      <c r="C13" s="250">
        <v>20</v>
      </c>
      <c r="D13" s="250">
        <v>15</v>
      </c>
      <c r="E13" s="250">
        <v>15</v>
      </c>
      <c r="F13" s="250">
        <v>15</v>
      </c>
      <c r="G13" s="250">
        <v>15</v>
      </c>
      <c r="H13" s="250">
        <v>15</v>
      </c>
      <c r="I13" s="250">
        <v>10</v>
      </c>
      <c r="J13" s="250">
        <v>10</v>
      </c>
      <c r="K13" s="250">
        <v>10</v>
      </c>
      <c r="L13" s="250">
        <v>10</v>
      </c>
      <c r="M13" s="276">
        <v>10</v>
      </c>
    </row>
    <row r="14" customHeight="1" spans="1:13">
      <c r="A14" s="248" t="s">
        <v>121</v>
      </c>
      <c r="B14" s="251">
        <v>0</v>
      </c>
      <c r="C14" s="251">
        <v>0</v>
      </c>
      <c r="D14" s="251">
        <v>0</v>
      </c>
      <c r="E14" s="251">
        <v>0</v>
      </c>
      <c r="F14" s="251">
        <v>0</v>
      </c>
      <c r="G14" s="251">
        <v>0</v>
      </c>
      <c r="H14" s="251">
        <v>0</v>
      </c>
      <c r="I14" s="251">
        <v>0</v>
      </c>
      <c r="J14" s="251">
        <v>0</v>
      </c>
      <c r="K14" s="251">
        <v>0</v>
      </c>
      <c r="L14" s="251">
        <v>0</v>
      </c>
      <c r="M14" s="251">
        <v>0</v>
      </c>
    </row>
    <row r="15" customHeight="1" spans="1:13">
      <c r="A15" s="248" t="s">
        <v>2137</v>
      </c>
      <c r="B15" s="251">
        <f>SUM(B6:B13)</f>
        <v>375</v>
      </c>
      <c r="C15" s="251">
        <f t="shared" ref="C15:H15" si="0">SUM(C6:C13)</f>
        <v>375</v>
      </c>
      <c r="D15" s="251">
        <f t="shared" si="0"/>
        <v>300</v>
      </c>
      <c r="E15" s="251">
        <f t="shared" si="0"/>
        <v>300</v>
      </c>
      <c r="F15" s="251">
        <f t="shared" si="0"/>
        <v>300</v>
      </c>
      <c r="G15" s="251">
        <f t="shared" si="0"/>
        <v>300</v>
      </c>
      <c r="H15" s="251">
        <f t="shared" si="0"/>
        <v>300</v>
      </c>
      <c r="I15" s="251">
        <f>SUM(I6:I10,I13)</f>
        <v>155</v>
      </c>
      <c r="J15" s="251">
        <f t="shared" ref="J15:M15" si="1">SUM(J6:J10,J13)</f>
        <v>155</v>
      </c>
      <c r="K15" s="251">
        <f t="shared" si="1"/>
        <v>155</v>
      </c>
      <c r="L15" s="251">
        <f t="shared" si="1"/>
        <v>155</v>
      </c>
      <c r="M15" s="251">
        <f t="shared" si="1"/>
        <v>155</v>
      </c>
    </row>
    <row r="16" customHeight="1" spans="1:7">
      <c r="A16" s="252" t="s">
        <v>2138</v>
      </c>
      <c r="B16" s="252"/>
      <c r="C16" s="253"/>
      <c r="D16" s="253"/>
      <c r="E16" s="252"/>
      <c r="F16" s="253"/>
      <c r="G16" s="253"/>
    </row>
    <row r="17" customHeight="1" spans="1:7">
      <c r="A17" s="248" t="s">
        <v>2139</v>
      </c>
      <c r="B17" s="254" t="s">
        <v>2140</v>
      </c>
      <c r="C17" s="254" t="s">
        <v>2141</v>
      </c>
      <c r="D17" s="255"/>
      <c r="E17" s="248" t="s">
        <v>2142</v>
      </c>
      <c r="F17" s="256"/>
      <c r="G17" s="256"/>
    </row>
    <row r="18" s="231" customFormat="1" customHeight="1" spans="1:9">
      <c r="A18" s="257" t="s">
        <v>1733</v>
      </c>
      <c r="B18" s="257" t="s">
        <v>2143</v>
      </c>
      <c r="C18" s="258" t="s">
        <v>2144</v>
      </c>
      <c r="D18" s="259"/>
      <c r="E18" s="257">
        <v>1</v>
      </c>
      <c r="F18" s="260" t="s">
        <v>2145</v>
      </c>
      <c r="G18" s="261"/>
      <c r="H18" s="232"/>
      <c r="I18" s="232"/>
    </row>
    <row r="19" s="231" customFormat="1" customHeight="1" spans="1:9">
      <c r="A19" s="257"/>
      <c r="B19" s="257" t="s">
        <v>2146</v>
      </c>
      <c r="C19" s="258" t="s">
        <v>2147</v>
      </c>
      <c r="D19" s="259"/>
      <c r="E19" s="257">
        <v>0.9</v>
      </c>
      <c r="F19" s="260" t="s">
        <v>2148</v>
      </c>
      <c r="G19" s="261"/>
      <c r="H19" s="232"/>
      <c r="I19" s="232"/>
    </row>
    <row r="20" s="231" customFormat="1" customHeight="1" spans="1:9">
      <c r="A20" s="257"/>
      <c r="B20" s="257"/>
      <c r="C20" s="258" t="s">
        <v>2149</v>
      </c>
      <c r="D20" s="259"/>
      <c r="E20" s="257">
        <v>1.1</v>
      </c>
      <c r="F20" s="260" t="s">
        <v>2150</v>
      </c>
      <c r="G20" s="261"/>
      <c r="H20" s="232"/>
      <c r="I20" s="232"/>
    </row>
    <row r="21" s="231" customFormat="1" customHeight="1" spans="1:9">
      <c r="A21" s="257"/>
      <c r="B21" s="257"/>
      <c r="C21" s="258" t="s">
        <v>2151</v>
      </c>
      <c r="D21" s="259"/>
      <c r="E21" s="257">
        <v>0.8</v>
      </c>
      <c r="F21" s="260" t="s">
        <v>2152</v>
      </c>
      <c r="G21" s="261"/>
      <c r="H21" s="232"/>
      <c r="I21" s="232"/>
    </row>
    <row r="22" s="231" customFormat="1" customHeight="1" spans="1:9">
      <c r="A22" s="257"/>
      <c r="B22" s="257"/>
      <c r="C22" s="258" t="s">
        <v>2153</v>
      </c>
      <c r="D22" s="259"/>
      <c r="E22" s="257">
        <v>0.5</v>
      </c>
      <c r="F22" s="260"/>
      <c r="G22" s="261"/>
      <c r="H22" s="232"/>
      <c r="I22" s="232"/>
    </row>
    <row r="23" s="231" customFormat="1" customHeight="1" spans="1:9">
      <c r="A23" s="257" t="s">
        <v>1734</v>
      </c>
      <c r="B23" s="257" t="s">
        <v>2143</v>
      </c>
      <c r="C23" s="258" t="s">
        <v>2154</v>
      </c>
      <c r="D23" s="259"/>
      <c r="E23" s="257">
        <v>1</v>
      </c>
      <c r="F23" s="260" t="s">
        <v>2155</v>
      </c>
      <c r="G23" s="261"/>
      <c r="H23" s="232"/>
      <c r="I23" s="232"/>
    </row>
    <row r="24" s="231" customFormat="1" customHeight="1" spans="1:9">
      <c r="A24" s="257"/>
      <c r="B24" s="257" t="s">
        <v>2146</v>
      </c>
      <c r="C24" s="258" t="s">
        <v>2156</v>
      </c>
      <c r="D24" s="259"/>
      <c r="E24" s="257">
        <v>0.5</v>
      </c>
      <c r="F24" s="260"/>
      <c r="G24" s="261"/>
      <c r="H24" s="232"/>
      <c r="I24" s="232"/>
    </row>
    <row r="25" s="231" customFormat="1" customHeight="1" spans="1:9">
      <c r="A25" s="257"/>
      <c r="B25" s="257"/>
      <c r="C25" s="258" t="s">
        <v>2157</v>
      </c>
      <c r="D25" s="259"/>
      <c r="E25" s="257">
        <v>1.1</v>
      </c>
      <c r="F25" s="260"/>
      <c r="G25" s="261"/>
      <c r="H25" s="232"/>
      <c r="I25" s="232"/>
    </row>
    <row r="26" s="231" customFormat="1" customHeight="1" spans="1:9">
      <c r="A26" s="257"/>
      <c r="B26" s="257"/>
      <c r="C26" s="258" t="s">
        <v>2158</v>
      </c>
      <c r="D26" s="259"/>
      <c r="E26" s="257">
        <v>1.1</v>
      </c>
      <c r="F26" s="260"/>
      <c r="G26" s="261"/>
      <c r="H26" s="232"/>
      <c r="I26" s="232"/>
    </row>
    <row r="27" s="231" customFormat="1" customHeight="1" spans="1:9">
      <c r="A27" s="257"/>
      <c r="B27" s="257"/>
      <c r="C27" s="258" t="s">
        <v>2159</v>
      </c>
      <c r="D27" s="259"/>
      <c r="E27" s="257">
        <v>0.9</v>
      </c>
      <c r="F27" s="260" t="s">
        <v>2160</v>
      </c>
      <c r="G27" s="261"/>
      <c r="H27" s="232"/>
      <c r="I27" s="232"/>
    </row>
    <row r="28" s="231" customFormat="1" customHeight="1" spans="1:9">
      <c r="A28" s="257"/>
      <c r="B28" s="257"/>
      <c r="C28" s="258" t="s">
        <v>2161</v>
      </c>
      <c r="D28" s="259"/>
      <c r="E28" s="257">
        <v>0.9</v>
      </c>
      <c r="F28" s="260" t="s">
        <v>2162</v>
      </c>
      <c r="G28" s="261"/>
      <c r="H28" s="232"/>
      <c r="I28" s="232"/>
    </row>
    <row r="29" s="231" customFormat="1" customHeight="1" spans="1:9">
      <c r="A29" s="257"/>
      <c r="B29" s="257"/>
      <c r="C29" s="258" t="s">
        <v>2163</v>
      </c>
      <c r="D29" s="259"/>
      <c r="E29" s="257">
        <v>0.9</v>
      </c>
      <c r="F29" s="260" t="s">
        <v>2164</v>
      </c>
      <c r="G29" s="261"/>
      <c r="H29" s="232"/>
      <c r="I29" s="232"/>
    </row>
    <row r="30" s="231" customFormat="1" customHeight="1" spans="1:9">
      <c r="A30" s="257"/>
      <c r="B30" s="257"/>
      <c r="C30" s="258" t="s">
        <v>2165</v>
      </c>
      <c r="D30" s="259"/>
      <c r="E30" s="257">
        <v>0.9</v>
      </c>
      <c r="F30" s="260" t="s">
        <v>2166</v>
      </c>
      <c r="G30" s="261"/>
      <c r="H30" s="232"/>
      <c r="I30" s="232"/>
    </row>
    <row r="31" s="231" customFormat="1" customHeight="1" spans="1:9">
      <c r="A31" s="257"/>
      <c r="B31" s="257"/>
      <c r="C31" s="258" t="s">
        <v>2167</v>
      </c>
      <c r="D31" s="259"/>
      <c r="E31" s="257">
        <v>0.8</v>
      </c>
      <c r="F31" s="260" t="s">
        <v>2168</v>
      </c>
      <c r="G31" s="261"/>
      <c r="H31" s="232"/>
      <c r="I31" s="232"/>
    </row>
    <row r="32" s="231" customFormat="1" customHeight="1" spans="1:9">
      <c r="A32" s="257"/>
      <c r="B32" s="257"/>
      <c r="C32" s="258" t="s">
        <v>2169</v>
      </c>
      <c r="D32" s="259"/>
      <c r="E32" s="257">
        <v>0.8</v>
      </c>
      <c r="F32" s="260" t="s">
        <v>2170</v>
      </c>
      <c r="G32" s="261"/>
      <c r="H32" s="232"/>
      <c r="I32" s="232"/>
    </row>
    <row r="33" s="231" customFormat="1" customHeight="1" spans="1:9">
      <c r="A33" s="257" t="s">
        <v>2171</v>
      </c>
      <c r="B33" s="257" t="s">
        <v>2143</v>
      </c>
      <c r="C33" s="258" t="s">
        <v>1559</v>
      </c>
      <c r="D33" s="259"/>
      <c r="E33" s="257">
        <v>1</v>
      </c>
      <c r="F33" s="260" t="s">
        <v>2172</v>
      </c>
      <c r="G33" s="261"/>
      <c r="H33" s="232"/>
      <c r="I33" s="232"/>
    </row>
    <row r="34" s="231" customFormat="1" customHeight="1" spans="1:9">
      <c r="A34" s="257"/>
      <c r="B34" s="257" t="s">
        <v>2146</v>
      </c>
      <c r="C34" s="258" t="s">
        <v>2173</v>
      </c>
      <c r="D34" s="259"/>
      <c r="E34" s="257">
        <v>1.5</v>
      </c>
      <c r="F34" s="260" t="s">
        <v>2174</v>
      </c>
      <c r="G34" s="261"/>
      <c r="H34" s="232"/>
      <c r="I34" s="232"/>
    </row>
    <row r="35" s="231" customFormat="1" customHeight="1" spans="1:9">
      <c r="A35" s="257" t="s">
        <v>1735</v>
      </c>
      <c r="B35" s="257" t="s">
        <v>2143</v>
      </c>
      <c r="C35" s="258" t="s">
        <v>2175</v>
      </c>
      <c r="D35" s="259"/>
      <c r="E35" s="257">
        <v>1</v>
      </c>
      <c r="F35" s="260" t="s">
        <v>2176</v>
      </c>
      <c r="G35" s="261"/>
      <c r="H35" s="232"/>
      <c r="I35" s="232"/>
    </row>
    <row r="36" s="231" customFormat="1" customHeight="1" spans="1:9">
      <c r="A36" s="257"/>
      <c r="B36" s="257" t="s">
        <v>2146</v>
      </c>
      <c r="C36" s="258" t="s">
        <v>2177</v>
      </c>
      <c r="D36" s="259"/>
      <c r="E36" s="257">
        <v>1</v>
      </c>
      <c r="F36" s="260" t="s">
        <v>2178</v>
      </c>
      <c r="G36" s="261"/>
      <c r="H36" s="232"/>
      <c r="I36" s="232"/>
    </row>
    <row r="37" s="231" customFormat="1" customHeight="1" spans="1:9">
      <c r="A37" s="257"/>
      <c r="B37" s="257"/>
      <c r="C37" s="258" t="s">
        <v>2179</v>
      </c>
      <c r="D37" s="259"/>
      <c r="E37" s="257">
        <v>1.5</v>
      </c>
      <c r="F37" s="260" t="s">
        <v>2180</v>
      </c>
      <c r="G37" s="261"/>
      <c r="H37" s="232"/>
      <c r="I37" s="232"/>
    </row>
    <row r="38" s="231" customFormat="1" customHeight="1" spans="1:9">
      <c r="A38" s="257"/>
      <c r="B38" s="257"/>
      <c r="C38" s="258" t="s">
        <v>2181</v>
      </c>
      <c r="D38" s="259"/>
      <c r="E38" s="257">
        <v>1</v>
      </c>
      <c r="F38" s="260" t="s">
        <v>2182</v>
      </c>
      <c r="G38" s="261"/>
      <c r="H38" s="232"/>
      <c r="I38" s="232"/>
    </row>
    <row r="39" s="231" customFormat="1" customHeight="1" spans="1:9">
      <c r="A39" s="257"/>
      <c r="B39" s="257"/>
      <c r="C39" s="258" t="s">
        <v>2183</v>
      </c>
      <c r="D39" s="259"/>
      <c r="E39" s="257">
        <v>1</v>
      </c>
      <c r="F39" s="260" t="s">
        <v>2184</v>
      </c>
      <c r="G39" s="261"/>
      <c r="H39" s="232"/>
      <c r="I39" s="232"/>
    </row>
    <row r="40" s="231" customFormat="1" customHeight="1" spans="1:9">
      <c r="A40" s="262" t="s">
        <v>2185</v>
      </c>
      <c r="B40" s="262"/>
      <c r="C40" s="262"/>
      <c r="D40" s="262"/>
      <c r="E40" s="262"/>
      <c r="F40" s="263"/>
      <c r="G40" s="263"/>
      <c r="H40" s="232"/>
      <c r="I40" s="232"/>
    </row>
    <row r="42" customHeight="1" spans="1:8">
      <c r="A42" s="264"/>
      <c r="B42" s="248" t="s">
        <v>2186</v>
      </c>
      <c r="C42" s="248" t="s">
        <v>2186</v>
      </c>
      <c r="D42" s="248" t="s">
        <v>2186</v>
      </c>
      <c r="E42" s="250" t="s">
        <v>2186</v>
      </c>
      <c r="F42" s="250" t="s">
        <v>2186</v>
      </c>
      <c r="G42" s="250" t="s">
        <v>2187</v>
      </c>
      <c r="H42" s="250" t="s">
        <v>2186</v>
      </c>
    </row>
    <row r="43" customHeight="1" spans="1:8">
      <c r="A43" s="265"/>
      <c r="B43" s="250" t="s">
        <v>1733</v>
      </c>
      <c r="C43" s="250" t="s">
        <v>1733</v>
      </c>
      <c r="D43" s="250" t="s">
        <v>1733</v>
      </c>
      <c r="E43" s="250" t="s">
        <v>1733</v>
      </c>
      <c r="F43" s="248" t="s">
        <v>1734</v>
      </c>
      <c r="G43" s="248" t="s">
        <v>1735</v>
      </c>
      <c r="H43" s="248" t="s">
        <v>2188</v>
      </c>
    </row>
    <row r="44" customHeight="1" spans="1:8">
      <c r="A44" s="266"/>
      <c r="B44" s="248">
        <v>1</v>
      </c>
      <c r="C44" s="248">
        <v>2</v>
      </c>
      <c r="D44" s="248">
        <v>3</v>
      </c>
      <c r="E44" s="250">
        <v>4</v>
      </c>
      <c r="F44" s="255" t="s">
        <v>2189</v>
      </c>
      <c r="G44" s="255" t="s">
        <v>2189</v>
      </c>
      <c r="H44" s="255" t="s">
        <v>2189</v>
      </c>
    </row>
    <row r="45" customHeight="1" spans="1:8">
      <c r="A45" s="267" t="s">
        <v>1738</v>
      </c>
      <c r="B45" s="248">
        <v>0.8</v>
      </c>
      <c r="C45" s="248">
        <v>0.5</v>
      </c>
      <c r="D45" s="248">
        <v>0.36</v>
      </c>
      <c r="E45" s="248">
        <v>0.3</v>
      </c>
      <c r="F45" s="255">
        <v>0.3</v>
      </c>
      <c r="G45" s="248">
        <v>0.3</v>
      </c>
      <c r="H45" s="248">
        <v>0.25</v>
      </c>
    </row>
    <row r="46" customHeight="1" spans="1:8">
      <c r="A46" s="267" t="s">
        <v>1744</v>
      </c>
      <c r="B46" s="248">
        <v>0.8</v>
      </c>
      <c r="C46" s="248">
        <v>0.5</v>
      </c>
      <c r="D46" s="248">
        <v>0.36</v>
      </c>
      <c r="E46" s="248">
        <v>0.3</v>
      </c>
      <c r="F46" s="248">
        <v>0.3</v>
      </c>
      <c r="G46" s="248">
        <v>0.3</v>
      </c>
      <c r="H46" s="248">
        <v>0.25</v>
      </c>
    </row>
    <row r="47" customHeight="1" spans="1:8">
      <c r="A47" s="267" t="s">
        <v>1764</v>
      </c>
      <c r="B47" s="248">
        <v>0.7</v>
      </c>
      <c r="C47" s="248">
        <v>0.4</v>
      </c>
      <c r="D47" s="248">
        <v>0.28</v>
      </c>
      <c r="E47" s="248">
        <v>0.25</v>
      </c>
      <c r="F47" s="248">
        <v>0.25</v>
      </c>
      <c r="G47" s="248">
        <v>0.25</v>
      </c>
      <c r="H47" s="248">
        <v>0.2</v>
      </c>
    </row>
    <row r="48" customHeight="1" spans="1:8">
      <c r="A48" s="267" t="s">
        <v>1785</v>
      </c>
      <c r="B48" s="248">
        <v>0.7</v>
      </c>
      <c r="C48" s="248">
        <v>0.4</v>
      </c>
      <c r="D48" s="248">
        <v>0.28</v>
      </c>
      <c r="E48" s="248">
        <v>0.25</v>
      </c>
      <c r="F48" s="248">
        <v>0.25</v>
      </c>
      <c r="G48" s="248">
        <v>0.25</v>
      </c>
      <c r="H48" s="248">
        <v>0.2</v>
      </c>
    </row>
    <row r="49" s="232" customFormat="1" customHeight="1" spans="1:8">
      <c r="A49" s="267" t="s">
        <v>1813</v>
      </c>
      <c r="B49" s="248">
        <v>0.7</v>
      </c>
      <c r="C49" s="248">
        <v>0.4</v>
      </c>
      <c r="D49" s="248">
        <v>0.28</v>
      </c>
      <c r="E49" s="248">
        <v>0.25</v>
      </c>
      <c r="F49" s="248">
        <v>0.25</v>
      </c>
      <c r="G49" s="248">
        <v>0.25</v>
      </c>
      <c r="H49" s="248">
        <v>0.2</v>
      </c>
    </row>
    <row r="50" s="232" customFormat="1" customHeight="1" spans="1:8">
      <c r="A50" s="267" t="s">
        <v>1848</v>
      </c>
      <c r="B50" s="248">
        <v>0.7</v>
      </c>
      <c r="C50" s="248">
        <v>0.4</v>
      </c>
      <c r="D50" s="248">
        <v>0.28</v>
      </c>
      <c r="E50" s="248">
        <v>0.25</v>
      </c>
      <c r="F50" s="248">
        <v>0.25</v>
      </c>
      <c r="G50" s="248">
        <v>0.25</v>
      </c>
      <c r="H50" s="248">
        <v>0.2</v>
      </c>
    </row>
    <row r="51" s="232" customFormat="1" customHeight="1" spans="1:8">
      <c r="A51" s="267" t="s">
        <v>1897</v>
      </c>
      <c r="B51" s="248">
        <v>0.7</v>
      </c>
      <c r="C51" s="248">
        <v>0.4</v>
      </c>
      <c r="D51" s="248">
        <v>0.28</v>
      </c>
      <c r="E51" s="248">
        <v>0.25</v>
      </c>
      <c r="F51" s="248">
        <v>0.25</v>
      </c>
      <c r="G51" s="248">
        <v>0.25</v>
      </c>
      <c r="H51" s="248">
        <v>0.2</v>
      </c>
    </row>
    <row r="52" s="232" customFormat="1" customHeight="1" spans="1:8">
      <c r="A52" s="267" t="s">
        <v>1946</v>
      </c>
      <c r="B52" s="248">
        <v>0.6</v>
      </c>
      <c r="C52" s="248">
        <v>0.3</v>
      </c>
      <c r="D52" s="248">
        <v>0.2</v>
      </c>
      <c r="E52" s="248">
        <v>0.2</v>
      </c>
      <c r="F52" s="248">
        <v>0.2</v>
      </c>
      <c r="G52" s="248">
        <v>0.2</v>
      </c>
      <c r="H52" s="248">
        <v>0.15</v>
      </c>
    </row>
    <row r="53" s="232" customFormat="1" customHeight="1" spans="1:8">
      <c r="A53" s="267" t="s">
        <v>1986</v>
      </c>
      <c r="B53" s="248">
        <v>0.6</v>
      </c>
      <c r="C53" s="248">
        <v>0.3</v>
      </c>
      <c r="D53" s="248">
        <v>0.2</v>
      </c>
      <c r="E53" s="248">
        <v>0.2</v>
      </c>
      <c r="F53" s="248">
        <v>0.2</v>
      </c>
      <c r="G53" s="248">
        <v>0.2</v>
      </c>
      <c r="H53" s="248">
        <v>0.15</v>
      </c>
    </row>
    <row r="54" s="232" customFormat="1" customHeight="1" spans="1:8">
      <c r="A54" s="267" t="s">
        <v>2032</v>
      </c>
      <c r="B54" s="248">
        <v>0.6</v>
      </c>
      <c r="C54" s="248">
        <v>0.3</v>
      </c>
      <c r="D54" s="248">
        <v>0.2</v>
      </c>
      <c r="E54" s="248">
        <v>0.2</v>
      </c>
      <c r="F54" s="248">
        <v>0.2</v>
      </c>
      <c r="G54" s="248">
        <v>0.2</v>
      </c>
      <c r="H54" s="248">
        <v>0.15</v>
      </c>
    </row>
    <row r="55" s="232" customFormat="1" customHeight="1" spans="1:8">
      <c r="A55" s="267" t="s">
        <v>2060</v>
      </c>
      <c r="B55" s="248">
        <v>0.6</v>
      </c>
      <c r="C55" s="248">
        <v>0.3</v>
      </c>
      <c r="D55" s="248">
        <v>0.2</v>
      </c>
      <c r="E55" s="248">
        <v>0.2</v>
      </c>
      <c r="F55" s="248">
        <v>0.2</v>
      </c>
      <c r="G55" s="248">
        <v>0.2</v>
      </c>
      <c r="H55" s="248">
        <v>0.15</v>
      </c>
    </row>
    <row r="56" s="232" customFormat="1" customHeight="1" spans="1:8">
      <c r="A56" s="267" t="s">
        <v>2082</v>
      </c>
      <c r="B56" s="248">
        <v>0.6</v>
      </c>
      <c r="C56" s="248">
        <v>0.3</v>
      </c>
      <c r="D56" s="248">
        <v>0.2</v>
      </c>
      <c r="E56" s="248">
        <v>0.2</v>
      </c>
      <c r="F56" s="248">
        <v>0.2</v>
      </c>
      <c r="G56" s="248">
        <v>0.2</v>
      </c>
      <c r="H56" s="248">
        <v>0.15</v>
      </c>
    </row>
    <row r="58" s="232" customFormat="1" customHeight="1" spans="1:6">
      <c r="A58" s="268"/>
      <c r="B58" s="252"/>
      <c r="C58" s="252"/>
      <c r="D58" s="252" t="s">
        <v>2190</v>
      </c>
      <c r="E58" s="252"/>
      <c r="F58" s="252"/>
    </row>
    <row r="59" s="232" customFormat="1" customHeight="1" spans="1:6">
      <c r="A59" s="257" t="s">
        <v>689</v>
      </c>
      <c r="B59" s="257" t="s">
        <v>2191</v>
      </c>
      <c r="C59" s="257" t="s">
        <v>2192</v>
      </c>
      <c r="D59" s="257" t="s">
        <v>2193</v>
      </c>
      <c r="E59" s="257" t="s">
        <v>2194</v>
      </c>
      <c r="F59" s="257" t="s">
        <v>2195</v>
      </c>
    </row>
    <row r="60" ht="13.5" spans="1:6">
      <c r="A60" s="257"/>
      <c r="B60" s="257"/>
      <c r="C60" s="257" t="s">
        <v>2196</v>
      </c>
      <c r="D60" s="257"/>
      <c r="E60" s="269" t="s">
        <v>121</v>
      </c>
      <c r="F60" s="257" t="s">
        <v>121</v>
      </c>
    </row>
    <row r="61" s="232" customFormat="1" ht="24" spans="1:6">
      <c r="A61" s="257">
        <v>1</v>
      </c>
      <c r="B61" s="257" t="s">
        <v>2197</v>
      </c>
      <c r="C61" s="248" t="s">
        <v>2198</v>
      </c>
      <c r="D61" s="248" t="s">
        <v>2199</v>
      </c>
      <c r="E61" s="269">
        <v>0.5</v>
      </c>
      <c r="F61" s="257">
        <v>80</v>
      </c>
    </row>
    <row r="62" s="232" customFormat="1" ht="24" spans="1:6">
      <c r="A62" s="257">
        <v>2</v>
      </c>
      <c r="B62" s="257"/>
      <c r="C62" s="248" t="s">
        <v>2200</v>
      </c>
      <c r="D62" s="248" t="s">
        <v>2201</v>
      </c>
      <c r="E62" s="269">
        <v>0.5</v>
      </c>
      <c r="F62" s="257">
        <v>80</v>
      </c>
    </row>
    <row r="63" s="232" customFormat="1" ht="36" spans="1:6">
      <c r="A63" s="257">
        <v>3</v>
      </c>
      <c r="B63" s="257"/>
      <c r="C63" s="248" t="s">
        <v>2202</v>
      </c>
      <c r="D63" s="248" t="s">
        <v>2203</v>
      </c>
      <c r="E63" s="269">
        <v>0.5</v>
      </c>
      <c r="F63" s="257">
        <v>80</v>
      </c>
    </row>
    <row r="64" s="232" customFormat="1" ht="36" spans="1:6">
      <c r="A64" s="257">
        <v>4</v>
      </c>
      <c r="B64" s="257"/>
      <c r="C64" s="248" t="s">
        <v>2204</v>
      </c>
      <c r="D64" s="248" t="s">
        <v>2205</v>
      </c>
      <c r="E64" s="269">
        <v>0.4</v>
      </c>
      <c r="F64" s="257">
        <v>60</v>
      </c>
    </row>
    <row r="65" s="232" customFormat="1" ht="36" spans="1:6">
      <c r="A65" s="257">
        <v>5</v>
      </c>
      <c r="B65" s="257"/>
      <c r="C65" s="248" t="s">
        <v>2206</v>
      </c>
      <c r="D65" s="248" t="s">
        <v>2207</v>
      </c>
      <c r="E65" s="269">
        <v>0.2</v>
      </c>
      <c r="F65" s="257">
        <v>30</v>
      </c>
    </row>
    <row r="66" s="232" customFormat="1" ht="36" spans="1:6">
      <c r="A66" s="257">
        <v>6</v>
      </c>
      <c r="B66" s="257"/>
      <c r="C66" s="248" t="s">
        <v>2208</v>
      </c>
      <c r="D66" s="248" t="s">
        <v>2209</v>
      </c>
      <c r="E66" s="269">
        <v>0.3</v>
      </c>
      <c r="F66" s="257">
        <v>50</v>
      </c>
    </row>
    <row r="67" s="232" customFormat="1" ht="36" spans="1:6">
      <c r="A67" s="257">
        <v>7</v>
      </c>
      <c r="B67" s="257"/>
      <c r="C67" s="248" t="s">
        <v>2210</v>
      </c>
      <c r="D67" s="248" t="s">
        <v>2211</v>
      </c>
      <c r="E67" s="269">
        <v>0.2</v>
      </c>
      <c r="F67" s="257">
        <v>30</v>
      </c>
    </row>
    <row r="68" s="232" customFormat="1" ht="36" spans="1:6">
      <c r="A68" s="257">
        <v>8</v>
      </c>
      <c r="B68" s="257"/>
      <c r="C68" s="248" t="s">
        <v>2212</v>
      </c>
      <c r="D68" s="248" t="s">
        <v>2213</v>
      </c>
      <c r="E68" s="269">
        <v>0.2</v>
      </c>
      <c r="F68" s="257">
        <v>30</v>
      </c>
    </row>
    <row r="69" s="232" customFormat="1" ht="36" spans="1:6">
      <c r="A69" s="257">
        <v>9</v>
      </c>
      <c r="B69" s="257"/>
      <c r="C69" s="248" t="s">
        <v>2214</v>
      </c>
      <c r="D69" s="248" t="s">
        <v>2215</v>
      </c>
      <c r="E69" s="269">
        <v>0.2</v>
      </c>
      <c r="F69" s="257">
        <v>30</v>
      </c>
    </row>
    <row r="70" s="232" customFormat="1" ht="48" spans="1:6">
      <c r="A70" s="257">
        <v>10</v>
      </c>
      <c r="B70" s="257"/>
      <c r="C70" s="248" t="s">
        <v>2216</v>
      </c>
      <c r="D70" s="248" t="s">
        <v>2217</v>
      </c>
      <c r="E70" s="269">
        <v>0.2</v>
      </c>
      <c r="F70" s="257">
        <v>30</v>
      </c>
    </row>
    <row r="71" s="232" customFormat="1" ht="48" spans="1:6">
      <c r="A71" s="257">
        <v>11</v>
      </c>
      <c r="B71" s="257"/>
      <c r="C71" s="248" t="s">
        <v>2218</v>
      </c>
      <c r="D71" s="248" t="s">
        <v>2219</v>
      </c>
      <c r="E71" s="269">
        <v>0.2</v>
      </c>
      <c r="F71" s="257">
        <v>30</v>
      </c>
    </row>
    <row r="72" s="232" customFormat="1" ht="36" spans="1:6">
      <c r="A72" s="257">
        <v>12</v>
      </c>
      <c r="B72" s="257"/>
      <c r="C72" s="248" t="s">
        <v>2220</v>
      </c>
      <c r="D72" s="248" t="s">
        <v>2221</v>
      </c>
      <c r="E72" s="269">
        <v>0.5</v>
      </c>
      <c r="F72" s="257">
        <v>80</v>
      </c>
    </row>
    <row r="73" s="232" customFormat="1" ht="36" spans="1:6">
      <c r="A73" s="257">
        <v>13</v>
      </c>
      <c r="B73" s="257"/>
      <c r="C73" s="248" t="s">
        <v>2222</v>
      </c>
      <c r="D73" s="248" t="s">
        <v>2223</v>
      </c>
      <c r="E73" s="269">
        <v>0.4</v>
      </c>
      <c r="F73" s="257">
        <v>60</v>
      </c>
    </row>
    <row r="74" s="232" customFormat="1" ht="36" spans="1:6">
      <c r="A74" s="257">
        <v>14</v>
      </c>
      <c r="B74" s="257"/>
      <c r="C74" s="248" t="s">
        <v>2224</v>
      </c>
      <c r="D74" s="248" t="s">
        <v>2225</v>
      </c>
      <c r="E74" s="269">
        <v>0.2</v>
      </c>
      <c r="F74" s="257">
        <v>30</v>
      </c>
    </row>
    <row r="75" s="232" customFormat="1" ht="36" spans="1:6">
      <c r="A75" s="257">
        <v>15</v>
      </c>
      <c r="B75" s="257"/>
      <c r="C75" s="248" t="s">
        <v>2226</v>
      </c>
      <c r="D75" s="248" t="s">
        <v>2227</v>
      </c>
      <c r="E75" s="269">
        <v>0.2</v>
      </c>
      <c r="F75" s="257">
        <v>30</v>
      </c>
    </row>
    <row r="76" s="232" customFormat="1" ht="24" spans="1:6">
      <c r="A76" s="257">
        <v>16</v>
      </c>
      <c r="B76" s="257" t="s">
        <v>2228</v>
      </c>
      <c r="C76" s="248" t="s">
        <v>2229</v>
      </c>
      <c r="D76" s="248" t="s">
        <v>2230</v>
      </c>
      <c r="E76" s="269">
        <v>0.5</v>
      </c>
      <c r="F76" s="257">
        <v>80</v>
      </c>
    </row>
    <row r="77" s="232" customFormat="1" ht="24" spans="1:6">
      <c r="A77" s="257">
        <v>17</v>
      </c>
      <c r="B77" s="257"/>
      <c r="C77" s="248" t="s">
        <v>2231</v>
      </c>
      <c r="D77" s="248" t="s">
        <v>2232</v>
      </c>
      <c r="E77" s="269">
        <v>0.5</v>
      </c>
      <c r="F77" s="257">
        <v>80</v>
      </c>
    </row>
    <row r="78" s="232" customFormat="1" ht="36" spans="1:6">
      <c r="A78" s="257">
        <v>18</v>
      </c>
      <c r="B78" s="257"/>
      <c r="C78" s="248" t="s">
        <v>2233</v>
      </c>
      <c r="D78" s="248" t="s">
        <v>2234</v>
      </c>
      <c r="E78" s="269">
        <v>0.2</v>
      </c>
      <c r="F78" s="257">
        <v>30</v>
      </c>
    </row>
    <row r="79" s="232" customFormat="1" ht="24" spans="1:6">
      <c r="A79" s="257">
        <v>19</v>
      </c>
      <c r="B79" s="257"/>
      <c r="C79" s="248" t="s">
        <v>2235</v>
      </c>
      <c r="D79" s="248" t="s">
        <v>2236</v>
      </c>
      <c r="E79" s="269">
        <v>0.5</v>
      </c>
      <c r="F79" s="257">
        <v>80</v>
      </c>
    </row>
    <row r="80" s="232" customFormat="1" ht="36" spans="1:6">
      <c r="A80" s="257">
        <v>20</v>
      </c>
      <c r="B80" s="257"/>
      <c r="C80" s="248" t="s">
        <v>2237</v>
      </c>
      <c r="D80" s="248" t="s">
        <v>2238</v>
      </c>
      <c r="E80" s="269">
        <v>0.2</v>
      </c>
      <c r="F80" s="257">
        <v>30</v>
      </c>
    </row>
    <row r="81" s="232" customFormat="1" ht="36" spans="1:6">
      <c r="A81" s="257">
        <v>21</v>
      </c>
      <c r="B81" s="257"/>
      <c r="C81" s="248" t="s">
        <v>2239</v>
      </c>
      <c r="D81" s="248" t="s">
        <v>2240</v>
      </c>
      <c r="E81" s="269">
        <v>0.2</v>
      </c>
      <c r="F81" s="257">
        <v>30</v>
      </c>
    </row>
    <row r="82" s="232" customFormat="1" ht="48" spans="1:6">
      <c r="A82" s="257">
        <v>22</v>
      </c>
      <c r="B82" s="257"/>
      <c r="C82" s="248" t="s">
        <v>2241</v>
      </c>
      <c r="D82" s="248" t="s">
        <v>2242</v>
      </c>
      <c r="E82" s="269">
        <v>0.2</v>
      </c>
      <c r="F82" s="257">
        <v>30</v>
      </c>
    </row>
    <row r="83" s="232" customFormat="1" ht="48" spans="1:6">
      <c r="A83" s="257">
        <v>23</v>
      </c>
      <c r="B83" s="257"/>
      <c r="C83" s="248" t="s">
        <v>2243</v>
      </c>
      <c r="D83" s="248" t="s">
        <v>2244</v>
      </c>
      <c r="E83" s="269">
        <v>0.2</v>
      </c>
      <c r="F83" s="257">
        <v>30</v>
      </c>
    </row>
    <row r="84" s="232" customFormat="1" ht="36" spans="1:6">
      <c r="A84" s="257">
        <v>24</v>
      </c>
      <c r="B84" s="257"/>
      <c r="C84" s="248" t="s">
        <v>2245</v>
      </c>
      <c r="D84" s="248" t="s">
        <v>2246</v>
      </c>
      <c r="E84" s="269">
        <v>0.2</v>
      </c>
      <c r="F84" s="257">
        <v>30</v>
      </c>
    </row>
    <row r="85" s="232" customFormat="1" ht="36" spans="1:6">
      <c r="A85" s="257">
        <v>25</v>
      </c>
      <c r="B85" s="257"/>
      <c r="C85" s="248" t="s">
        <v>2247</v>
      </c>
      <c r="D85" s="248" t="s">
        <v>2248</v>
      </c>
      <c r="E85" s="269">
        <v>0.5</v>
      </c>
      <c r="F85" s="257">
        <v>80</v>
      </c>
    </row>
    <row r="86" s="232" customFormat="1" ht="36" spans="1:6">
      <c r="A86" s="257">
        <v>26</v>
      </c>
      <c r="B86" s="257"/>
      <c r="C86" s="248" t="s">
        <v>2249</v>
      </c>
      <c r="D86" s="248" t="s">
        <v>2250</v>
      </c>
      <c r="E86" s="269">
        <v>0.2</v>
      </c>
      <c r="F86" s="257">
        <v>30</v>
      </c>
    </row>
    <row r="87" s="232" customFormat="1" ht="36" spans="1:6">
      <c r="A87" s="257">
        <v>27</v>
      </c>
      <c r="B87" s="257"/>
      <c r="C87" s="248" t="s">
        <v>2251</v>
      </c>
      <c r="D87" s="248" t="s">
        <v>2252</v>
      </c>
      <c r="E87" s="269">
        <v>0.2</v>
      </c>
      <c r="F87" s="257">
        <v>30</v>
      </c>
    </row>
    <row r="88" s="232" customFormat="1" ht="36" spans="1:6">
      <c r="A88" s="257">
        <v>28</v>
      </c>
      <c r="B88" s="257"/>
      <c r="C88" s="248" t="s">
        <v>2253</v>
      </c>
      <c r="D88" s="248" t="s">
        <v>2254</v>
      </c>
      <c r="E88" s="269">
        <v>0.2</v>
      </c>
      <c r="F88" s="257">
        <v>30</v>
      </c>
    </row>
    <row r="89" s="232" customFormat="1" ht="36" spans="1:6">
      <c r="A89" s="257">
        <v>29</v>
      </c>
      <c r="B89" s="257"/>
      <c r="C89" s="248" t="s">
        <v>2255</v>
      </c>
      <c r="D89" s="248" t="s">
        <v>2256</v>
      </c>
      <c r="E89" s="269">
        <v>0.2</v>
      </c>
      <c r="F89" s="257">
        <v>30</v>
      </c>
    </row>
    <row r="90" s="232" customFormat="1" ht="36" spans="1:6">
      <c r="A90" s="257">
        <v>30</v>
      </c>
      <c r="B90" s="257"/>
      <c r="C90" s="248" t="s">
        <v>2257</v>
      </c>
      <c r="D90" s="248" t="s">
        <v>2258</v>
      </c>
      <c r="E90" s="269">
        <v>0.2</v>
      </c>
      <c r="F90" s="257">
        <v>30</v>
      </c>
    </row>
    <row r="91" s="232" customFormat="1" ht="36" spans="1:6">
      <c r="A91" s="257">
        <v>31</v>
      </c>
      <c r="B91" s="257"/>
      <c r="C91" s="248" t="s">
        <v>2259</v>
      </c>
      <c r="D91" s="248" t="s">
        <v>2260</v>
      </c>
      <c r="E91" s="269">
        <v>0.2</v>
      </c>
      <c r="F91" s="257">
        <v>30</v>
      </c>
    </row>
    <row r="92" s="232" customFormat="1" ht="36" spans="1:6">
      <c r="A92" s="257">
        <v>32</v>
      </c>
      <c r="B92" s="257" t="s">
        <v>2261</v>
      </c>
      <c r="C92" s="257" t="s">
        <v>2262</v>
      </c>
      <c r="D92" s="248" t="s">
        <v>2263</v>
      </c>
      <c r="E92" s="269">
        <v>0.2</v>
      </c>
      <c r="F92" s="257">
        <v>30</v>
      </c>
    </row>
    <row r="93" s="232" customFormat="1" ht="36" spans="1:6">
      <c r="A93" s="257">
        <v>33</v>
      </c>
      <c r="B93" s="257"/>
      <c r="C93" s="257" t="s">
        <v>2264</v>
      </c>
      <c r="D93" s="248" t="s">
        <v>2265</v>
      </c>
      <c r="E93" s="269">
        <v>0.2</v>
      </c>
      <c r="F93" s="257">
        <v>30</v>
      </c>
    </row>
    <row r="94" s="232" customFormat="1" ht="48" spans="1:6">
      <c r="A94" s="257">
        <v>34</v>
      </c>
      <c r="B94" s="257"/>
      <c r="C94" s="257" t="s">
        <v>2266</v>
      </c>
      <c r="D94" s="248" t="s">
        <v>2267</v>
      </c>
      <c r="E94" s="269">
        <v>0.2</v>
      </c>
      <c r="F94" s="257">
        <v>30</v>
      </c>
    </row>
    <row r="95" s="232" customFormat="1" ht="36" spans="1:6">
      <c r="A95" s="257">
        <v>35</v>
      </c>
      <c r="B95" s="257"/>
      <c r="C95" s="257" t="s">
        <v>2268</v>
      </c>
      <c r="D95" s="248" t="s">
        <v>2269</v>
      </c>
      <c r="E95" s="269">
        <v>0.2</v>
      </c>
      <c r="F95" s="257">
        <v>30</v>
      </c>
    </row>
    <row r="96" s="232" customFormat="1" ht="48" spans="1:6">
      <c r="A96" s="257">
        <v>36</v>
      </c>
      <c r="B96" s="257"/>
      <c r="C96" s="248" t="s">
        <v>2270</v>
      </c>
      <c r="D96" s="248" t="s">
        <v>2271</v>
      </c>
      <c r="E96" s="269">
        <v>0.2</v>
      </c>
      <c r="F96" s="257">
        <v>30</v>
      </c>
    </row>
    <row r="97" s="232" customFormat="1" ht="36" spans="1:6">
      <c r="A97" s="257">
        <v>37</v>
      </c>
      <c r="B97" s="257"/>
      <c r="C97" s="257" t="s">
        <v>2272</v>
      </c>
      <c r="D97" s="248" t="s">
        <v>2273</v>
      </c>
      <c r="E97" s="269">
        <v>0.2</v>
      </c>
      <c r="F97" s="257">
        <v>30</v>
      </c>
    </row>
    <row r="98" s="232" customFormat="1" ht="36" spans="1:6">
      <c r="A98" s="257">
        <v>38</v>
      </c>
      <c r="B98" s="257"/>
      <c r="C98" s="257" t="s">
        <v>2274</v>
      </c>
      <c r="D98" s="248" t="s">
        <v>2275</v>
      </c>
      <c r="E98" s="269">
        <v>0.2</v>
      </c>
      <c r="F98" s="257">
        <v>30</v>
      </c>
    </row>
    <row r="99" s="232" customFormat="1" ht="36" spans="1:6">
      <c r="A99" s="257">
        <v>39</v>
      </c>
      <c r="B99" s="257" t="s">
        <v>2276</v>
      </c>
      <c r="C99" s="257" t="s">
        <v>2277</v>
      </c>
      <c r="D99" s="248" t="s">
        <v>2278</v>
      </c>
      <c r="E99" s="269">
        <v>0.3</v>
      </c>
      <c r="F99" s="257">
        <v>50</v>
      </c>
    </row>
    <row r="100" s="232" customFormat="1" ht="36" spans="1:6">
      <c r="A100" s="257">
        <v>40</v>
      </c>
      <c r="B100" s="257"/>
      <c r="C100" s="257" t="s">
        <v>2279</v>
      </c>
      <c r="D100" s="248" t="s">
        <v>2280</v>
      </c>
      <c r="E100" s="269">
        <v>0.2</v>
      </c>
      <c r="F100" s="257">
        <v>30</v>
      </c>
    </row>
    <row r="101" s="232" customFormat="1" ht="36" spans="1:6">
      <c r="A101" s="257">
        <v>41</v>
      </c>
      <c r="B101" s="257"/>
      <c r="C101" s="257" t="s">
        <v>2281</v>
      </c>
      <c r="D101" s="248" t="s">
        <v>2278</v>
      </c>
      <c r="E101" s="269">
        <v>0.2</v>
      </c>
      <c r="F101" s="257">
        <v>30</v>
      </c>
    </row>
    <row r="102" s="232" customFormat="1" ht="48" spans="1:6">
      <c r="A102" s="257">
        <v>42</v>
      </c>
      <c r="B102" s="257" t="s">
        <v>2282</v>
      </c>
      <c r="C102" s="248" t="s">
        <v>2283</v>
      </c>
      <c r="D102" s="248" t="s">
        <v>2284</v>
      </c>
      <c r="E102" s="269">
        <v>0.2</v>
      </c>
      <c r="F102" s="257">
        <v>30</v>
      </c>
    </row>
    <row r="103" s="232" customFormat="1" ht="36" spans="1:6">
      <c r="A103" s="257">
        <v>43</v>
      </c>
      <c r="B103" s="257" t="s">
        <v>2285</v>
      </c>
      <c r="C103" s="257" t="s">
        <v>2286</v>
      </c>
      <c r="D103" s="248" t="s">
        <v>2287</v>
      </c>
      <c r="E103" s="269">
        <v>0.2</v>
      </c>
      <c r="F103" s="257">
        <v>30</v>
      </c>
    </row>
    <row r="104" s="232" customFormat="1" ht="36" spans="1:6">
      <c r="A104" s="257">
        <v>44</v>
      </c>
      <c r="B104" s="257" t="s">
        <v>2288</v>
      </c>
      <c r="C104" s="257" t="s">
        <v>2289</v>
      </c>
      <c r="D104" s="248" t="s">
        <v>2290</v>
      </c>
      <c r="E104" s="269">
        <v>0.2</v>
      </c>
      <c r="F104" s="257">
        <v>30</v>
      </c>
    </row>
    <row r="105" s="232" customFormat="1" ht="36" spans="1:6">
      <c r="A105" s="257">
        <v>45</v>
      </c>
      <c r="B105" s="257" t="s">
        <v>2291</v>
      </c>
      <c r="C105" s="257" t="s">
        <v>2292</v>
      </c>
      <c r="D105" s="248" t="s">
        <v>2293</v>
      </c>
      <c r="E105" s="269">
        <v>0.2</v>
      </c>
      <c r="F105" s="257">
        <v>30</v>
      </c>
    </row>
    <row r="106" s="232" customFormat="1" ht="36" spans="1:6">
      <c r="A106" s="257">
        <v>46</v>
      </c>
      <c r="B106" s="257"/>
      <c r="C106" s="257" t="s">
        <v>2294</v>
      </c>
      <c r="D106" s="248" t="s">
        <v>2295</v>
      </c>
      <c r="E106" s="269">
        <v>0.2</v>
      </c>
      <c r="F106" s="257">
        <v>30</v>
      </c>
    </row>
    <row r="107" s="232" customFormat="1" ht="36" spans="1:6">
      <c r="A107" s="257">
        <v>47</v>
      </c>
      <c r="B107" s="257" t="s">
        <v>2296</v>
      </c>
      <c r="C107" s="257" t="s">
        <v>2297</v>
      </c>
      <c r="D107" s="248" t="s">
        <v>2298</v>
      </c>
      <c r="E107" s="269">
        <v>0.3</v>
      </c>
      <c r="F107" s="257">
        <v>50</v>
      </c>
    </row>
    <row r="108" s="232" customFormat="1" ht="36" spans="1:6">
      <c r="A108" s="257">
        <v>48</v>
      </c>
      <c r="B108" s="257"/>
      <c r="C108" s="257" t="s">
        <v>2299</v>
      </c>
      <c r="D108" s="248" t="s">
        <v>2300</v>
      </c>
      <c r="E108" s="269">
        <v>0.2</v>
      </c>
      <c r="F108" s="257">
        <v>30</v>
      </c>
    </row>
    <row r="109" s="232" customFormat="1" ht="36" spans="1:6">
      <c r="A109" s="257">
        <v>49</v>
      </c>
      <c r="B109" s="257" t="s">
        <v>2301</v>
      </c>
      <c r="C109" s="257" t="s">
        <v>2302</v>
      </c>
      <c r="D109" s="248" t="s">
        <v>2303</v>
      </c>
      <c r="E109" s="269">
        <v>0.2</v>
      </c>
      <c r="F109" s="257">
        <v>30</v>
      </c>
    </row>
    <row r="110" s="232" customFormat="1" ht="36" spans="1:6">
      <c r="A110" s="257">
        <v>50</v>
      </c>
      <c r="B110" s="257" t="s">
        <v>2304</v>
      </c>
      <c r="C110" s="257" t="s">
        <v>2305</v>
      </c>
      <c r="D110" s="248" t="s">
        <v>2306</v>
      </c>
      <c r="E110" s="269">
        <v>0.2</v>
      </c>
      <c r="F110" s="257">
        <v>30</v>
      </c>
    </row>
    <row r="111" s="232" customFormat="1" ht="36" spans="1:6">
      <c r="A111" s="257">
        <v>51</v>
      </c>
      <c r="B111" s="257" t="s">
        <v>2307</v>
      </c>
      <c r="C111" s="257" t="s">
        <v>2308</v>
      </c>
      <c r="D111" s="248" t="s">
        <v>2309</v>
      </c>
      <c r="E111" s="269">
        <v>0.2</v>
      </c>
      <c r="F111" s="257">
        <v>30</v>
      </c>
    </row>
    <row r="112" s="232" customFormat="1" ht="36" spans="1:6">
      <c r="A112" s="257">
        <v>52</v>
      </c>
      <c r="B112" s="257"/>
      <c r="C112" s="257" t="s">
        <v>2310</v>
      </c>
      <c r="D112" s="248" t="s">
        <v>2311</v>
      </c>
      <c r="E112" s="269">
        <v>0.2</v>
      </c>
      <c r="F112" s="257">
        <v>30</v>
      </c>
    </row>
    <row r="113" s="232" customFormat="1" ht="36" spans="1:6">
      <c r="A113" s="257">
        <v>53</v>
      </c>
      <c r="B113" s="257"/>
      <c r="C113" s="257" t="s">
        <v>2312</v>
      </c>
      <c r="D113" s="248" t="s">
        <v>2313</v>
      </c>
      <c r="E113" s="269">
        <v>0.2</v>
      </c>
      <c r="F113" s="257">
        <v>30</v>
      </c>
    </row>
    <row r="114" ht="36" spans="1:6">
      <c r="A114" s="257">
        <v>54</v>
      </c>
      <c r="B114" s="257" t="s">
        <v>2314</v>
      </c>
      <c r="C114" s="257" t="s">
        <v>2315</v>
      </c>
      <c r="D114" s="248" t="s">
        <v>2316</v>
      </c>
      <c r="E114" s="269">
        <v>0.2</v>
      </c>
      <c r="F114" s="257">
        <v>30</v>
      </c>
    </row>
    <row r="115" ht="36" spans="1:6">
      <c r="A115" s="257">
        <v>55</v>
      </c>
      <c r="B115" s="257" t="s">
        <v>2317</v>
      </c>
      <c r="C115" s="257" t="s">
        <v>2318</v>
      </c>
      <c r="D115" s="248" t="s">
        <v>2319</v>
      </c>
      <c r="E115" s="269">
        <v>0.2</v>
      </c>
      <c r="F115" s="257">
        <v>30</v>
      </c>
    </row>
    <row r="116" ht="36" spans="1:6">
      <c r="A116" s="257">
        <v>56</v>
      </c>
      <c r="B116" s="257" t="s">
        <v>2320</v>
      </c>
      <c r="C116" s="257" t="s">
        <v>2321</v>
      </c>
      <c r="D116" s="248" t="s">
        <v>2322</v>
      </c>
      <c r="E116" s="269">
        <v>0.2</v>
      </c>
      <c r="F116" s="257">
        <v>30</v>
      </c>
    </row>
    <row r="117" ht="36" spans="1:6">
      <c r="A117" s="257">
        <v>57</v>
      </c>
      <c r="B117" s="257"/>
      <c r="C117" s="257" t="s">
        <v>2323</v>
      </c>
      <c r="D117" s="248" t="s">
        <v>2324</v>
      </c>
      <c r="E117" s="269">
        <v>0.2</v>
      </c>
      <c r="F117" s="257">
        <v>30</v>
      </c>
    </row>
    <row r="118" ht="36" spans="1:6">
      <c r="A118" s="257">
        <v>58</v>
      </c>
      <c r="B118" s="257" t="s">
        <v>2325</v>
      </c>
      <c r="C118" s="257" t="s">
        <v>2326</v>
      </c>
      <c r="D118" s="248" t="s">
        <v>2327</v>
      </c>
      <c r="E118" s="269">
        <v>0.2</v>
      </c>
      <c r="F118" s="257">
        <v>30</v>
      </c>
    </row>
    <row r="119" ht="13.5" spans="1:6">
      <c r="A119" s="257"/>
      <c r="B119" s="257"/>
      <c r="C119" s="257" t="s">
        <v>2196</v>
      </c>
      <c r="D119" s="257"/>
      <c r="E119" s="269" t="s">
        <v>121</v>
      </c>
      <c r="F119" s="257" t="s">
        <v>121</v>
      </c>
    </row>
  </sheetData>
  <sheetProtection sheet="1" formatCells="0" formatColumns="0" formatRows="0" objects="1" scenarios="1"/>
  <mergeCells count="15">
    <mergeCell ref="A18:A22"/>
    <mergeCell ref="A23:A32"/>
    <mergeCell ref="A33:A34"/>
    <mergeCell ref="A35:A39"/>
    <mergeCell ref="B19:B22"/>
    <mergeCell ref="B24:B32"/>
    <mergeCell ref="B36:B39"/>
    <mergeCell ref="B61:B75"/>
    <mergeCell ref="B76:B91"/>
    <mergeCell ref="B92:B98"/>
    <mergeCell ref="B99:B101"/>
    <mergeCell ref="B105:B106"/>
    <mergeCell ref="B107:B108"/>
    <mergeCell ref="B111:B113"/>
    <mergeCell ref="B116:B117"/>
  </mergeCells>
  <pageMargins left="0.7" right="0.7" top="0.75" bottom="0.75" header="0.3" footer="0.3"/>
  <pageSetup paperSize="9" orientation="portrait"/>
  <headerFooter/>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408"/>
  <sheetViews>
    <sheetView workbookViewId="0">
      <selection activeCell="O1" sqref="O$1:AA$1048576"/>
    </sheetView>
  </sheetViews>
  <sheetFormatPr defaultColWidth="9" defaultRowHeight="13.5"/>
  <cols>
    <col min="1" max="1" width="9" style="220"/>
    <col min="2" max="16384" width="9" style="221"/>
  </cols>
  <sheetData>
    <row r="1" ht="14.25" spans="1:14">
      <c r="A1" s="222" t="s">
        <v>2328</v>
      </c>
      <c r="B1" s="223"/>
      <c r="C1" s="223"/>
      <c r="D1" s="223"/>
      <c r="E1" s="223"/>
      <c r="F1" s="223"/>
      <c r="G1" s="223"/>
      <c r="H1" s="223"/>
      <c r="I1" s="223"/>
      <c r="J1" s="223"/>
      <c r="K1" s="223"/>
      <c r="L1" s="223"/>
      <c r="M1" s="223"/>
      <c r="N1" s="223"/>
    </row>
    <row r="2" spans="1:13">
      <c r="A2" s="224" t="s">
        <v>2329</v>
      </c>
      <c r="B2" s="225" t="s">
        <v>1738</v>
      </c>
      <c r="C2" s="225" t="s">
        <v>1744</v>
      </c>
      <c r="D2" s="225" t="s">
        <v>1764</v>
      </c>
      <c r="E2" s="225" t="s">
        <v>1785</v>
      </c>
      <c r="F2" s="225" t="s">
        <v>1813</v>
      </c>
      <c r="G2" s="225" t="s">
        <v>1848</v>
      </c>
      <c r="H2" s="226" t="s">
        <v>1897</v>
      </c>
      <c r="I2" s="226" t="s">
        <v>1946</v>
      </c>
      <c r="J2" s="229" t="s">
        <v>1986</v>
      </c>
      <c r="K2" s="229" t="s">
        <v>2032</v>
      </c>
      <c r="L2" s="229" t="s">
        <v>2060</v>
      </c>
      <c r="M2" s="229" t="s">
        <v>2082</v>
      </c>
    </row>
    <row r="3" spans="1:14">
      <c r="A3" s="224">
        <v>0.1</v>
      </c>
      <c r="B3" s="227">
        <v>15.052</v>
      </c>
      <c r="C3" s="227">
        <v>15.052</v>
      </c>
      <c r="D3" s="227">
        <v>14.263</v>
      </c>
      <c r="E3" s="227">
        <v>14.263</v>
      </c>
      <c r="F3" s="227">
        <v>14.263</v>
      </c>
      <c r="G3" s="227">
        <v>14.263</v>
      </c>
      <c r="H3" s="227">
        <v>14.263</v>
      </c>
      <c r="I3" s="227">
        <v>14.097</v>
      </c>
      <c r="J3" s="227">
        <v>14.097</v>
      </c>
      <c r="K3" s="227">
        <v>14.097</v>
      </c>
      <c r="L3" s="227">
        <v>14.097</v>
      </c>
      <c r="M3" s="227">
        <v>14.097</v>
      </c>
      <c r="N3" s="230"/>
    </row>
    <row r="4" spans="1:13">
      <c r="A4" s="224">
        <v>0.2</v>
      </c>
      <c r="B4" s="227">
        <v>7.526</v>
      </c>
      <c r="C4" s="227">
        <v>7.526</v>
      </c>
      <c r="D4" s="227">
        <v>7.1315</v>
      </c>
      <c r="E4" s="227">
        <v>7.1315</v>
      </c>
      <c r="F4" s="227">
        <v>7.1315</v>
      </c>
      <c r="G4" s="227">
        <v>7.1315</v>
      </c>
      <c r="H4" s="227">
        <v>7.1315</v>
      </c>
      <c r="I4" s="227">
        <v>7.0485</v>
      </c>
      <c r="J4" s="227">
        <v>7.0485</v>
      </c>
      <c r="K4" s="227">
        <v>7.0485</v>
      </c>
      <c r="L4" s="227">
        <v>7.0485</v>
      </c>
      <c r="M4" s="227">
        <v>7.0485</v>
      </c>
    </row>
    <row r="5" spans="1:13">
      <c r="A5" s="224">
        <v>0.3</v>
      </c>
      <c r="B5" s="227">
        <v>5.0173</v>
      </c>
      <c r="C5" s="227">
        <v>5.0173</v>
      </c>
      <c r="D5" s="227">
        <v>4.7543</v>
      </c>
      <c r="E5" s="227">
        <v>4.7543</v>
      </c>
      <c r="F5" s="227">
        <v>4.7543</v>
      </c>
      <c r="G5" s="227">
        <v>4.7543</v>
      </c>
      <c r="H5" s="227">
        <v>4.7543</v>
      </c>
      <c r="I5" s="227">
        <v>4.699</v>
      </c>
      <c r="J5" s="227">
        <v>4.699</v>
      </c>
      <c r="K5" s="227">
        <v>4.699</v>
      </c>
      <c r="L5" s="227">
        <v>4.699</v>
      </c>
      <c r="M5" s="227">
        <v>4.699</v>
      </c>
    </row>
    <row r="6" spans="1:13">
      <c r="A6" s="224">
        <v>0.4</v>
      </c>
      <c r="B6" s="227">
        <v>3.763</v>
      </c>
      <c r="C6" s="227">
        <v>3.763</v>
      </c>
      <c r="D6" s="227">
        <v>3.5658</v>
      </c>
      <c r="E6" s="227">
        <v>3.5658</v>
      </c>
      <c r="F6" s="227">
        <v>3.5658</v>
      </c>
      <c r="G6" s="227">
        <v>3.5658</v>
      </c>
      <c r="H6" s="227">
        <v>3.5658</v>
      </c>
      <c r="I6" s="227">
        <v>3.5243</v>
      </c>
      <c r="J6" s="227">
        <v>3.5243</v>
      </c>
      <c r="K6" s="227">
        <v>3.5243</v>
      </c>
      <c r="L6" s="227">
        <v>3.5243</v>
      </c>
      <c r="M6" s="227">
        <v>3.5243</v>
      </c>
    </row>
    <row r="7" spans="1:13">
      <c r="A7" s="224">
        <v>0.5</v>
      </c>
      <c r="B7" s="227">
        <v>3.0104</v>
      </c>
      <c r="C7" s="227">
        <v>3.0104</v>
      </c>
      <c r="D7" s="227">
        <v>2.8526</v>
      </c>
      <c r="E7" s="227">
        <v>2.8526</v>
      </c>
      <c r="F7" s="227">
        <v>2.8526</v>
      </c>
      <c r="G7" s="227">
        <v>2.8526</v>
      </c>
      <c r="H7" s="227">
        <v>2.8526</v>
      </c>
      <c r="I7" s="227">
        <v>2.8194</v>
      </c>
      <c r="J7" s="227">
        <v>2.8194</v>
      </c>
      <c r="K7" s="227">
        <v>2.8194</v>
      </c>
      <c r="L7" s="227">
        <v>2.8194</v>
      </c>
      <c r="M7" s="227">
        <v>2.8194</v>
      </c>
    </row>
    <row r="8" spans="1:13">
      <c r="A8" s="224">
        <v>0.6</v>
      </c>
      <c r="B8" s="227">
        <v>2.5087</v>
      </c>
      <c r="C8" s="227">
        <v>2.5087</v>
      </c>
      <c r="D8" s="227">
        <v>2.3772</v>
      </c>
      <c r="E8" s="227">
        <v>2.3772</v>
      </c>
      <c r="F8" s="227">
        <v>2.3772</v>
      </c>
      <c r="G8" s="227">
        <v>2.3772</v>
      </c>
      <c r="H8" s="227">
        <v>2.3772</v>
      </c>
      <c r="I8" s="227">
        <v>2.3495</v>
      </c>
      <c r="J8" s="227">
        <v>2.3495</v>
      </c>
      <c r="K8" s="227">
        <v>2.3495</v>
      </c>
      <c r="L8" s="227">
        <v>2.3495</v>
      </c>
      <c r="M8" s="227">
        <v>2.3495</v>
      </c>
    </row>
    <row r="9" spans="1:13">
      <c r="A9" s="224">
        <v>0.7</v>
      </c>
      <c r="B9" s="227">
        <v>2.1503</v>
      </c>
      <c r="C9" s="227">
        <v>2.1503</v>
      </c>
      <c r="D9" s="227">
        <v>2.0376</v>
      </c>
      <c r="E9" s="227">
        <v>2.0376</v>
      </c>
      <c r="F9" s="227">
        <v>2.0376</v>
      </c>
      <c r="G9" s="227">
        <v>2.0376</v>
      </c>
      <c r="H9" s="227">
        <v>2.0376</v>
      </c>
      <c r="I9" s="227">
        <v>2.0139</v>
      </c>
      <c r="J9" s="227">
        <v>2.0139</v>
      </c>
      <c r="K9" s="227">
        <v>2.0139</v>
      </c>
      <c r="L9" s="227">
        <v>2.0139</v>
      </c>
      <c r="M9" s="227">
        <v>2.0139</v>
      </c>
    </row>
    <row r="10" spans="1:13">
      <c r="A10" s="224">
        <v>0.8</v>
      </c>
      <c r="B10" s="227">
        <v>1.8815</v>
      </c>
      <c r="C10" s="227">
        <v>1.8815</v>
      </c>
      <c r="D10" s="227">
        <v>1.7829</v>
      </c>
      <c r="E10" s="227">
        <v>1.7829</v>
      </c>
      <c r="F10" s="227">
        <v>1.7829</v>
      </c>
      <c r="G10" s="227">
        <v>1.7829</v>
      </c>
      <c r="H10" s="227">
        <v>1.7829</v>
      </c>
      <c r="I10" s="227">
        <v>1.7621</v>
      </c>
      <c r="J10" s="227">
        <v>1.7621</v>
      </c>
      <c r="K10" s="227">
        <v>1.7621</v>
      </c>
      <c r="L10" s="227">
        <v>1.7621</v>
      </c>
      <c r="M10" s="227">
        <v>1.7621</v>
      </c>
    </row>
    <row r="11" spans="1:13">
      <c r="A11" s="224">
        <v>0.9</v>
      </c>
      <c r="B11" s="227">
        <v>1.6724</v>
      </c>
      <c r="C11" s="227">
        <v>1.6724</v>
      </c>
      <c r="D11" s="227">
        <v>1.5848</v>
      </c>
      <c r="E11" s="227">
        <v>1.5848</v>
      </c>
      <c r="F11" s="227">
        <v>1.5848</v>
      </c>
      <c r="G11" s="227">
        <v>1.5848</v>
      </c>
      <c r="H11" s="227">
        <v>1.5848</v>
      </c>
      <c r="I11" s="227">
        <v>1.5663</v>
      </c>
      <c r="J11" s="227">
        <v>1.5663</v>
      </c>
      <c r="K11" s="227">
        <v>1.5663</v>
      </c>
      <c r="L11" s="227">
        <v>1.5663</v>
      </c>
      <c r="M11" s="227">
        <v>1.5663</v>
      </c>
    </row>
    <row r="12" spans="1:13">
      <c r="A12" s="224">
        <v>1</v>
      </c>
      <c r="B12" s="227">
        <v>1.5052</v>
      </c>
      <c r="C12" s="227">
        <v>1.5052</v>
      </c>
      <c r="D12" s="227">
        <v>1.4263</v>
      </c>
      <c r="E12" s="227">
        <v>1.4263</v>
      </c>
      <c r="F12" s="227">
        <v>1.4263</v>
      </c>
      <c r="G12" s="227">
        <v>1.4263</v>
      </c>
      <c r="H12" s="227">
        <v>1.4263</v>
      </c>
      <c r="I12" s="227">
        <v>1.4097</v>
      </c>
      <c r="J12" s="227">
        <v>1.4097</v>
      </c>
      <c r="K12" s="227">
        <v>1.4097</v>
      </c>
      <c r="L12" s="227">
        <v>1.4097</v>
      </c>
      <c r="M12" s="227">
        <v>1.4097</v>
      </c>
    </row>
    <row r="13" spans="1:13">
      <c r="A13" s="224">
        <v>1.1</v>
      </c>
      <c r="B13" s="227">
        <v>1.4509</v>
      </c>
      <c r="C13" s="227">
        <v>1.4509</v>
      </c>
      <c r="D13" s="227">
        <v>1.3698</v>
      </c>
      <c r="E13" s="227">
        <v>1.3698</v>
      </c>
      <c r="F13" s="227">
        <v>1.3698</v>
      </c>
      <c r="G13" s="227">
        <v>1.3698</v>
      </c>
      <c r="H13" s="227">
        <v>1.3698</v>
      </c>
      <c r="I13" s="227">
        <v>1.343</v>
      </c>
      <c r="J13" s="227">
        <v>1.343</v>
      </c>
      <c r="K13" s="227">
        <v>1.343</v>
      </c>
      <c r="L13" s="227">
        <v>1.343</v>
      </c>
      <c r="M13" s="227">
        <v>1.343</v>
      </c>
    </row>
    <row r="14" spans="1:13">
      <c r="A14" s="224">
        <v>1.2</v>
      </c>
      <c r="B14" s="227">
        <v>1.4035</v>
      </c>
      <c r="C14" s="227">
        <v>1.4035</v>
      </c>
      <c r="D14" s="227">
        <v>1.3205</v>
      </c>
      <c r="E14" s="227">
        <v>1.3205</v>
      </c>
      <c r="F14" s="227">
        <v>1.3205</v>
      </c>
      <c r="G14" s="227">
        <v>1.3205</v>
      </c>
      <c r="H14" s="227">
        <v>1.3205</v>
      </c>
      <c r="I14" s="227">
        <v>1.2845</v>
      </c>
      <c r="J14" s="227">
        <v>1.2845</v>
      </c>
      <c r="K14" s="227">
        <v>1.2845</v>
      </c>
      <c r="L14" s="227">
        <v>1.2845</v>
      </c>
      <c r="M14" s="227">
        <v>1.2845</v>
      </c>
    </row>
    <row r="15" spans="1:13">
      <c r="A15" s="224">
        <v>1.3</v>
      </c>
      <c r="B15" s="227">
        <v>1.3622</v>
      </c>
      <c r="C15" s="227">
        <v>1.3622</v>
      </c>
      <c r="D15" s="227">
        <v>1.2775</v>
      </c>
      <c r="E15" s="227">
        <v>1.2775</v>
      </c>
      <c r="F15" s="227">
        <v>1.2775</v>
      </c>
      <c r="G15" s="227">
        <v>1.2775</v>
      </c>
      <c r="H15" s="227">
        <v>1.2775</v>
      </c>
      <c r="I15" s="227">
        <v>1.2332</v>
      </c>
      <c r="J15" s="227">
        <v>1.2332</v>
      </c>
      <c r="K15" s="227">
        <v>1.2332</v>
      </c>
      <c r="L15" s="227">
        <v>1.2332</v>
      </c>
      <c r="M15" s="227">
        <v>1.2332</v>
      </c>
    </row>
    <row r="16" spans="1:14">
      <c r="A16" s="224">
        <v>1.4</v>
      </c>
      <c r="B16" s="227">
        <v>1.3262</v>
      </c>
      <c r="C16" s="227">
        <v>1.3262</v>
      </c>
      <c r="D16" s="227">
        <v>1.2402</v>
      </c>
      <c r="E16" s="227">
        <v>1.2402</v>
      </c>
      <c r="F16" s="227">
        <v>1.2402</v>
      </c>
      <c r="G16" s="227">
        <v>1.2402</v>
      </c>
      <c r="H16" s="227">
        <v>1.2402</v>
      </c>
      <c r="I16" s="227">
        <v>1.1882</v>
      </c>
      <c r="J16" s="227">
        <v>1.1882</v>
      </c>
      <c r="K16" s="227">
        <v>1.1882</v>
      </c>
      <c r="L16" s="227">
        <v>1.1882</v>
      </c>
      <c r="M16" s="227">
        <v>1.1882</v>
      </c>
      <c r="N16" s="230"/>
    </row>
    <row r="17" spans="1:14">
      <c r="A17" s="224">
        <v>1.5</v>
      </c>
      <c r="B17" s="227">
        <v>1.2948</v>
      </c>
      <c r="C17" s="227">
        <v>1.2948</v>
      </c>
      <c r="D17" s="227">
        <v>1.2075</v>
      </c>
      <c r="E17" s="227">
        <v>1.2075</v>
      </c>
      <c r="F17" s="227">
        <v>1.2075</v>
      </c>
      <c r="G17" s="227">
        <v>1.2075</v>
      </c>
      <c r="H17" s="227">
        <v>1.2075</v>
      </c>
      <c r="I17" s="227">
        <v>1.1486</v>
      </c>
      <c r="J17" s="227">
        <v>1.1486</v>
      </c>
      <c r="K17" s="227">
        <v>1.1486</v>
      </c>
      <c r="L17" s="227">
        <v>1.1486</v>
      </c>
      <c r="M17" s="227">
        <v>1.1486</v>
      </c>
      <c r="N17" s="230"/>
    </row>
    <row r="18" spans="1:13">
      <c r="A18" s="224">
        <v>1.6</v>
      </c>
      <c r="B18" s="227">
        <v>1.2673</v>
      </c>
      <c r="C18" s="227">
        <v>1.2673</v>
      </c>
      <c r="D18" s="227">
        <v>1.1789</v>
      </c>
      <c r="E18" s="227">
        <v>1.1789</v>
      </c>
      <c r="F18" s="227">
        <v>1.1789</v>
      </c>
      <c r="G18" s="227">
        <v>1.1789</v>
      </c>
      <c r="H18" s="227">
        <v>1.1789</v>
      </c>
      <c r="I18" s="227">
        <v>1.1135</v>
      </c>
      <c r="J18" s="227">
        <v>1.1135</v>
      </c>
      <c r="K18" s="227">
        <v>1.1135</v>
      </c>
      <c r="L18" s="227">
        <v>1.1135</v>
      </c>
      <c r="M18" s="227">
        <v>1.1135</v>
      </c>
    </row>
    <row r="19" spans="1:13">
      <c r="A19" s="224">
        <v>1.7</v>
      </c>
      <c r="B19" s="227">
        <v>1.2429</v>
      </c>
      <c r="C19" s="227">
        <v>1.2429</v>
      </c>
      <c r="D19" s="227">
        <v>1.1534</v>
      </c>
      <c r="E19" s="227">
        <v>1.1534</v>
      </c>
      <c r="F19" s="227">
        <v>1.1534</v>
      </c>
      <c r="G19" s="227">
        <v>1.1534</v>
      </c>
      <c r="H19" s="227">
        <v>1.1534</v>
      </c>
      <c r="I19" s="227">
        <v>1.082</v>
      </c>
      <c r="J19" s="227">
        <v>1.082</v>
      </c>
      <c r="K19" s="227">
        <v>1.082</v>
      </c>
      <c r="L19" s="227">
        <v>1.082</v>
      </c>
      <c r="M19" s="227">
        <v>1.082</v>
      </c>
    </row>
    <row r="20" spans="1:13">
      <c r="A20" s="224">
        <v>1.8</v>
      </c>
      <c r="B20" s="227">
        <v>1.2207</v>
      </c>
      <c r="C20" s="227">
        <v>1.2207</v>
      </c>
      <c r="D20" s="227">
        <v>1.1304</v>
      </c>
      <c r="E20" s="227">
        <v>1.1304</v>
      </c>
      <c r="F20" s="227">
        <v>1.1304</v>
      </c>
      <c r="G20" s="227">
        <v>1.1304</v>
      </c>
      <c r="H20" s="227">
        <v>1.1304</v>
      </c>
      <c r="I20" s="227">
        <v>1.0532</v>
      </c>
      <c r="J20" s="227">
        <v>1.0532</v>
      </c>
      <c r="K20" s="227">
        <v>1.0532</v>
      </c>
      <c r="L20" s="227">
        <v>1.0532</v>
      </c>
      <c r="M20" s="227">
        <v>1.0532</v>
      </c>
    </row>
    <row r="21" spans="1:13">
      <c r="A21" s="224">
        <v>1.9</v>
      </c>
      <c r="B21" s="227">
        <v>1.2</v>
      </c>
      <c r="C21" s="227">
        <v>1.2</v>
      </c>
      <c r="D21" s="227">
        <v>1.1089</v>
      </c>
      <c r="E21" s="227">
        <v>1.1089</v>
      </c>
      <c r="F21" s="227">
        <v>1.1089</v>
      </c>
      <c r="G21" s="227">
        <v>1.1089</v>
      </c>
      <c r="H21" s="227">
        <v>1.1089</v>
      </c>
      <c r="I21" s="227">
        <v>1.0261</v>
      </c>
      <c r="J21" s="227">
        <v>1.0261</v>
      </c>
      <c r="K21" s="227">
        <v>1.0261</v>
      </c>
      <c r="L21" s="227">
        <v>1.0261</v>
      </c>
      <c r="M21" s="227">
        <v>1.0261</v>
      </c>
    </row>
    <row r="22" spans="1:13">
      <c r="A22" s="224">
        <v>2</v>
      </c>
      <c r="B22" s="227">
        <v>1.1801</v>
      </c>
      <c r="C22" s="227">
        <v>1.1801</v>
      </c>
      <c r="D22" s="227">
        <v>1.0883</v>
      </c>
      <c r="E22" s="227">
        <v>1.0883</v>
      </c>
      <c r="F22" s="227">
        <v>1.0883</v>
      </c>
      <c r="G22" s="227">
        <v>1.0883</v>
      </c>
      <c r="H22" s="227">
        <v>1.0883</v>
      </c>
      <c r="I22" s="227">
        <v>1</v>
      </c>
      <c r="J22" s="227">
        <v>1</v>
      </c>
      <c r="K22" s="227">
        <v>1</v>
      </c>
      <c r="L22" s="227">
        <v>1</v>
      </c>
      <c r="M22" s="227">
        <v>1</v>
      </c>
    </row>
    <row r="23" spans="1:13">
      <c r="A23" s="228">
        <v>2.1</v>
      </c>
      <c r="B23" s="227">
        <v>1.1616</v>
      </c>
      <c r="C23" s="227">
        <v>1.1616</v>
      </c>
      <c r="D23" s="227">
        <v>1.0685</v>
      </c>
      <c r="E23" s="227">
        <v>1.0685</v>
      </c>
      <c r="F23" s="227">
        <v>1.0685</v>
      </c>
      <c r="G23" s="227">
        <v>1.0685</v>
      </c>
      <c r="H23" s="227">
        <v>1.0685</v>
      </c>
      <c r="I23" s="227">
        <v>0.9755</v>
      </c>
      <c r="J23" s="227">
        <v>0.9755</v>
      </c>
      <c r="K23" s="227">
        <v>0.9755</v>
      </c>
      <c r="L23" s="227">
        <v>0.9755</v>
      </c>
      <c r="M23" s="227">
        <v>0.9755</v>
      </c>
    </row>
    <row r="24" spans="1:13">
      <c r="A24" s="228">
        <v>2.2</v>
      </c>
      <c r="B24" s="227">
        <v>1.1441</v>
      </c>
      <c r="C24" s="227">
        <v>1.1441</v>
      </c>
      <c r="D24" s="227">
        <v>1.0497</v>
      </c>
      <c r="E24" s="227">
        <v>1.0497</v>
      </c>
      <c r="F24" s="227">
        <v>1.0497</v>
      </c>
      <c r="G24" s="227">
        <v>1.0497</v>
      </c>
      <c r="H24" s="227">
        <v>1.0497</v>
      </c>
      <c r="I24" s="227">
        <v>0.9523</v>
      </c>
      <c r="J24" s="227">
        <v>0.9523</v>
      </c>
      <c r="K24" s="227">
        <v>0.9523</v>
      </c>
      <c r="L24" s="227">
        <v>0.9523</v>
      </c>
      <c r="M24" s="227">
        <v>0.9523</v>
      </c>
    </row>
    <row r="25" spans="1:13">
      <c r="A25" s="228">
        <v>2.3</v>
      </c>
      <c r="B25" s="227">
        <v>1.1276</v>
      </c>
      <c r="C25" s="227">
        <v>1.1276</v>
      </c>
      <c r="D25" s="227">
        <v>1.032</v>
      </c>
      <c r="E25" s="227">
        <v>1.032</v>
      </c>
      <c r="F25" s="227">
        <v>1.032</v>
      </c>
      <c r="G25" s="227">
        <v>1.032</v>
      </c>
      <c r="H25" s="227">
        <v>1.032</v>
      </c>
      <c r="I25" s="227">
        <v>0.9304</v>
      </c>
      <c r="J25" s="227">
        <v>0.9304</v>
      </c>
      <c r="K25" s="227">
        <v>0.9304</v>
      </c>
      <c r="L25" s="227">
        <v>0.9304</v>
      </c>
      <c r="M25" s="227">
        <v>0.9304</v>
      </c>
    </row>
    <row r="26" spans="1:13">
      <c r="A26" s="228">
        <v>2.4</v>
      </c>
      <c r="B26" s="227">
        <v>1.1121</v>
      </c>
      <c r="C26" s="227">
        <v>1.1121</v>
      </c>
      <c r="D26" s="227">
        <v>1.0155</v>
      </c>
      <c r="E26" s="227">
        <v>1.0155</v>
      </c>
      <c r="F26" s="227">
        <v>1.0155</v>
      </c>
      <c r="G26" s="227">
        <v>1.0155</v>
      </c>
      <c r="H26" s="227">
        <v>1.0155</v>
      </c>
      <c r="I26" s="227">
        <v>0.91</v>
      </c>
      <c r="J26" s="227">
        <v>0.91</v>
      </c>
      <c r="K26" s="227">
        <v>0.91</v>
      </c>
      <c r="L26" s="227">
        <v>0.91</v>
      </c>
      <c r="M26" s="227">
        <v>0.91</v>
      </c>
    </row>
    <row r="27" spans="1:13">
      <c r="A27" s="228">
        <v>2.5</v>
      </c>
      <c r="B27" s="227">
        <v>1.0976</v>
      </c>
      <c r="C27" s="227">
        <v>1.0976</v>
      </c>
      <c r="D27" s="227">
        <v>1</v>
      </c>
      <c r="E27" s="227">
        <v>1</v>
      </c>
      <c r="F27" s="227">
        <v>1</v>
      </c>
      <c r="G27" s="227">
        <v>1</v>
      </c>
      <c r="H27" s="227">
        <v>1</v>
      </c>
      <c r="I27" s="227">
        <v>0.8908</v>
      </c>
      <c r="J27" s="227">
        <v>0.8908</v>
      </c>
      <c r="K27" s="227">
        <v>0.8908</v>
      </c>
      <c r="L27" s="227">
        <v>0.8908</v>
      </c>
      <c r="M27" s="227">
        <v>0.8908</v>
      </c>
    </row>
    <row r="28" spans="1:13">
      <c r="A28" s="228">
        <v>2.6</v>
      </c>
      <c r="B28" s="227">
        <v>1.0841</v>
      </c>
      <c r="C28" s="227">
        <v>1.0841</v>
      </c>
      <c r="D28" s="227">
        <v>0.9862</v>
      </c>
      <c r="E28" s="227">
        <v>0.9862</v>
      </c>
      <c r="F28" s="227">
        <v>0.9862</v>
      </c>
      <c r="G28" s="227">
        <v>0.9862</v>
      </c>
      <c r="H28" s="227">
        <v>0.9862</v>
      </c>
      <c r="I28" s="227">
        <v>0.873</v>
      </c>
      <c r="J28" s="227">
        <v>0.873</v>
      </c>
      <c r="K28" s="227">
        <v>0.873</v>
      </c>
      <c r="L28" s="227">
        <v>0.873</v>
      </c>
      <c r="M28" s="227">
        <v>0.873</v>
      </c>
    </row>
    <row r="29" spans="1:13">
      <c r="A29" s="228">
        <v>2.7</v>
      </c>
      <c r="B29" s="227">
        <v>1.0716</v>
      </c>
      <c r="C29" s="227">
        <v>1.0716</v>
      </c>
      <c r="D29" s="227">
        <v>0.9733</v>
      </c>
      <c r="E29" s="227">
        <v>0.9733</v>
      </c>
      <c r="F29" s="227">
        <v>0.9733</v>
      </c>
      <c r="G29" s="227">
        <v>0.9733</v>
      </c>
      <c r="H29" s="227">
        <v>0.9733</v>
      </c>
      <c r="I29" s="227">
        <v>0.8567</v>
      </c>
      <c r="J29" s="227">
        <v>0.8567</v>
      </c>
      <c r="K29" s="227">
        <v>0.8567</v>
      </c>
      <c r="L29" s="227">
        <v>0.8567</v>
      </c>
      <c r="M29" s="227">
        <v>0.8567</v>
      </c>
    </row>
    <row r="30" spans="1:13">
      <c r="A30" s="228">
        <v>2.8</v>
      </c>
      <c r="B30" s="227">
        <v>1.0602</v>
      </c>
      <c r="C30" s="227">
        <v>1.0602</v>
      </c>
      <c r="D30" s="227">
        <v>0.9616</v>
      </c>
      <c r="E30" s="227">
        <v>0.9616</v>
      </c>
      <c r="F30" s="227">
        <v>0.9616</v>
      </c>
      <c r="G30" s="227">
        <v>0.9616</v>
      </c>
      <c r="H30" s="227">
        <v>0.9616</v>
      </c>
      <c r="I30" s="227">
        <v>0.8417</v>
      </c>
      <c r="J30" s="227">
        <v>0.8417</v>
      </c>
      <c r="K30" s="227">
        <v>0.8417</v>
      </c>
      <c r="L30" s="227">
        <v>0.8417</v>
      </c>
      <c r="M30" s="227">
        <v>0.8417</v>
      </c>
    </row>
    <row r="31" spans="1:13">
      <c r="A31" s="228">
        <v>2.9</v>
      </c>
      <c r="B31" s="227">
        <v>1.0497</v>
      </c>
      <c r="C31" s="227">
        <v>1.0497</v>
      </c>
      <c r="D31" s="227">
        <v>0.9509</v>
      </c>
      <c r="E31" s="227">
        <v>0.9509</v>
      </c>
      <c r="F31" s="227">
        <v>0.9509</v>
      </c>
      <c r="G31" s="227">
        <v>0.9509</v>
      </c>
      <c r="H31" s="227">
        <v>0.9509</v>
      </c>
      <c r="I31" s="227">
        <v>0.8281</v>
      </c>
      <c r="J31" s="227">
        <v>0.8281</v>
      </c>
      <c r="K31" s="227">
        <v>0.8281</v>
      </c>
      <c r="L31" s="227">
        <v>0.8281</v>
      </c>
      <c r="M31" s="227">
        <v>0.8281</v>
      </c>
    </row>
    <row r="32" spans="1:13">
      <c r="A32" s="228">
        <v>3</v>
      </c>
      <c r="B32" s="227">
        <v>1.0401</v>
      </c>
      <c r="C32" s="227">
        <v>1.0401</v>
      </c>
      <c r="D32" s="227">
        <v>0.9409</v>
      </c>
      <c r="E32" s="227">
        <v>0.9409</v>
      </c>
      <c r="F32" s="227">
        <v>0.9409</v>
      </c>
      <c r="G32" s="227">
        <v>0.9409</v>
      </c>
      <c r="H32" s="227">
        <v>0.9409</v>
      </c>
      <c r="I32" s="227">
        <v>0.8158</v>
      </c>
      <c r="J32" s="227">
        <v>0.8158</v>
      </c>
      <c r="K32" s="227">
        <v>0.8158</v>
      </c>
      <c r="L32" s="227">
        <v>0.8158</v>
      </c>
      <c r="M32" s="227">
        <v>0.8158</v>
      </c>
    </row>
    <row r="33" spans="1:13">
      <c r="A33" s="228">
        <v>3.1</v>
      </c>
      <c r="B33" s="227">
        <v>1.0314</v>
      </c>
      <c r="C33" s="227">
        <v>1.0314</v>
      </c>
      <c r="D33" s="227">
        <v>0.9317</v>
      </c>
      <c r="E33" s="227">
        <v>0.9317</v>
      </c>
      <c r="F33" s="227">
        <v>0.9317</v>
      </c>
      <c r="G33" s="227">
        <v>0.9317</v>
      </c>
      <c r="H33" s="227">
        <v>0.9317</v>
      </c>
      <c r="I33" s="227">
        <v>0.8041</v>
      </c>
      <c r="J33" s="227">
        <v>0.8041</v>
      </c>
      <c r="K33" s="227">
        <v>0.8041</v>
      </c>
      <c r="L33" s="227">
        <v>0.8041</v>
      </c>
      <c r="M33" s="227">
        <v>0.8041</v>
      </c>
    </row>
    <row r="34" spans="1:13">
      <c r="A34" s="228">
        <v>3.2</v>
      </c>
      <c r="B34" s="227">
        <v>1.023</v>
      </c>
      <c r="C34" s="227">
        <v>1.023</v>
      </c>
      <c r="D34" s="227">
        <v>0.9228</v>
      </c>
      <c r="E34" s="227">
        <v>0.9228</v>
      </c>
      <c r="F34" s="227">
        <v>0.9228</v>
      </c>
      <c r="G34" s="227">
        <v>0.9228</v>
      </c>
      <c r="H34" s="227">
        <v>0.9228</v>
      </c>
      <c r="I34" s="227">
        <v>0.793</v>
      </c>
      <c r="J34" s="227">
        <v>0.793</v>
      </c>
      <c r="K34" s="227">
        <v>0.793</v>
      </c>
      <c r="L34" s="227">
        <v>0.793</v>
      </c>
      <c r="M34" s="227">
        <v>0.793</v>
      </c>
    </row>
    <row r="35" spans="1:13">
      <c r="A35" s="228">
        <v>3.3</v>
      </c>
      <c r="B35" s="227">
        <v>1.015</v>
      </c>
      <c r="C35" s="227">
        <v>1.015</v>
      </c>
      <c r="D35" s="227">
        <v>0.9144</v>
      </c>
      <c r="E35" s="227">
        <v>0.9144</v>
      </c>
      <c r="F35" s="227">
        <v>0.9144</v>
      </c>
      <c r="G35" s="227">
        <v>0.9144</v>
      </c>
      <c r="H35" s="227">
        <v>0.9144</v>
      </c>
      <c r="I35" s="227">
        <v>0.7822</v>
      </c>
      <c r="J35" s="227">
        <v>0.7822</v>
      </c>
      <c r="K35" s="227">
        <v>0.7822</v>
      </c>
      <c r="L35" s="227">
        <v>0.7822</v>
      </c>
      <c r="M35" s="227">
        <v>0.7822</v>
      </c>
    </row>
    <row r="36" spans="1:13">
      <c r="A36" s="228">
        <v>3.4</v>
      </c>
      <c r="B36" s="227">
        <v>1.0073</v>
      </c>
      <c r="C36" s="227">
        <v>1.0073</v>
      </c>
      <c r="D36" s="227">
        <v>0.9063</v>
      </c>
      <c r="E36" s="227">
        <v>0.9063</v>
      </c>
      <c r="F36" s="227">
        <v>0.9063</v>
      </c>
      <c r="G36" s="227">
        <v>0.9063</v>
      </c>
      <c r="H36" s="227">
        <v>0.9063</v>
      </c>
      <c r="I36" s="227">
        <v>0.7721</v>
      </c>
      <c r="J36" s="227">
        <v>0.7721</v>
      </c>
      <c r="K36" s="227">
        <v>0.7721</v>
      </c>
      <c r="L36" s="227">
        <v>0.7721</v>
      </c>
      <c r="M36" s="227">
        <v>0.7721</v>
      </c>
    </row>
    <row r="37" spans="1:13">
      <c r="A37" s="228">
        <v>3.5</v>
      </c>
      <c r="B37" s="227">
        <v>1</v>
      </c>
      <c r="C37" s="227">
        <v>1</v>
      </c>
      <c r="D37" s="227">
        <v>0.8987</v>
      </c>
      <c r="E37" s="227">
        <v>0.8987</v>
      </c>
      <c r="F37" s="227">
        <v>0.8987</v>
      </c>
      <c r="G37" s="227">
        <v>0.8987</v>
      </c>
      <c r="H37" s="227">
        <v>0.8987</v>
      </c>
      <c r="I37" s="227">
        <v>0.7624</v>
      </c>
      <c r="J37" s="227">
        <v>0.7624</v>
      </c>
      <c r="K37" s="227">
        <v>0.7624</v>
      </c>
      <c r="L37" s="227">
        <v>0.7624</v>
      </c>
      <c r="M37" s="227">
        <v>0.7624</v>
      </c>
    </row>
    <row r="38" spans="1:13">
      <c r="A38" s="228">
        <v>3.6</v>
      </c>
      <c r="B38" s="227">
        <v>0.9933</v>
      </c>
      <c r="C38" s="227">
        <v>0.9933</v>
      </c>
      <c r="D38" s="227">
        <v>0.8914</v>
      </c>
      <c r="E38" s="227">
        <v>0.8914</v>
      </c>
      <c r="F38" s="227">
        <v>0.8914</v>
      </c>
      <c r="G38" s="227">
        <v>0.8914</v>
      </c>
      <c r="H38" s="227">
        <v>0.8914</v>
      </c>
      <c r="I38" s="227">
        <v>0.7532</v>
      </c>
      <c r="J38" s="227">
        <v>0.7532</v>
      </c>
      <c r="K38" s="227">
        <v>0.7532</v>
      </c>
      <c r="L38" s="227">
        <v>0.7532</v>
      </c>
      <c r="M38" s="227">
        <v>0.7532</v>
      </c>
    </row>
    <row r="39" spans="1:13">
      <c r="A39" s="228">
        <v>3.7</v>
      </c>
      <c r="B39" s="227">
        <v>0.9869</v>
      </c>
      <c r="C39" s="227">
        <v>0.9869</v>
      </c>
      <c r="D39" s="227">
        <v>0.8845</v>
      </c>
      <c r="E39" s="227">
        <v>0.8845</v>
      </c>
      <c r="F39" s="227">
        <v>0.8845</v>
      </c>
      <c r="G39" s="227">
        <v>0.8845</v>
      </c>
      <c r="H39" s="227">
        <v>0.8845</v>
      </c>
      <c r="I39" s="227">
        <v>0.7446</v>
      </c>
      <c r="J39" s="227">
        <v>0.7446</v>
      </c>
      <c r="K39" s="227">
        <v>0.7446</v>
      </c>
      <c r="L39" s="227">
        <v>0.7446</v>
      </c>
      <c r="M39" s="227">
        <v>0.7446</v>
      </c>
    </row>
    <row r="40" spans="1:13">
      <c r="A40" s="228">
        <v>3.8</v>
      </c>
      <c r="B40" s="227">
        <v>0.9808</v>
      </c>
      <c r="C40" s="227">
        <v>0.9808</v>
      </c>
      <c r="D40" s="227">
        <v>0.8781</v>
      </c>
      <c r="E40" s="227">
        <v>0.8781</v>
      </c>
      <c r="F40" s="227">
        <v>0.8781</v>
      </c>
      <c r="G40" s="227">
        <v>0.8781</v>
      </c>
      <c r="H40" s="227">
        <v>0.8781</v>
      </c>
      <c r="I40" s="227">
        <v>0.7364</v>
      </c>
      <c r="J40" s="227">
        <v>0.7364</v>
      </c>
      <c r="K40" s="227">
        <v>0.7364</v>
      </c>
      <c r="L40" s="227">
        <v>0.7364</v>
      </c>
      <c r="M40" s="227">
        <v>0.7364</v>
      </c>
    </row>
    <row r="41" spans="1:13">
      <c r="A41" s="228">
        <v>3.9</v>
      </c>
      <c r="B41" s="227">
        <v>0.9751</v>
      </c>
      <c r="C41" s="227">
        <v>0.9751</v>
      </c>
      <c r="D41" s="227">
        <v>0.8721</v>
      </c>
      <c r="E41" s="227">
        <v>0.8721</v>
      </c>
      <c r="F41" s="227">
        <v>0.8721</v>
      </c>
      <c r="G41" s="227">
        <v>0.8721</v>
      </c>
      <c r="H41" s="227">
        <v>0.8721</v>
      </c>
      <c r="I41" s="227">
        <v>0.7288</v>
      </c>
      <c r="J41" s="227">
        <v>0.7288</v>
      </c>
      <c r="K41" s="227">
        <v>0.7288</v>
      </c>
      <c r="L41" s="227">
        <v>0.7288</v>
      </c>
      <c r="M41" s="227">
        <v>0.7288</v>
      </c>
    </row>
    <row r="42" spans="1:13">
      <c r="A42" s="228">
        <v>4</v>
      </c>
      <c r="B42" s="227">
        <v>0.9699</v>
      </c>
      <c r="C42" s="227">
        <v>0.9699</v>
      </c>
      <c r="D42" s="227">
        <v>0.8665</v>
      </c>
      <c r="E42" s="227">
        <v>0.8665</v>
      </c>
      <c r="F42" s="227">
        <v>0.8665</v>
      </c>
      <c r="G42" s="227">
        <v>0.8665</v>
      </c>
      <c r="H42" s="227">
        <v>0.8665</v>
      </c>
      <c r="I42" s="227">
        <v>0.7218</v>
      </c>
      <c r="J42" s="227">
        <v>0.7218</v>
      </c>
      <c r="K42" s="227">
        <v>0.7218</v>
      </c>
      <c r="L42" s="227">
        <v>0.7218</v>
      </c>
      <c r="M42" s="227">
        <v>0.7218</v>
      </c>
    </row>
    <row r="43" spans="1:13">
      <c r="A43" s="228">
        <v>4.1</v>
      </c>
      <c r="B43" s="227">
        <v>0.9648</v>
      </c>
      <c r="C43" s="227">
        <v>0.9648</v>
      </c>
      <c r="D43" s="227">
        <v>0.8611</v>
      </c>
      <c r="E43" s="227">
        <v>0.8611</v>
      </c>
      <c r="F43" s="227">
        <v>0.8611</v>
      </c>
      <c r="G43" s="227">
        <v>0.8611</v>
      </c>
      <c r="H43" s="227">
        <v>0.8611</v>
      </c>
      <c r="I43" s="227">
        <v>0.715</v>
      </c>
      <c r="J43" s="227">
        <v>0.715</v>
      </c>
      <c r="K43" s="227">
        <v>0.715</v>
      </c>
      <c r="L43" s="227">
        <v>0.715</v>
      </c>
      <c r="M43" s="227">
        <v>0.715</v>
      </c>
    </row>
    <row r="44" spans="1:13">
      <c r="A44" s="228">
        <v>4.2</v>
      </c>
      <c r="B44" s="227">
        <v>0.96</v>
      </c>
      <c r="C44" s="227">
        <v>0.96</v>
      </c>
      <c r="D44" s="227">
        <v>0.856</v>
      </c>
      <c r="E44" s="227">
        <v>0.856</v>
      </c>
      <c r="F44" s="227">
        <v>0.856</v>
      </c>
      <c r="G44" s="227">
        <v>0.856</v>
      </c>
      <c r="H44" s="227">
        <v>0.856</v>
      </c>
      <c r="I44" s="227">
        <v>0.7084</v>
      </c>
      <c r="J44" s="227">
        <v>0.7084</v>
      </c>
      <c r="K44" s="227">
        <v>0.7084</v>
      </c>
      <c r="L44" s="227">
        <v>0.7084</v>
      </c>
      <c r="M44" s="227">
        <v>0.7084</v>
      </c>
    </row>
    <row r="45" spans="1:13">
      <c r="A45" s="228">
        <v>4.3</v>
      </c>
      <c r="B45" s="227">
        <v>0.9553</v>
      </c>
      <c r="C45" s="227">
        <v>0.9553</v>
      </c>
      <c r="D45" s="227">
        <v>0.851</v>
      </c>
      <c r="E45" s="227">
        <v>0.851</v>
      </c>
      <c r="F45" s="227">
        <v>0.851</v>
      </c>
      <c r="G45" s="227">
        <v>0.851</v>
      </c>
      <c r="H45" s="227">
        <v>0.851</v>
      </c>
      <c r="I45" s="227">
        <v>0.702</v>
      </c>
      <c r="J45" s="227">
        <v>0.702</v>
      </c>
      <c r="K45" s="227">
        <v>0.702</v>
      </c>
      <c r="L45" s="227">
        <v>0.702</v>
      </c>
      <c r="M45" s="227">
        <v>0.702</v>
      </c>
    </row>
    <row r="46" spans="1:13">
      <c r="A46" s="228">
        <v>4.4</v>
      </c>
      <c r="B46" s="227">
        <v>0.9508</v>
      </c>
      <c r="C46" s="227">
        <v>0.9508</v>
      </c>
      <c r="D46" s="227">
        <v>0.8462</v>
      </c>
      <c r="E46" s="227">
        <v>0.8462</v>
      </c>
      <c r="F46" s="227">
        <v>0.8462</v>
      </c>
      <c r="G46" s="227">
        <v>0.8462</v>
      </c>
      <c r="H46" s="227">
        <v>0.8462</v>
      </c>
      <c r="I46" s="227">
        <v>0.6958</v>
      </c>
      <c r="J46" s="227">
        <v>0.6958</v>
      </c>
      <c r="K46" s="227">
        <v>0.6958</v>
      </c>
      <c r="L46" s="227">
        <v>0.6958</v>
      </c>
      <c r="M46" s="227">
        <v>0.6958</v>
      </c>
    </row>
    <row r="47" spans="1:13">
      <c r="A47" s="228">
        <v>4.5</v>
      </c>
      <c r="B47" s="227">
        <v>0.9464</v>
      </c>
      <c r="C47" s="227">
        <v>0.9464</v>
      </c>
      <c r="D47" s="227">
        <v>0.8415</v>
      </c>
      <c r="E47" s="227">
        <v>0.8415</v>
      </c>
      <c r="F47" s="227">
        <v>0.8415</v>
      </c>
      <c r="G47" s="227">
        <v>0.8415</v>
      </c>
      <c r="H47" s="227">
        <v>0.8415</v>
      </c>
      <c r="I47" s="227">
        <v>0.6899</v>
      </c>
      <c r="J47" s="227">
        <v>0.6899</v>
      </c>
      <c r="K47" s="227">
        <v>0.6899</v>
      </c>
      <c r="L47" s="227">
        <v>0.6899</v>
      </c>
      <c r="M47" s="227">
        <v>0.6899</v>
      </c>
    </row>
    <row r="48" spans="1:13">
      <c r="A48" s="228">
        <v>4.6</v>
      </c>
      <c r="B48" s="227">
        <v>0.9423</v>
      </c>
      <c r="C48" s="227">
        <v>0.9423</v>
      </c>
      <c r="D48" s="227">
        <v>0.8371</v>
      </c>
      <c r="E48" s="227">
        <v>0.8371</v>
      </c>
      <c r="F48" s="227">
        <v>0.8371</v>
      </c>
      <c r="G48" s="227">
        <v>0.8371</v>
      </c>
      <c r="H48" s="227">
        <v>0.8371</v>
      </c>
      <c r="I48" s="227">
        <v>0.6843</v>
      </c>
      <c r="J48" s="227">
        <v>0.6843</v>
      </c>
      <c r="K48" s="227">
        <v>0.6843</v>
      </c>
      <c r="L48" s="227">
        <v>0.6843</v>
      </c>
      <c r="M48" s="227">
        <v>0.6843</v>
      </c>
    </row>
    <row r="49" spans="1:13">
      <c r="A49" s="228">
        <v>4.7</v>
      </c>
      <c r="B49" s="227">
        <v>0.9383</v>
      </c>
      <c r="C49" s="227">
        <v>0.9383</v>
      </c>
      <c r="D49" s="227">
        <v>0.8328</v>
      </c>
      <c r="E49" s="227">
        <v>0.8328</v>
      </c>
      <c r="F49" s="227">
        <v>0.8328</v>
      </c>
      <c r="G49" s="227">
        <v>0.8328</v>
      </c>
      <c r="H49" s="227">
        <v>0.8328</v>
      </c>
      <c r="I49" s="227">
        <v>0.6788</v>
      </c>
      <c r="J49" s="227">
        <v>0.6788</v>
      </c>
      <c r="K49" s="227">
        <v>0.6788</v>
      </c>
      <c r="L49" s="227">
        <v>0.6788</v>
      </c>
      <c r="M49" s="227">
        <v>0.6788</v>
      </c>
    </row>
    <row r="50" spans="1:13">
      <c r="A50" s="228">
        <v>4.8</v>
      </c>
      <c r="B50" s="227">
        <v>0.9345</v>
      </c>
      <c r="C50" s="227">
        <v>0.9345</v>
      </c>
      <c r="D50" s="227">
        <v>0.8287</v>
      </c>
      <c r="E50" s="227">
        <v>0.8287</v>
      </c>
      <c r="F50" s="227">
        <v>0.8287</v>
      </c>
      <c r="G50" s="227">
        <v>0.8287</v>
      </c>
      <c r="H50" s="227">
        <v>0.8287</v>
      </c>
      <c r="I50" s="227">
        <v>0.6736</v>
      </c>
      <c r="J50" s="227">
        <v>0.6736</v>
      </c>
      <c r="K50" s="227">
        <v>0.6736</v>
      </c>
      <c r="L50" s="227">
        <v>0.6736</v>
      </c>
      <c r="M50" s="227">
        <v>0.6736</v>
      </c>
    </row>
    <row r="51" spans="1:13">
      <c r="A51" s="228">
        <v>4.9</v>
      </c>
      <c r="B51" s="227">
        <v>0.9308</v>
      </c>
      <c r="C51" s="227">
        <v>0.9308</v>
      </c>
      <c r="D51" s="227">
        <v>0.8248</v>
      </c>
      <c r="E51" s="227">
        <v>0.8248</v>
      </c>
      <c r="F51" s="227">
        <v>0.8248</v>
      </c>
      <c r="G51" s="227">
        <v>0.8248</v>
      </c>
      <c r="H51" s="227">
        <v>0.8248</v>
      </c>
      <c r="I51" s="227">
        <v>0.6685</v>
      </c>
      <c r="J51" s="227">
        <v>0.6685</v>
      </c>
      <c r="K51" s="227">
        <v>0.6685</v>
      </c>
      <c r="L51" s="227">
        <v>0.6685</v>
      </c>
      <c r="M51" s="227">
        <v>0.6685</v>
      </c>
    </row>
    <row r="52" spans="1:13">
      <c r="A52" s="228">
        <v>5</v>
      </c>
      <c r="B52" s="227">
        <v>0.9274</v>
      </c>
      <c r="C52" s="227">
        <v>0.9274</v>
      </c>
      <c r="D52" s="227">
        <v>0.8211</v>
      </c>
      <c r="E52" s="227">
        <v>0.8211</v>
      </c>
      <c r="F52" s="227">
        <v>0.8211</v>
      </c>
      <c r="G52" s="227">
        <v>0.8211</v>
      </c>
      <c r="H52" s="227">
        <v>0.8211</v>
      </c>
      <c r="I52" s="227">
        <v>0.6637</v>
      </c>
      <c r="J52" s="227">
        <v>0.6637</v>
      </c>
      <c r="K52" s="227">
        <v>0.6637</v>
      </c>
      <c r="L52" s="227">
        <v>0.6637</v>
      </c>
      <c r="M52" s="227">
        <v>0.6637</v>
      </c>
    </row>
    <row r="53" spans="1:13">
      <c r="A53" s="224">
        <v>5.1</v>
      </c>
      <c r="B53" s="227">
        <v>0.9241</v>
      </c>
      <c r="C53" s="227">
        <v>0.9241</v>
      </c>
      <c r="D53" s="227">
        <v>0.8175</v>
      </c>
      <c r="E53" s="227">
        <v>0.8175</v>
      </c>
      <c r="F53" s="227">
        <v>0.8175</v>
      </c>
      <c r="G53" s="227">
        <v>0.8175</v>
      </c>
      <c r="H53" s="227">
        <v>0.8175</v>
      </c>
      <c r="I53" s="227">
        <v>0.659</v>
      </c>
      <c r="J53" s="227">
        <v>0.659</v>
      </c>
      <c r="K53" s="227">
        <v>0.659</v>
      </c>
      <c r="L53" s="227">
        <v>0.659</v>
      </c>
      <c r="M53" s="227">
        <v>0.659</v>
      </c>
    </row>
    <row r="54" spans="1:13">
      <c r="A54" s="224">
        <v>5.2</v>
      </c>
      <c r="B54" s="227">
        <v>0.9209</v>
      </c>
      <c r="C54" s="227">
        <v>0.9209</v>
      </c>
      <c r="D54" s="227">
        <v>0.814</v>
      </c>
      <c r="E54" s="227">
        <v>0.814</v>
      </c>
      <c r="F54" s="227">
        <v>0.814</v>
      </c>
      <c r="G54" s="227">
        <v>0.814</v>
      </c>
      <c r="H54" s="227">
        <v>0.814</v>
      </c>
      <c r="I54" s="227">
        <v>0.6545</v>
      </c>
      <c r="J54" s="227">
        <v>0.6545</v>
      </c>
      <c r="K54" s="227">
        <v>0.6545</v>
      </c>
      <c r="L54" s="227">
        <v>0.6545</v>
      </c>
      <c r="M54" s="227">
        <v>0.6545</v>
      </c>
    </row>
    <row r="55" spans="1:13">
      <c r="A55" s="224">
        <v>5.3</v>
      </c>
      <c r="B55" s="227">
        <v>0.9179</v>
      </c>
      <c r="C55" s="227">
        <v>0.9179</v>
      </c>
      <c r="D55" s="227">
        <v>0.8106</v>
      </c>
      <c r="E55" s="227">
        <v>0.8106</v>
      </c>
      <c r="F55" s="227">
        <v>0.8106</v>
      </c>
      <c r="G55" s="227">
        <v>0.8106</v>
      </c>
      <c r="H55" s="227">
        <v>0.8106</v>
      </c>
      <c r="I55" s="227">
        <v>0.6502</v>
      </c>
      <c r="J55" s="227">
        <v>0.6502</v>
      </c>
      <c r="K55" s="227">
        <v>0.6502</v>
      </c>
      <c r="L55" s="227">
        <v>0.6502</v>
      </c>
      <c r="M55" s="227">
        <v>0.6502</v>
      </c>
    </row>
    <row r="56" spans="1:13">
      <c r="A56" s="224">
        <v>5.4</v>
      </c>
      <c r="B56" s="227">
        <v>0.9149</v>
      </c>
      <c r="C56" s="227">
        <v>0.9149</v>
      </c>
      <c r="D56" s="227">
        <v>0.8074</v>
      </c>
      <c r="E56" s="227">
        <v>0.8074</v>
      </c>
      <c r="F56" s="227">
        <v>0.8074</v>
      </c>
      <c r="G56" s="227">
        <v>0.8074</v>
      </c>
      <c r="H56" s="227">
        <v>0.8074</v>
      </c>
      <c r="I56" s="227">
        <v>0.6459</v>
      </c>
      <c r="J56" s="227">
        <v>0.6459</v>
      </c>
      <c r="K56" s="227">
        <v>0.6459</v>
      </c>
      <c r="L56" s="227">
        <v>0.6459</v>
      </c>
      <c r="M56" s="227">
        <v>0.6459</v>
      </c>
    </row>
    <row r="57" spans="1:13">
      <c r="A57" s="224">
        <v>5.5</v>
      </c>
      <c r="B57" s="227">
        <v>0.912</v>
      </c>
      <c r="C57" s="227">
        <v>0.912</v>
      </c>
      <c r="D57" s="227">
        <v>0.8042</v>
      </c>
      <c r="E57" s="227">
        <v>0.8042</v>
      </c>
      <c r="F57" s="227">
        <v>0.8042</v>
      </c>
      <c r="G57" s="227">
        <v>0.8042</v>
      </c>
      <c r="H57" s="227">
        <v>0.8042</v>
      </c>
      <c r="I57" s="227">
        <v>0.6418</v>
      </c>
      <c r="J57" s="227">
        <v>0.6418</v>
      </c>
      <c r="K57" s="227">
        <v>0.6418</v>
      </c>
      <c r="L57" s="227">
        <v>0.6418</v>
      </c>
      <c r="M57" s="227">
        <v>0.6418</v>
      </c>
    </row>
    <row r="58" spans="1:13">
      <c r="A58" s="224">
        <v>5.6</v>
      </c>
      <c r="B58" s="227">
        <v>0.9091</v>
      </c>
      <c r="C58" s="227">
        <v>0.9091</v>
      </c>
      <c r="D58" s="227">
        <v>0.8012</v>
      </c>
      <c r="E58" s="227">
        <v>0.8012</v>
      </c>
      <c r="F58" s="227">
        <v>0.8012</v>
      </c>
      <c r="G58" s="227">
        <v>0.8012</v>
      </c>
      <c r="H58" s="227">
        <v>0.8012</v>
      </c>
      <c r="I58" s="227">
        <v>0.6379</v>
      </c>
      <c r="J58" s="227">
        <v>0.6379</v>
      </c>
      <c r="K58" s="227">
        <v>0.6379</v>
      </c>
      <c r="L58" s="227">
        <v>0.6379</v>
      </c>
      <c r="M58" s="227">
        <v>0.6379</v>
      </c>
    </row>
    <row r="59" spans="1:13">
      <c r="A59" s="228">
        <v>5.7</v>
      </c>
      <c r="B59" s="227">
        <v>0.9064</v>
      </c>
      <c r="C59" s="227">
        <v>0.9064</v>
      </c>
      <c r="D59" s="227">
        <v>0.7982</v>
      </c>
      <c r="E59" s="227">
        <v>0.7982</v>
      </c>
      <c r="F59" s="227">
        <v>0.7982</v>
      </c>
      <c r="G59" s="227">
        <v>0.7982</v>
      </c>
      <c r="H59" s="227">
        <v>0.7982</v>
      </c>
      <c r="I59" s="227">
        <v>0.6341</v>
      </c>
      <c r="J59" s="227">
        <v>0.6341</v>
      </c>
      <c r="K59" s="227">
        <v>0.6341</v>
      </c>
      <c r="L59" s="227">
        <v>0.6341</v>
      </c>
      <c r="M59" s="227">
        <v>0.6341</v>
      </c>
    </row>
    <row r="60" spans="1:13">
      <c r="A60" s="224">
        <v>5.8</v>
      </c>
      <c r="B60" s="227">
        <v>0.9038</v>
      </c>
      <c r="C60" s="227">
        <v>0.9038</v>
      </c>
      <c r="D60" s="227">
        <v>0.7954</v>
      </c>
      <c r="E60" s="227">
        <v>0.7954</v>
      </c>
      <c r="F60" s="227">
        <v>0.7954</v>
      </c>
      <c r="G60" s="227">
        <v>0.7954</v>
      </c>
      <c r="H60" s="227">
        <v>0.7954</v>
      </c>
      <c r="I60" s="227">
        <v>0.6304</v>
      </c>
      <c r="J60" s="227">
        <v>0.6304</v>
      </c>
      <c r="K60" s="227">
        <v>0.6304</v>
      </c>
      <c r="L60" s="227">
        <v>0.6304</v>
      </c>
      <c r="M60" s="227">
        <v>0.6304</v>
      </c>
    </row>
    <row r="61" spans="1:13">
      <c r="A61" s="224">
        <v>5.9</v>
      </c>
      <c r="B61" s="227">
        <v>0.9013</v>
      </c>
      <c r="C61" s="227">
        <v>0.9013</v>
      </c>
      <c r="D61" s="227">
        <v>0.7927</v>
      </c>
      <c r="E61" s="227">
        <v>0.7927</v>
      </c>
      <c r="F61" s="227">
        <v>0.7927</v>
      </c>
      <c r="G61" s="227">
        <v>0.7927</v>
      </c>
      <c r="H61" s="227">
        <v>0.7927</v>
      </c>
      <c r="I61" s="227">
        <v>0.6269</v>
      </c>
      <c r="J61" s="227">
        <v>0.6269</v>
      </c>
      <c r="K61" s="227">
        <v>0.6269</v>
      </c>
      <c r="L61" s="227">
        <v>0.6269</v>
      </c>
      <c r="M61" s="227">
        <v>0.6269</v>
      </c>
    </row>
    <row r="62" spans="1:13">
      <c r="A62" s="224">
        <v>6</v>
      </c>
      <c r="B62" s="227">
        <v>0.8989</v>
      </c>
      <c r="C62" s="227">
        <v>0.8989</v>
      </c>
      <c r="D62" s="227">
        <v>0.7902</v>
      </c>
      <c r="E62" s="227">
        <v>0.7902</v>
      </c>
      <c r="F62" s="227">
        <v>0.7902</v>
      </c>
      <c r="G62" s="227">
        <v>0.7902</v>
      </c>
      <c r="H62" s="227">
        <v>0.7902</v>
      </c>
      <c r="I62" s="227">
        <v>0.6235</v>
      </c>
      <c r="J62" s="227">
        <v>0.6235</v>
      </c>
      <c r="K62" s="227">
        <v>0.6235</v>
      </c>
      <c r="L62" s="227">
        <v>0.6235</v>
      </c>
      <c r="M62" s="227">
        <v>0.6235</v>
      </c>
    </row>
    <row r="63" spans="1:13">
      <c r="A63" s="224">
        <v>6.1</v>
      </c>
      <c r="B63" s="227">
        <v>0.8965</v>
      </c>
      <c r="C63" s="227">
        <v>0.8965</v>
      </c>
      <c r="D63" s="227">
        <v>0.7877</v>
      </c>
      <c r="E63" s="227">
        <v>0.7877</v>
      </c>
      <c r="F63" s="227">
        <v>0.7877</v>
      </c>
      <c r="G63" s="227">
        <v>0.7877</v>
      </c>
      <c r="H63" s="227">
        <v>0.7877</v>
      </c>
      <c r="I63" s="227">
        <v>0.6203</v>
      </c>
      <c r="J63" s="227">
        <v>0.6203</v>
      </c>
      <c r="K63" s="227">
        <v>0.6203</v>
      </c>
      <c r="L63" s="227">
        <v>0.6203</v>
      </c>
      <c r="M63" s="227">
        <v>0.6203</v>
      </c>
    </row>
    <row r="64" spans="1:13">
      <c r="A64" s="224">
        <v>6.2</v>
      </c>
      <c r="B64" s="227">
        <v>0.8943</v>
      </c>
      <c r="C64" s="227">
        <v>0.8943</v>
      </c>
      <c r="D64" s="227">
        <v>0.7852</v>
      </c>
      <c r="E64" s="227">
        <v>0.7852</v>
      </c>
      <c r="F64" s="227">
        <v>0.7852</v>
      </c>
      <c r="G64" s="227">
        <v>0.7852</v>
      </c>
      <c r="H64" s="227">
        <v>0.7852</v>
      </c>
      <c r="I64" s="227">
        <v>0.6172</v>
      </c>
      <c r="J64" s="227">
        <v>0.6172</v>
      </c>
      <c r="K64" s="227">
        <v>0.6172</v>
      </c>
      <c r="L64" s="227">
        <v>0.6172</v>
      </c>
      <c r="M64" s="227">
        <v>0.6172</v>
      </c>
    </row>
    <row r="65" spans="1:13">
      <c r="A65" s="224">
        <v>6.3</v>
      </c>
      <c r="B65" s="227">
        <v>0.892</v>
      </c>
      <c r="C65" s="227">
        <v>0.892</v>
      </c>
      <c r="D65" s="227">
        <v>0.7828</v>
      </c>
      <c r="E65" s="227">
        <v>0.7828</v>
      </c>
      <c r="F65" s="227">
        <v>0.7828</v>
      </c>
      <c r="G65" s="227">
        <v>0.7828</v>
      </c>
      <c r="H65" s="227">
        <v>0.7828</v>
      </c>
      <c r="I65" s="227">
        <v>0.6141</v>
      </c>
      <c r="J65" s="227">
        <v>0.6141</v>
      </c>
      <c r="K65" s="227">
        <v>0.6141</v>
      </c>
      <c r="L65" s="227">
        <v>0.6141</v>
      </c>
      <c r="M65" s="227">
        <v>0.6141</v>
      </c>
    </row>
    <row r="66" spans="1:13">
      <c r="A66" s="224">
        <v>6.4</v>
      </c>
      <c r="B66" s="227">
        <v>0.8899</v>
      </c>
      <c r="C66" s="227">
        <v>0.8899</v>
      </c>
      <c r="D66" s="227">
        <v>0.7804</v>
      </c>
      <c r="E66" s="227">
        <v>0.7804</v>
      </c>
      <c r="F66" s="227">
        <v>0.7804</v>
      </c>
      <c r="G66" s="227">
        <v>0.7804</v>
      </c>
      <c r="H66" s="227">
        <v>0.7804</v>
      </c>
      <c r="I66" s="227">
        <v>0.611</v>
      </c>
      <c r="J66" s="227">
        <v>0.611</v>
      </c>
      <c r="K66" s="227">
        <v>0.611</v>
      </c>
      <c r="L66" s="227">
        <v>0.611</v>
      </c>
      <c r="M66" s="227">
        <v>0.611</v>
      </c>
    </row>
    <row r="67" spans="1:13">
      <c r="A67" s="224">
        <v>6.5</v>
      </c>
      <c r="B67" s="227">
        <v>0.8878</v>
      </c>
      <c r="C67" s="227">
        <v>0.8878</v>
      </c>
      <c r="D67" s="227">
        <v>0.7781</v>
      </c>
      <c r="E67" s="227">
        <v>0.7781</v>
      </c>
      <c r="F67" s="227">
        <v>0.7781</v>
      </c>
      <c r="G67" s="227">
        <v>0.7781</v>
      </c>
      <c r="H67" s="227">
        <v>0.7781</v>
      </c>
      <c r="I67" s="227">
        <v>0.608</v>
      </c>
      <c r="J67" s="227">
        <v>0.608</v>
      </c>
      <c r="K67" s="227">
        <v>0.608</v>
      </c>
      <c r="L67" s="227">
        <v>0.608</v>
      </c>
      <c r="M67" s="227">
        <v>0.608</v>
      </c>
    </row>
    <row r="68" spans="1:13">
      <c r="A68" s="224">
        <v>6.6</v>
      </c>
      <c r="B68" s="227">
        <v>0.8858</v>
      </c>
      <c r="C68" s="227">
        <v>0.8858</v>
      </c>
      <c r="D68" s="227">
        <v>0.7758</v>
      </c>
      <c r="E68" s="227">
        <v>0.7758</v>
      </c>
      <c r="F68" s="227">
        <v>0.7758</v>
      </c>
      <c r="G68" s="227">
        <v>0.7758</v>
      </c>
      <c r="H68" s="227">
        <v>0.7758</v>
      </c>
      <c r="I68" s="227">
        <v>0.605</v>
      </c>
      <c r="J68" s="227">
        <v>0.605</v>
      </c>
      <c r="K68" s="227">
        <v>0.605</v>
      </c>
      <c r="L68" s="227">
        <v>0.605</v>
      </c>
      <c r="M68" s="227">
        <v>0.605</v>
      </c>
    </row>
    <row r="69" spans="1:13">
      <c r="A69" s="224">
        <v>6.7</v>
      </c>
      <c r="B69" s="227">
        <v>0.8838</v>
      </c>
      <c r="C69" s="227">
        <v>0.8838</v>
      </c>
      <c r="D69" s="227">
        <v>0.7736</v>
      </c>
      <c r="E69" s="227">
        <v>0.7736</v>
      </c>
      <c r="F69" s="227">
        <v>0.7736</v>
      </c>
      <c r="G69" s="227">
        <v>0.7736</v>
      </c>
      <c r="H69" s="227">
        <v>0.7736</v>
      </c>
      <c r="I69" s="227">
        <v>0.6021</v>
      </c>
      <c r="J69" s="227">
        <v>0.6021</v>
      </c>
      <c r="K69" s="227">
        <v>0.6021</v>
      </c>
      <c r="L69" s="227">
        <v>0.6021</v>
      </c>
      <c r="M69" s="227">
        <v>0.6021</v>
      </c>
    </row>
    <row r="70" spans="1:13">
      <c r="A70" s="224">
        <v>6.8</v>
      </c>
      <c r="B70" s="227">
        <v>0.8819</v>
      </c>
      <c r="C70" s="227">
        <v>0.8819</v>
      </c>
      <c r="D70" s="227">
        <v>0.7716</v>
      </c>
      <c r="E70" s="227">
        <v>0.7716</v>
      </c>
      <c r="F70" s="227">
        <v>0.7716</v>
      </c>
      <c r="G70" s="227">
        <v>0.7716</v>
      </c>
      <c r="H70" s="227">
        <v>0.7716</v>
      </c>
      <c r="I70" s="227">
        <v>0.5993</v>
      </c>
      <c r="J70" s="227">
        <v>0.5993</v>
      </c>
      <c r="K70" s="227">
        <v>0.5993</v>
      </c>
      <c r="L70" s="227">
        <v>0.5993</v>
      </c>
      <c r="M70" s="227">
        <v>0.5993</v>
      </c>
    </row>
    <row r="71" spans="1:13">
      <c r="A71" s="224">
        <v>6.9</v>
      </c>
      <c r="B71" s="227">
        <v>0.88</v>
      </c>
      <c r="C71" s="227">
        <v>0.88</v>
      </c>
      <c r="D71" s="227">
        <v>0.7695</v>
      </c>
      <c r="E71" s="227">
        <v>0.7695</v>
      </c>
      <c r="F71" s="227">
        <v>0.7695</v>
      </c>
      <c r="G71" s="227">
        <v>0.7695</v>
      </c>
      <c r="H71" s="227">
        <v>0.7695</v>
      </c>
      <c r="I71" s="227">
        <v>0.5964</v>
      </c>
      <c r="J71" s="227">
        <v>0.5964</v>
      </c>
      <c r="K71" s="227">
        <v>0.5964</v>
      </c>
      <c r="L71" s="227">
        <v>0.5964</v>
      </c>
      <c r="M71" s="227">
        <v>0.5964</v>
      </c>
    </row>
    <row r="72" spans="1:13">
      <c r="A72" s="224">
        <v>7</v>
      </c>
      <c r="B72" s="227">
        <v>0.8782</v>
      </c>
      <c r="C72" s="227">
        <v>0.8782</v>
      </c>
      <c r="D72" s="227">
        <v>0.7675</v>
      </c>
      <c r="E72" s="227">
        <v>0.7675</v>
      </c>
      <c r="F72" s="227">
        <v>0.7675</v>
      </c>
      <c r="G72" s="227">
        <v>0.7675</v>
      </c>
      <c r="H72" s="227">
        <v>0.7675</v>
      </c>
      <c r="I72" s="227">
        <v>0.5936</v>
      </c>
      <c r="J72" s="227">
        <v>0.5936</v>
      </c>
      <c r="K72" s="227">
        <v>0.5936</v>
      </c>
      <c r="L72" s="227">
        <v>0.5936</v>
      </c>
      <c r="M72" s="227">
        <v>0.5936</v>
      </c>
    </row>
    <row r="73" spans="1:13">
      <c r="A73" s="224">
        <v>7.1</v>
      </c>
      <c r="B73" s="227">
        <v>0.8766</v>
      </c>
      <c r="C73" s="227">
        <v>0.8766</v>
      </c>
      <c r="D73" s="227">
        <v>0.7657</v>
      </c>
      <c r="E73" s="227">
        <v>0.7657</v>
      </c>
      <c r="F73" s="227">
        <v>0.7657</v>
      </c>
      <c r="G73" s="227">
        <v>0.7657</v>
      </c>
      <c r="H73" s="227">
        <v>0.7657</v>
      </c>
      <c r="I73" s="227">
        <v>0.5911</v>
      </c>
      <c r="J73" s="227">
        <v>0.5911</v>
      </c>
      <c r="K73" s="227">
        <v>0.5911</v>
      </c>
      <c r="L73" s="227">
        <v>0.5911</v>
      </c>
      <c r="M73" s="227">
        <v>0.5911</v>
      </c>
    </row>
    <row r="74" spans="1:13">
      <c r="A74" s="224">
        <v>7.2</v>
      </c>
      <c r="B74" s="227">
        <v>0.8749</v>
      </c>
      <c r="C74" s="227">
        <v>0.8749</v>
      </c>
      <c r="D74" s="227">
        <v>0.7638</v>
      </c>
      <c r="E74" s="227">
        <v>0.7638</v>
      </c>
      <c r="F74" s="227">
        <v>0.7638</v>
      </c>
      <c r="G74" s="227">
        <v>0.7638</v>
      </c>
      <c r="H74" s="227">
        <v>0.7638</v>
      </c>
      <c r="I74" s="227">
        <v>0.5886</v>
      </c>
      <c r="J74" s="227">
        <v>0.5886</v>
      </c>
      <c r="K74" s="227">
        <v>0.5886</v>
      </c>
      <c r="L74" s="227">
        <v>0.5886</v>
      </c>
      <c r="M74" s="227">
        <v>0.5886</v>
      </c>
    </row>
    <row r="75" spans="1:13">
      <c r="A75" s="224">
        <v>7.3</v>
      </c>
      <c r="B75" s="227">
        <v>0.8733</v>
      </c>
      <c r="C75" s="227">
        <v>0.8733</v>
      </c>
      <c r="D75" s="227">
        <v>0.762</v>
      </c>
      <c r="E75" s="227">
        <v>0.762</v>
      </c>
      <c r="F75" s="227">
        <v>0.762</v>
      </c>
      <c r="G75" s="227">
        <v>0.762</v>
      </c>
      <c r="H75" s="227">
        <v>0.762</v>
      </c>
      <c r="I75" s="227">
        <v>0.5862</v>
      </c>
      <c r="J75" s="227">
        <v>0.5862</v>
      </c>
      <c r="K75" s="227">
        <v>0.5862</v>
      </c>
      <c r="L75" s="227">
        <v>0.5862</v>
      </c>
      <c r="M75" s="227">
        <v>0.5862</v>
      </c>
    </row>
    <row r="76" spans="1:13">
      <c r="A76" s="224">
        <v>7.4</v>
      </c>
      <c r="B76" s="227">
        <v>0.8716</v>
      </c>
      <c r="C76" s="227">
        <v>0.8716</v>
      </c>
      <c r="D76" s="227">
        <v>0.7603</v>
      </c>
      <c r="E76" s="227">
        <v>0.7603</v>
      </c>
      <c r="F76" s="227">
        <v>0.7603</v>
      </c>
      <c r="G76" s="227">
        <v>0.7603</v>
      </c>
      <c r="H76" s="227">
        <v>0.7603</v>
      </c>
      <c r="I76" s="227">
        <v>0.5838</v>
      </c>
      <c r="J76" s="227">
        <v>0.5838</v>
      </c>
      <c r="K76" s="227">
        <v>0.5838</v>
      </c>
      <c r="L76" s="227">
        <v>0.5838</v>
      </c>
      <c r="M76" s="227">
        <v>0.5838</v>
      </c>
    </row>
    <row r="77" spans="1:13">
      <c r="A77" s="224">
        <v>7.5</v>
      </c>
      <c r="B77" s="227">
        <v>0.87</v>
      </c>
      <c r="C77" s="227">
        <v>0.87</v>
      </c>
      <c r="D77" s="227">
        <v>0.7585</v>
      </c>
      <c r="E77" s="227">
        <v>0.7585</v>
      </c>
      <c r="F77" s="227">
        <v>0.7585</v>
      </c>
      <c r="G77" s="227">
        <v>0.7585</v>
      </c>
      <c r="H77" s="227">
        <v>0.7585</v>
      </c>
      <c r="I77" s="227">
        <v>0.5814</v>
      </c>
      <c r="J77" s="227">
        <v>0.5814</v>
      </c>
      <c r="K77" s="227">
        <v>0.5814</v>
      </c>
      <c r="L77" s="227">
        <v>0.5814</v>
      </c>
      <c r="M77" s="227">
        <v>0.5814</v>
      </c>
    </row>
    <row r="78" spans="1:13">
      <c r="A78" s="224">
        <v>7.6</v>
      </c>
      <c r="B78" s="227">
        <v>0.8684</v>
      </c>
      <c r="C78" s="227">
        <v>0.8684</v>
      </c>
      <c r="D78" s="227">
        <v>0.7568</v>
      </c>
      <c r="E78" s="227">
        <v>0.7568</v>
      </c>
      <c r="F78" s="227">
        <v>0.7568</v>
      </c>
      <c r="G78" s="227">
        <v>0.7568</v>
      </c>
      <c r="H78" s="227">
        <v>0.7568</v>
      </c>
      <c r="I78" s="227">
        <v>0.579</v>
      </c>
      <c r="J78" s="227">
        <v>0.579</v>
      </c>
      <c r="K78" s="227">
        <v>0.579</v>
      </c>
      <c r="L78" s="227">
        <v>0.579</v>
      </c>
      <c r="M78" s="227">
        <v>0.579</v>
      </c>
    </row>
    <row r="79" spans="1:13">
      <c r="A79" s="224">
        <v>7.7</v>
      </c>
      <c r="B79" s="227">
        <v>0.8669</v>
      </c>
      <c r="C79" s="227">
        <v>0.8669</v>
      </c>
      <c r="D79" s="227">
        <v>0.755</v>
      </c>
      <c r="E79" s="227">
        <v>0.755</v>
      </c>
      <c r="F79" s="227">
        <v>0.755</v>
      </c>
      <c r="G79" s="227">
        <v>0.755</v>
      </c>
      <c r="H79" s="227">
        <v>0.755</v>
      </c>
      <c r="I79" s="227">
        <v>0.5767</v>
      </c>
      <c r="J79" s="227">
        <v>0.5767</v>
      </c>
      <c r="K79" s="227">
        <v>0.5767</v>
      </c>
      <c r="L79" s="227">
        <v>0.5767</v>
      </c>
      <c r="M79" s="227">
        <v>0.5767</v>
      </c>
    </row>
    <row r="80" spans="1:13">
      <c r="A80" s="224">
        <v>7.8</v>
      </c>
      <c r="B80" s="227">
        <v>0.8654</v>
      </c>
      <c r="C80" s="227">
        <v>0.8654</v>
      </c>
      <c r="D80" s="227">
        <v>0.7533</v>
      </c>
      <c r="E80" s="227">
        <v>0.7533</v>
      </c>
      <c r="F80" s="227">
        <v>0.7533</v>
      </c>
      <c r="G80" s="227">
        <v>0.7533</v>
      </c>
      <c r="H80" s="227">
        <v>0.7533</v>
      </c>
      <c r="I80" s="227">
        <v>0.5745</v>
      </c>
      <c r="J80" s="227">
        <v>0.5745</v>
      </c>
      <c r="K80" s="227">
        <v>0.5745</v>
      </c>
      <c r="L80" s="227">
        <v>0.5745</v>
      </c>
      <c r="M80" s="227">
        <v>0.5745</v>
      </c>
    </row>
    <row r="81" spans="1:13">
      <c r="A81" s="224">
        <v>7.9</v>
      </c>
      <c r="B81" s="227">
        <v>0.8638</v>
      </c>
      <c r="C81" s="227">
        <v>0.8638</v>
      </c>
      <c r="D81" s="227">
        <v>0.7517</v>
      </c>
      <c r="E81" s="227">
        <v>0.7517</v>
      </c>
      <c r="F81" s="227">
        <v>0.7517</v>
      </c>
      <c r="G81" s="227">
        <v>0.7517</v>
      </c>
      <c r="H81" s="227">
        <v>0.7517</v>
      </c>
      <c r="I81" s="227">
        <v>0.5722</v>
      </c>
      <c r="J81" s="227">
        <v>0.5722</v>
      </c>
      <c r="K81" s="227">
        <v>0.5722</v>
      </c>
      <c r="L81" s="227">
        <v>0.5722</v>
      </c>
      <c r="M81" s="227">
        <v>0.5722</v>
      </c>
    </row>
    <row r="82" spans="1:13">
      <c r="A82" s="224">
        <v>8</v>
      </c>
      <c r="B82" s="227">
        <v>0.8624</v>
      </c>
      <c r="C82" s="227">
        <v>0.8624</v>
      </c>
      <c r="D82" s="227">
        <v>0.75</v>
      </c>
      <c r="E82" s="227">
        <v>0.75</v>
      </c>
      <c r="F82" s="227">
        <v>0.75</v>
      </c>
      <c r="G82" s="227">
        <v>0.75</v>
      </c>
      <c r="H82" s="227">
        <v>0.75</v>
      </c>
      <c r="I82" s="227">
        <v>0.5699</v>
      </c>
      <c r="J82" s="227">
        <v>0.5699</v>
      </c>
      <c r="K82" s="227">
        <v>0.5699</v>
      </c>
      <c r="L82" s="227">
        <v>0.5699</v>
      </c>
      <c r="M82" s="227">
        <v>0.5699</v>
      </c>
    </row>
    <row r="83" spans="1:13">
      <c r="A83" s="224">
        <v>8.1</v>
      </c>
      <c r="B83" s="227">
        <v>0.861</v>
      </c>
      <c r="C83" s="227">
        <v>0.861</v>
      </c>
      <c r="D83" s="227">
        <v>0.7485</v>
      </c>
      <c r="E83" s="227">
        <v>0.7485</v>
      </c>
      <c r="F83" s="227">
        <v>0.7485</v>
      </c>
      <c r="G83" s="227">
        <v>0.7485</v>
      </c>
      <c r="H83" s="227">
        <v>0.7485</v>
      </c>
      <c r="I83" s="227">
        <v>0.5678</v>
      </c>
      <c r="J83" s="227">
        <v>0.5678</v>
      </c>
      <c r="K83" s="227">
        <v>0.5678</v>
      </c>
      <c r="L83" s="227">
        <v>0.5678</v>
      </c>
      <c r="M83" s="227">
        <v>0.5678</v>
      </c>
    </row>
    <row r="84" spans="1:13">
      <c r="A84" s="224">
        <v>8.2</v>
      </c>
      <c r="B84" s="227">
        <v>0.8597</v>
      </c>
      <c r="C84" s="227">
        <v>0.8597</v>
      </c>
      <c r="D84" s="227">
        <v>0.747</v>
      </c>
      <c r="E84" s="227">
        <v>0.747</v>
      </c>
      <c r="F84" s="227">
        <v>0.747</v>
      </c>
      <c r="G84" s="227">
        <v>0.747</v>
      </c>
      <c r="H84" s="227">
        <v>0.747</v>
      </c>
      <c r="I84" s="227">
        <v>0.5659</v>
      </c>
      <c r="J84" s="227">
        <v>0.5659</v>
      </c>
      <c r="K84" s="227">
        <v>0.5659</v>
      </c>
      <c r="L84" s="227">
        <v>0.5659</v>
      </c>
      <c r="M84" s="227">
        <v>0.5659</v>
      </c>
    </row>
    <row r="85" spans="1:13">
      <c r="A85" s="224">
        <v>8.3</v>
      </c>
      <c r="B85" s="227">
        <v>0.8584</v>
      </c>
      <c r="C85" s="227">
        <v>0.8584</v>
      </c>
      <c r="D85" s="227">
        <v>0.7456</v>
      </c>
      <c r="E85" s="227">
        <v>0.7456</v>
      </c>
      <c r="F85" s="227">
        <v>0.7456</v>
      </c>
      <c r="G85" s="227">
        <v>0.7456</v>
      </c>
      <c r="H85" s="227">
        <v>0.7456</v>
      </c>
      <c r="I85" s="227">
        <v>0.5639</v>
      </c>
      <c r="J85" s="227">
        <v>0.5639</v>
      </c>
      <c r="K85" s="227">
        <v>0.5639</v>
      </c>
      <c r="L85" s="227">
        <v>0.5639</v>
      </c>
      <c r="M85" s="227">
        <v>0.5639</v>
      </c>
    </row>
    <row r="86" spans="1:13">
      <c r="A86" s="224">
        <v>8.4</v>
      </c>
      <c r="B86" s="227">
        <v>0.8571</v>
      </c>
      <c r="C86" s="227">
        <v>0.8571</v>
      </c>
      <c r="D86" s="227">
        <v>0.7442</v>
      </c>
      <c r="E86" s="227">
        <v>0.7442</v>
      </c>
      <c r="F86" s="227">
        <v>0.7442</v>
      </c>
      <c r="G86" s="227">
        <v>0.7442</v>
      </c>
      <c r="H86" s="227">
        <v>0.7442</v>
      </c>
      <c r="I86" s="227">
        <v>0.5619</v>
      </c>
      <c r="J86" s="227">
        <v>0.5619</v>
      </c>
      <c r="K86" s="227">
        <v>0.5619</v>
      </c>
      <c r="L86" s="227">
        <v>0.5619</v>
      </c>
      <c r="M86" s="227">
        <v>0.5619</v>
      </c>
    </row>
    <row r="87" spans="1:13">
      <c r="A87" s="224">
        <v>8.5</v>
      </c>
      <c r="B87" s="227">
        <v>0.8558</v>
      </c>
      <c r="C87" s="227">
        <v>0.8558</v>
      </c>
      <c r="D87" s="227">
        <v>0.7427</v>
      </c>
      <c r="E87" s="227">
        <v>0.7427</v>
      </c>
      <c r="F87" s="227">
        <v>0.7427</v>
      </c>
      <c r="G87" s="227">
        <v>0.7427</v>
      </c>
      <c r="H87" s="227">
        <v>0.7427</v>
      </c>
      <c r="I87" s="227">
        <v>0.5599</v>
      </c>
      <c r="J87" s="227">
        <v>0.5599</v>
      </c>
      <c r="K87" s="227">
        <v>0.5599</v>
      </c>
      <c r="L87" s="227">
        <v>0.5599</v>
      </c>
      <c r="M87" s="227">
        <v>0.5599</v>
      </c>
    </row>
    <row r="88" spans="1:13">
      <c r="A88" s="224">
        <v>8.6</v>
      </c>
      <c r="B88" s="227">
        <v>0.8545</v>
      </c>
      <c r="C88" s="227">
        <v>0.8545</v>
      </c>
      <c r="D88" s="227">
        <v>0.7413</v>
      </c>
      <c r="E88" s="227">
        <v>0.7413</v>
      </c>
      <c r="F88" s="227">
        <v>0.7413</v>
      </c>
      <c r="G88" s="227">
        <v>0.7413</v>
      </c>
      <c r="H88" s="227">
        <v>0.7413</v>
      </c>
      <c r="I88" s="227">
        <v>0.558</v>
      </c>
      <c r="J88" s="227">
        <v>0.558</v>
      </c>
      <c r="K88" s="227">
        <v>0.558</v>
      </c>
      <c r="L88" s="227">
        <v>0.558</v>
      </c>
      <c r="M88" s="227">
        <v>0.558</v>
      </c>
    </row>
    <row r="89" spans="1:13">
      <c r="A89" s="224">
        <v>8.7</v>
      </c>
      <c r="B89" s="227">
        <v>0.8533</v>
      </c>
      <c r="C89" s="227">
        <v>0.8533</v>
      </c>
      <c r="D89" s="227">
        <v>0.7399</v>
      </c>
      <c r="E89" s="227">
        <v>0.7399</v>
      </c>
      <c r="F89" s="227">
        <v>0.7399</v>
      </c>
      <c r="G89" s="227">
        <v>0.7399</v>
      </c>
      <c r="H89" s="227">
        <v>0.7399</v>
      </c>
      <c r="I89" s="227">
        <v>0.556</v>
      </c>
      <c r="J89" s="227">
        <v>0.556</v>
      </c>
      <c r="K89" s="227">
        <v>0.556</v>
      </c>
      <c r="L89" s="227">
        <v>0.556</v>
      </c>
      <c r="M89" s="227">
        <v>0.556</v>
      </c>
    </row>
    <row r="90" spans="1:13">
      <c r="A90" s="224">
        <v>8.8</v>
      </c>
      <c r="B90" s="227">
        <v>0.8521</v>
      </c>
      <c r="C90" s="227">
        <v>0.8521</v>
      </c>
      <c r="D90" s="227">
        <v>0.7385</v>
      </c>
      <c r="E90" s="227">
        <v>0.7385</v>
      </c>
      <c r="F90" s="227">
        <v>0.7385</v>
      </c>
      <c r="G90" s="227">
        <v>0.7385</v>
      </c>
      <c r="H90" s="227">
        <v>0.7385</v>
      </c>
      <c r="I90" s="227">
        <v>0.5542</v>
      </c>
      <c r="J90" s="227">
        <v>0.5542</v>
      </c>
      <c r="K90" s="227">
        <v>0.5542</v>
      </c>
      <c r="L90" s="227">
        <v>0.5542</v>
      </c>
      <c r="M90" s="227">
        <v>0.5542</v>
      </c>
    </row>
    <row r="91" spans="1:13">
      <c r="A91" s="224">
        <v>8.9</v>
      </c>
      <c r="B91" s="227">
        <v>0.851</v>
      </c>
      <c r="C91" s="227">
        <v>0.851</v>
      </c>
      <c r="D91" s="227">
        <v>0.7372</v>
      </c>
      <c r="E91" s="227">
        <v>0.7372</v>
      </c>
      <c r="F91" s="227">
        <v>0.7372</v>
      </c>
      <c r="G91" s="227">
        <v>0.7372</v>
      </c>
      <c r="H91" s="227">
        <v>0.7372</v>
      </c>
      <c r="I91" s="227">
        <v>0.5523</v>
      </c>
      <c r="J91" s="227">
        <v>0.5523</v>
      </c>
      <c r="K91" s="227">
        <v>0.5523</v>
      </c>
      <c r="L91" s="227">
        <v>0.5523</v>
      </c>
      <c r="M91" s="227">
        <v>0.5523</v>
      </c>
    </row>
    <row r="92" spans="1:13">
      <c r="A92" s="228">
        <v>9</v>
      </c>
      <c r="B92" s="227">
        <v>0.8498</v>
      </c>
      <c r="C92" s="227">
        <v>0.8498</v>
      </c>
      <c r="D92" s="227">
        <v>0.7359</v>
      </c>
      <c r="E92" s="227">
        <v>0.7359</v>
      </c>
      <c r="F92" s="227">
        <v>0.7359</v>
      </c>
      <c r="G92" s="227">
        <v>0.7359</v>
      </c>
      <c r="H92" s="227">
        <v>0.7359</v>
      </c>
      <c r="I92" s="227">
        <v>0.5505</v>
      </c>
      <c r="J92" s="227">
        <v>0.5505</v>
      </c>
      <c r="K92" s="227">
        <v>0.5505</v>
      </c>
      <c r="L92" s="227">
        <v>0.5505</v>
      </c>
      <c r="M92" s="227">
        <v>0.5505</v>
      </c>
    </row>
    <row r="93" spans="1:13">
      <c r="A93" s="228">
        <v>9.1</v>
      </c>
      <c r="B93" s="227">
        <v>0.8487</v>
      </c>
      <c r="C93" s="227">
        <v>0.8487</v>
      </c>
      <c r="D93" s="227">
        <v>0.7347</v>
      </c>
      <c r="E93" s="227">
        <v>0.7347</v>
      </c>
      <c r="F93" s="227">
        <v>0.7347</v>
      </c>
      <c r="G93" s="227">
        <v>0.7347</v>
      </c>
      <c r="H93" s="227">
        <v>0.7347</v>
      </c>
      <c r="I93" s="227">
        <v>0.5488</v>
      </c>
      <c r="J93" s="227">
        <v>0.5488</v>
      </c>
      <c r="K93" s="227">
        <v>0.5488</v>
      </c>
      <c r="L93" s="227">
        <v>0.5488</v>
      </c>
      <c r="M93" s="227">
        <v>0.5488</v>
      </c>
    </row>
    <row r="94" spans="1:13">
      <c r="A94" s="228">
        <v>9.2</v>
      </c>
      <c r="B94" s="227">
        <v>0.8477</v>
      </c>
      <c r="C94" s="227">
        <v>0.8477</v>
      </c>
      <c r="D94" s="227">
        <v>0.7335</v>
      </c>
      <c r="E94" s="227">
        <v>0.7335</v>
      </c>
      <c r="F94" s="227">
        <v>0.7335</v>
      </c>
      <c r="G94" s="227">
        <v>0.7335</v>
      </c>
      <c r="H94" s="227">
        <v>0.7335</v>
      </c>
      <c r="I94" s="227">
        <v>0.5471</v>
      </c>
      <c r="J94" s="227">
        <v>0.5471</v>
      </c>
      <c r="K94" s="227">
        <v>0.5471</v>
      </c>
      <c r="L94" s="227">
        <v>0.5471</v>
      </c>
      <c r="M94" s="227">
        <v>0.5471</v>
      </c>
    </row>
    <row r="95" spans="1:13">
      <c r="A95" s="228">
        <v>9.3</v>
      </c>
      <c r="B95" s="227">
        <v>0.8466</v>
      </c>
      <c r="C95" s="227">
        <v>0.8466</v>
      </c>
      <c r="D95" s="227">
        <v>0.7323</v>
      </c>
      <c r="E95" s="227">
        <v>0.7323</v>
      </c>
      <c r="F95" s="227">
        <v>0.7323</v>
      </c>
      <c r="G95" s="227">
        <v>0.7323</v>
      </c>
      <c r="H95" s="227">
        <v>0.7323</v>
      </c>
      <c r="I95" s="227">
        <v>0.5454</v>
      </c>
      <c r="J95" s="227">
        <v>0.5454</v>
      </c>
      <c r="K95" s="227">
        <v>0.5454</v>
      </c>
      <c r="L95" s="227">
        <v>0.5454</v>
      </c>
      <c r="M95" s="227">
        <v>0.5454</v>
      </c>
    </row>
    <row r="96" spans="1:13">
      <c r="A96" s="228">
        <v>9.4</v>
      </c>
      <c r="B96" s="227">
        <v>0.8455</v>
      </c>
      <c r="C96" s="227">
        <v>0.8455</v>
      </c>
      <c r="D96" s="227">
        <v>0.7311</v>
      </c>
      <c r="E96" s="227">
        <v>0.7311</v>
      </c>
      <c r="F96" s="227">
        <v>0.7311</v>
      </c>
      <c r="G96" s="227">
        <v>0.7311</v>
      </c>
      <c r="H96" s="227">
        <v>0.7311</v>
      </c>
      <c r="I96" s="227">
        <v>0.5437</v>
      </c>
      <c r="J96" s="227">
        <v>0.5437</v>
      </c>
      <c r="K96" s="227">
        <v>0.5437</v>
      </c>
      <c r="L96" s="227">
        <v>0.5437</v>
      </c>
      <c r="M96" s="227">
        <v>0.5437</v>
      </c>
    </row>
    <row r="97" spans="1:13">
      <c r="A97" s="228">
        <v>9.5</v>
      </c>
      <c r="B97" s="227">
        <v>0.8445</v>
      </c>
      <c r="C97" s="227">
        <v>0.8445</v>
      </c>
      <c r="D97" s="227">
        <v>0.7299</v>
      </c>
      <c r="E97" s="227">
        <v>0.7299</v>
      </c>
      <c r="F97" s="227">
        <v>0.7299</v>
      </c>
      <c r="G97" s="227">
        <v>0.7299</v>
      </c>
      <c r="H97" s="227">
        <v>0.7299</v>
      </c>
      <c r="I97" s="227">
        <v>0.542</v>
      </c>
      <c r="J97" s="227">
        <v>0.542</v>
      </c>
      <c r="K97" s="227">
        <v>0.542</v>
      </c>
      <c r="L97" s="227">
        <v>0.542</v>
      </c>
      <c r="M97" s="227">
        <v>0.542</v>
      </c>
    </row>
    <row r="98" spans="1:13">
      <c r="A98" s="228">
        <v>9.6</v>
      </c>
      <c r="B98" s="227">
        <v>0.8434</v>
      </c>
      <c r="C98" s="227">
        <v>0.8434</v>
      </c>
      <c r="D98" s="227">
        <v>0.7287</v>
      </c>
      <c r="E98" s="227">
        <v>0.7287</v>
      </c>
      <c r="F98" s="227">
        <v>0.7287</v>
      </c>
      <c r="G98" s="227">
        <v>0.7287</v>
      </c>
      <c r="H98" s="227">
        <v>0.7287</v>
      </c>
      <c r="I98" s="227">
        <v>0.5403</v>
      </c>
      <c r="J98" s="227">
        <v>0.5403</v>
      </c>
      <c r="K98" s="227">
        <v>0.5403</v>
      </c>
      <c r="L98" s="227">
        <v>0.5403</v>
      </c>
      <c r="M98" s="227">
        <v>0.5403</v>
      </c>
    </row>
    <row r="99" spans="1:13">
      <c r="A99" s="228">
        <v>9.7</v>
      </c>
      <c r="B99" s="227">
        <v>0.8423</v>
      </c>
      <c r="C99" s="227">
        <v>0.8423</v>
      </c>
      <c r="D99" s="227">
        <v>0.7275</v>
      </c>
      <c r="E99" s="227">
        <v>0.7275</v>
      </c>
      <c r="F99" s="227">
        <v>0.7275</v>
      </c>
      <c r="G99" s="227">
        <v>0.7275</v>
      </c>
      <c r="H99" s="227">
        <v>0.7275</v>
      </c>
      <c r="I99" s="227">
        <v>0.5386</v>
      </c>
      <c r="J99" s="227">
        <v>0.5386</v>
      </c>
      <c r="K99" s="227">
        <v>0.5386</v>
      </c>
      <c r="L99" s="227">
        <v>0.5386</v>
      </c>
      <c r="M99" s="227">
        <v>0.5386</v>
      </c>
    </row>
    <row r="100" spans="1:13">
      <c r="A100" s="228">
        <v>9.8</v>
      </c>
      <c r="B100" s="227">
        <v>0.8414</v>
      </c>
      <c r="C100" s="227">
        <v>0.8414</v>
      </c>
      <c r="D100" s="227">
        <v>0.7263</v>
      </c>
      <c r="E100" s="227">
        <v>0.7263</v>
      </c>
      <c r="F100" s="227">
        <v>0.7263</v>
      </c>
      <c r="G100" s="227">
        <v>0.7263</v>
      </c>
      <c r="H100" s="227">
        <v>0.7263</v>
      </c>
      <c r="I100" s="227">
        <v>0.5371</v>
      </c>
      <c r="J100" s="227">
        <v>0.5371</v>
      </c>
      <c r="K100" s="227">
        <v>0.5371</v>
      </c>
      <c r="L100" s="227">
        <v>0.5371</v>
      </c>
      <c r="M100" s="227">
        <v>0.5371</v>
      </c>
    </row>
    <row r="101" spans="1:13">
      <c r="A101" s="228">
        <v>9.9</v>
      </c>
      <c r="B101" s="227">
        <v>0.8405</v>
      </c>
      <c r="C101" s="227">
        <v>0.8405</v>
      </c>
      <c r="D101" s="227">
        <v>0.7252</v>
      </c>
      <c r="E101" s="227">
        <v>0.7252</v>
      </c>
      <c r="F101" s="227">
        <v>0.7252</v>
      </c>
      <c r="G101" s="227">
        <v>0.7252</v>
      </c>
      <c r="H101" s="227">
        <v>0.7252</v>
      </c>
      <c r="I101" s="227">
        <v>0.5355</v>
      </c>
      <c r="J101" s="227">
        <v>0.5355</v>
      </c>
      <c r="K101" s="227">
        <v>0.5355</v>
      </c>
      <c r="L101" s="227">
        <v>0.5355</v>
      </c>
      <c r="M101" s="227">
        <v>0.5355</v>
      </c>
    </row>
    <row r="102" spans="1:13">
      <c r="A102" s="228">
        <v>10</v>
      </c>
      <c r="B102" s="227">
        <v>0.8395</v>
      </c>
      <c r="C102" s="227">
        <v>0.8395</v>
      </c>
      <c r="D102" s="227">
        <v>0.7241</v>
      </c>
      <c r="E102" s="227">
        <v>0.7241</v>
      </c>
      <c r="F102" s="227">
        <v>0.7241</v>
      </c>
      <c r="G102" s="227">
        <v>0.7241</v>
      </c>
      <c r="H102" s="227">
        <v>0.7241</v>
      </c>
      <c r="I102" s="227">
        <v>0.534</v>
      </c>
      <c r="J102" s="227">
        <v>0.534</v>
      </c>
      <c r="K102" s="227">
        <v>0.534</v>
      </c>
      <c r="L102" s="227">
        <v>0.534</v>
      </c>
      <c r="M102" s="227">
        <v>0.534</v>
      </c>
    </row>
    <row r="103" ht="14.25" spans="1:14">
      <c r="A103" s="222" t="s">
        <v>2330</v>
      </c>
      <c r="B103" s="223"/>
      <c r="C103" s="223"/>
      <c r="D103" s="223"/>
      <c r="E103" s="223"/>
      <c r="F103" s="223"/>
      <c r="G103" s="223"/>
      <c r="H103" s="223"/>
      <c r="I103" s="223"/>
      <c r="J103" s="223"/>
      <c r="K103" s="223"/>
      <c r="L103" s="223"/>
      <c r="M103" s="223"/>
      <c r="N103" s="223"/>
    </row>
    <row r="104" ht="14.25" spans="1:14">
      <c r="A104" s="224" t="s">
        <v>2329</v>
      </c>
      <c r="B104" s="225" t="s">
        <v>1738</v>
      </c>
      <c r="C104" s="225" t="s">
        <v>1744</v>
      </c>
      <c r="D104" s="225" t="s">
        <v>1764</v>
      </c>
      <c r="E104" s="225" t="s">
        <v>1785</v>
      </c>
      <c r="F104" s="225" t="s">
        <v>1813</v>
      </c>
      <c r="G104" s="225" t="s">
        <v>1848</v>
      </c>
      <c r="H104" s="226" t="s">
        <v>1897</v>
      </c>
      <c r="I104" s="226" t="s">
        <v>1946</v>
      </c>
      <c r="J104" s="229" t="s">
        <v>1986</v>
      </c>
      <c r="K104" s="229" t="s">
        <v>2032</v>
      </c>
      <c r="L104" s="229" t="s">
        <v>2060</v>
      </c>
      <c r="M104" s="229" t="s">
        <v>2082</v>
      </c>
      <c r="N104" s="223">
        <f>SUMPRODUCT((A105:A204=ROUNDDOWN(基准地价修正!G3,1))*(B104:M104=基准地价修正!G2)*(B105:M204))</f>
        <v>0</v>
      </c>
    </row>
    <row r="105" spans="1:13">
      <c r="A105" s="224">
        <v>0.1</v>
      </c>
      <c r="B105" s="227">
        <v>13.733</v>
      </c>
      <c r="C105" s="227">
        <v>13.733</v>
      </c>
      <c r="D105" s="227">
        <v>12.787</v>
      </c>
      <c r="E105" s="227">
        <v>12.787</v>
      </c>
      <c r="F105" s="227">
        <v>12.787</v>
      </c>
      <c r="G105" s="227">
        <v>12.787</v>
      </c>
      <c r="H105" s="227">
        <v>12.787</v>
      </c>
      <c r="I105" s="227">
        <v>12.384</v>
      </c>
      <c r="J105" s="227">
        <v>12.384</v>
      </c>
      <c r="K105" s="227">
        <v>12.384</v>
      </c>
      <c r="L105" s="227">
        <v>12.384</v>
      </c>
      <c r="M105" s="227">
        <v>12.384</v>
      </c>
    </row>
    <row r="106" spans="1:13">
      <c r="A106" s="224">
        <v>0.2</v>
      </c>
      <c r="B106" s="227">
        <v>6.8665</v>
      </c>
      <c r="C106" s="227">
        <v>6.8665</v>
      </c>
      <c r="D106" s="227">
        <v>6.3935</v>
      </c>
      <c r="E106" s="227">
        <v>6.3935</v>
      </c>
      <c r="F106" s="227">
        <v>6.3935</v>
      </c>
      <c r="G106" s="227">
        <v>6.3935</v>
      </c>
      <c r="H106" s="227">
        <v>6.3935</v>
      </c>
      <c r="I106" s="227">
        <v>6.192</v>
      </c>
      <c r="J106" s="227">
        <v>6.192</v>
      </c>
      <c r="K106" s="227">
        <v>6.192</v>
      </c>
      <c r="L106" s="227">
        <v>6.192</v>
      </c>
      <c r="M106" s="227">
        <v>6.192</v>
      </c>
    </row>
    <row r="107" spans="1:13">
      <c r="A107" s="224">
        <v>0.3</v>
      </c>
      <c r="B107" s="227">
        <v>4.5777</v>
      </c>
      <c r="C107" s="227">
        <v>4.5777</v>
      </c>
      <c r="D107" s="227">
        <v>4.2623</v>
      </c>
      <c r="E107" s="227">
        <v>4.2623</v>
      </c>
      <c r="F107" s="227">
        <v>4.2623</v>
      </c>
      <c r="G107" s="227">
        <v>4.2623</v>
      </c>
      <c r="H107" s="227">
        <v>4.2623</v>
      </c>
      <c r="I107" s="227">
        <v>4.128</v>
      </c>
      <c r="J107" s="227">
        <v>4.128</v>
      </c>
      <c r="K107" s="227">
        <v>4.128</v>
      </c>
      <c r="L107" s="227">
        <v>4.128</v>
      </c>
      <c r="M107" s="227">
        <v>4.128</v>
      </c>
    </row>
    <row r="108" spans="1:13">
      <c r="A108" s="224">
        <v>0.4</v>
      </c>
      <c r="B108" s="227">
        <v>3.4333</v>
      </c>
      <c r="C108" s="227">
        <v>3.4333</v>
      </c>
      <c r="D108" s="227">
        <v>3.1968</v>
      </c>
      <c r="E108" s="227">
        <v>3.1968</v>
      </c>
      <c r="F108" s="227">
        <v>3.1968</v>
      </c>
      <c r="G108" s="227">
        <v>3.1968</v>
      </c>
      <c r="H108" s="227">
        <v>3.1968</v>
      </c>
      <c r="I108" s="227">
        <v>3.096</v>
      </c>
      <c r="J108" s="227">
        <v>3.096</v>
      </c>
      <c r="K108" s="227">
        <v>3.096</v>
      </c>
      <c r="L108" s="227">
        <v>3.096</v>
      </c>
      <c r="M108" s="227">
        <v>3.096</v>
      </c>
    </row>
    <row r="109" spans="1:13">
      <c r="A109" s="224">
        <v>0.5</v>
      </c>
      <c r="B109" s="227">
        <v>2.7466</v>
      </c>
      <c r="C109" s="227">
        <v>2.7466</v>
      </c>
      <c r="D109" s="227">
        <v>2.5574</v>
      </c>
      <c r="E109" s="227">
        <v>2.5574</v>
      </c>
      <c r="F109" s="227">
        <v>2.5574</v>
      </c>
      <c r="G109" s="227">
        <v>2.5574</v>
      </c>
      <c r="H109" s="227">
        <v>2.5574</v>
      </c>
      <c r="I109" s="227">
        <v>2.4768</v>
      </c>
      <c r="J109" s="227">
        <v>2.4768</v>
      </c>
      <c r="K109" s="227">
        <v>2.4768</v>
      </c>
      <c r="L109" s="227">
        <v>2.4768</v>
      </c>
      <c r="M109" s="227">
        <v>2.4768</v>
      </c>
    </row>
    <row r="110" spans="1:13">
      <c r="A110" s="224">
        <v>0.6</v>
      </c>
      <c r="B110" s="227">
        <v>2.2888</v>
      </c>
      <c r="C110" s="227">
        <v>2.2888</v>
      </c>
      <c r="D110" s="227">
        <v>2.1312</v>
      </c>
      <c r="E110" s="227">
        <v>2.1312</v>
      </c>
      <c r="F110" s="227">
        <v>2.1312</v>
      </c>
      <c r="G110" s="227">
        <v>2.1312</v>
      </c>
      <c r="H110" s="227">
        <v>2.1312</v>
      </c>
      <c r="I110" s="227">
        <v>2.064</v>
      </c>
      <c r="J110" s="227">
        <v>2.064</v>
      </c>
      <c r="K110" s="227">
        <v>2.064</v>
      </c>
      <c r="L110" s="227">
        <v>2.064</v>
      </c>
      <c r="M110" s="227">
        <v>2.064</v>
      </c>
    </row>
    <row r="111" spans="1:13">
      <c r="A111" s="224">
        <v>0.7</v>
      </c>
      <c r="B111" s="227">
        <v>1.9619</v>
      </c>
      <c r="C111" s="227">
        <v>1.9619</v>
      </c>
      <c r="D111" s="227">
        <v>1.8267</v>
      </c>
      <c r="E111" s="227">
        <v>1.8267</v>
      </c>
      <c r="F111" s="227">
        <v>1.8267</v>
      </c>
      <c r="G111" s="227">
        <v>1.8267</v>
      </c>
      <c r="H111" s="227">
        <v>1.8267</v>
      </c>
      <c r="I111" s="227">
        <v>1.7691</v>
      </c>
      <c r="J111" s="227">
        <v>1.7691</v>
      </c>
      <c r="K111" s="227">
        <v>1.7691</v>
      </c>
      <c r="L111" s="227">
        <v>1.7691</v>
      </c>
      <c r="M111" s="227">
        <v>1.7691</v>
      </c>
    </row>
    <row r="112" spans="1:13">
      <c r="A112" s="224">
        <v>0.8</v>
      </c>
      <c r="B112" s="227">
        <v>1.7166</v>
      </c>
      <c r="C112" s="227">
        <v>1.7166</v>
      </c>
      <c r="D112" s="227">
        <v>1.5984</v>
      </c>
      <c r="E112" s="227">
        <v>1.5984</v>
      </c>
      <c r="F112" s="227">
        <v>1.5984</v>
      </c>
      <c r="G112" s="227">
        <v>1.5984</v>
      </c>
      <c r="H112" s="227">
        <v>1.5984</v>
      </c>
      <c r="I112" s="227">
        <v>1.548</v>
      </c>
      <c r="J112" s="227">
        <v>1.548</v>
      </c>
      <c r="K112" s="227">
        <v>1.548</v>
      </c>
      <c r="L112" s="227">
        <v>1.548</v>
      </c>
      <c r="M112" s="227">
        <v>1.548</v>
      </c>
    </row>
    <row r="113" spans="1:13">
      <c r="A113" s="224">
        <v>0.9</v>
      </c>
      <c r="B113" s="227">
        <v>1.5259</v>
      </c>
      <c r="C113" s="227">
        <v>1.5259</v>
      </c>
      <c r="D113" s="227">
        <v>1.4208</v>
      </c>
      <c r="E113" s="227">
        <v>1.4208</v>
      </c>
      <c r="F113" s="227">
        <v>1.4208</v>
      </c>
      <c r="G113" s="227">
        <v>1.4208</v>
      </c>
      <c r="H113" s="227">
        <v>1.4208</v>
      </c>
      <c r="I113" s="227">
        <v>1.376</v>
      </c>
      <c r="J113" s="227">
        <v>1.376</v>
      </c>
      <c r="K113" s="227">
        <v>1.376</v>
      </c>
      <c r="L113" s="227">
        <v>1.376</v>
      </c>
      <c r="M113" s="227">
        <v>1.376</v>
      </c>
    </row>
    <row r="114" spans="1:13">
      <c r="A114" s="224">
        <v>1</v>
      </c>
      <c r="B114" s="227">
        <v>1.3733</v>
      </c>
      <c r="C114" s="227">
        <v>1.3733</v>
      </c>
      <c r="D114" s="227">
        <v>1.2787</v>
      </c>
      <c r="E114" s="227">
        <v>1.2787</v>
      </c>
      <c r="F114" s="227">
        <v>1.2787</v>
      </c>
      <c r="G114" s="227">
        <v>1.2787</v>
      </c>
      <c r="H114" s="227">
        <v>1.2787</v>
      </c>
      <c r="I114" s="227">
        <v>1.2384</v>
      </c>
      <c r="J114" s="227">
        <v>1.2384</v>
      </c>
      <c r="K114" s="227">
        <v>1.2384</v>
      </c>
      <c r="L114" s="227">
        <v>1.2384</v>
      </c>
      <c r="M114" s="227">
        <v>1.2384</v>
      </c>
    </row>
    <row r="115" spans="1:13">
      <c r="A115" s="224">
        <v>1.1</v>
      </c>
      <c r="B115" s="227">
        <v>1.3489</v>
      </c>
      <c r="C115" s="227">
        <v>1.3489</v>
      </c>
      <c r="D115" s="227">
        <v>1.2542</v>
      </c>
      <c r="E115" s="227">
        <v>1.2542</v>
      </c>
      <c r="F115" s="227">
        <v>1.2542</v>
      </c>
      <c r="G115" s="227">
        <v>1.2542</v>
      </c>
      <c r="H115" s="227">
        <v>1.2542</v>
      </c>
      <c r="I115" s="227">
        <v>1.205</v>
      </c>
      <c r="J115" s="227">
        <v>1.205</v>
      </c>
      <c r="K115" s="227">
        <v>1.205</v>
      </c>
      <c r="L115" s="227">
        <v>1.205</v>
      </c>
      <c r="M115" s="227">
        <v>1.205</v>
      </c>
    </row>
    <row r="116" spans="1:13">
      <c r="A116" s="224">
        <v>1.2</v>
      </c>
      <c r="B116" s="227">
        <v>1.3256</v>
      </c>
      <c r="C116" s="227">
        <v>1.3256</v>
      </c>
      <c r="D116" s="227">
        <v>1.2306</v>
      </c>
      <c r="E116" s="227">
        <v>1.2306</v>
      </c>
      <c r="F116" s="227">
        <v>1.2306</v>
      </c>
      <c r="G116" s="227">
        <v>1.2306</v>
      </c>
      <c r="H116" s="227">
        <v>1.2306</v>
      </c>
      <c r="I116" s="227">
        <v>1.1742</v>
      </c>
      <c r="J116" s="227">
        <v>1.1742</v>
      </c>
      <c r="K116" s="227">
        <v>1.1742</v>
      </c>
      <c r="L116" s="227">
        <v>1.1742</v>
      </c>
      <c r="M116" s="227">
        <v>1.1742</v>
      </c>
    </row>
    <row r="117" spans="1:13">
      <c r="A117" s="224">
        <v>1.3</v>
      </c>
      <c r="B117" s="227">
        <v>1.3033</v>
      </c>
      <c r="C117" s="227">
        <v>1.3033</v>
      </c>
      <c r="D117" s="227">
        <v>1.2079</v>
      </c>
      <c r="E117" s="227">
        <v>1.2079</v>
      </c>
      <c r="F117" s="227">
        <v>1.2079</v>
      </c>
      <c r="G117" s="227">
        <v>1.2079</v>
      </c>
      <c r="H117" s="227">
        <v>1.2079</v>
      </c>
      <c r="I117" s="227">
        <v>1.146</v>
      </c>
      <c r="J117" s="227">
        <v>1.146</v>
      </c>
      <c r="K117" s="227">
        <v>1.146</v>
      </c>
      <c r="L117" s="227">
        <v>1.146</v>
      </c>
      <c r="M117" s="227">
        <v>1.146</v>
      </c>
    </row>
    <row r="118" spans="1:13">
      <c r="A118" s="224">
        <v>1.4</v>
      </c>
      <c r="B118" s="227">
        <v>1.282</v>
      </c>
      <c r="C118" s="227">
        <v>1.282</v>
      </c>
      <c r="D118" s="227">
        <v>1.1862</v>
      </c>
      <c r="E118" s="227">
        <v>1.1862</v>
      </c>
      <c r="F118" s="227">
        <v>1.1862</v>
      </c>
      <c r="G118" s="227">
        <v>1.1862</v>
      </c>
      <c r="H118" s="227">
        <v>1.1862</v>
      </c>
      <c r="I118" s="227">
        <v>1.12</v>
      </c>
      <c r="J118" s="227">
        <v>1.12</v>
      </c>
      <c r="K118" s="227">
        <v>1.12</v>
      </c>
      <c r="L118" s="227">
        <v>1.12</v>
      </c>
      <c r="M118" s="227">
        <v>1.12</v>
      </c>
    </row>
    <row r="119" spans="1:13">
      <c r="A119" s="224">
        <v>1.5</v>
      </c>
      <c r="B119" s="227">
        <v>1.2617</v>
      </c>
      <c r="C119" s="227">
        <v>1.2617</v>
      </c>
      <c r="D119" s="227">
        <v>1.1653</v>
      </c>
      <c r="E119" s="227">
        <v>1.1653</v>
      </c>
      <c r="F119" s="227">
        <v>1.1653</v>
      </c>
      <c r="G119" s="227">
        <v>1.1653</v>
      </c>
      <c r="H119" s="227">
        <v>1.1653</v>
      </c>
      <c r="I119" s="227">
        <v>1.0961</v>
      </c>
      <c r="J119" s="227">
        <v>1.0961</v>
      </c>
      <c r="K119" s="227">
        <v>1.0961</v>
      </c>
      <c r="L119" s="227">
        <v>1.0961</v>
      </c>
      <c r="M119" s="227">
        <v>1.0961</v>
      </c>
    </row>
    <row r="120" spans="1:13">
      <c r="A120" s="224">
        <v>1.6</v>
      </c>
      <c r="B120" s="227">
        <v>1.2423</v>
      </c>
      <c r="C120" s="227">
        <v>1.2423</v>
      </c>
      <c r="D120" s="227">
        <v>1.1453</v>
      </c>
      <c r="E120" s="227">
        <v>1.1453</v>
      </c>
      <c r="F120" s="227">
        <v>1.1453</v>
      </c>
      <c r="G120" s="227">
        <v>1.1453</v>
      </c>
      <c r="H120" s="227">
        <v>1.1453</v>
      </c>
      <c r="I120" s="227">
        <v>1.074</v>
      </c>
      <c r="J120" s="227">
        <v>1.074</v>
      </c>
      <c r="K120" s="227">
        <v>1.074</v>
      </c>
      <c r="L120" s="227">
        <v>1.074</v>
      </c>
      <c r="M120" s="227">
        <v>1.074</v>
      </c>
    </row>
    <row r="121" spans="1:13">
      <c r="A121" s="224">
        <v>1.7</v>
      </c>
      <c r="B121" s="227">
        <v>1.2237</v>
      </c>
      <c r="C121" s="227">
        <v>1.2237</v>
      </c>
      <c r="D121" s="227">
        <v>1.1261</v>
      </c>
      <c r="E121" s="227">
        <v>1.1261</v>
      </c>
      <c r="F121" s="227">
        <v>1.1261</v>
      </c>
      <c r="G121" s="227">
        <v>1.1261</v>
      </c>
      <c r="H121" s="227">
        <v>1.1261</v>
      </c>
      <c r="I121" s="227">
        <v>1.0535</v>
      </c>
      <c r="J121" s="227">
        <v>1.0535</v>
      </c>
      <c r="K121" s="227">
        <v>1.0535</v>
      </c>
      <c r="L121" s="227">
        <v>1.0535</v>
      </c>
      <c r="M121" s="227">
        <v>1.0535</v>
      </c>
    </row>
    <row r="122" spans="1:13">
      <c r="A122" s="224">
        <v>1.8</v>
      </c>
      <c r="B122" s="227">
        <v>1.206</v>
      </c>
      <c r="C122" s="227">
        <v>1.206</v>
      </c>
      <c r="D122" s="227">
        <v>1.1077</v>
      </c>
      <c r="E122" s="227">
        <v>1.1077</v>
      </c>
      <c r="F122" s="227">
        <v>1.1077</v>
      </c>
      <c r="G122" s="227">
        <v>1.1077</v>
      </c>
      <c r="H122" s="227">
        <v>1.1077</v>
      </c>
      <c r="I122" s="227">
        <v>1.0345</v>
      </c>
      <c r="J122" s="227">
        <v>1.0345</v>
      </c>
      <c r="K122" s="227">
        <v>1.0345</v>
      </c>
      <c r="L122" s="227">
        <v>1.0345</v>
      </c>
      <c r="M122" s="227">
        <v>1.0345</v>
      </c>
    </row>
    <row r="123" spans="1:13">
      <c r="A123" s="224">
        <v>1.9</v>
      </c>
      <c r="B123" s="227">
        <v>1.1891</v>
      </c>
      <c r="C123" s="227">
        <v>1.1891</v>
      </c>
      <c r="D123" s="227">
        <v>1.0901</v>
      </c>
      <c r="E123" s="227">
        <v>1.0901</v>
      </c>
      <c r="F123" s="227">
        <v>1.0901</v>
      </c>
      <c r="G123" s="227">
        <v>1.0901</v>
      </c>
      <c r="H123" s="227">
        <v>1.0901</v>
      </c>
      <c r="I123" s="227">
        <v>1.0167</v>
      </c>
      <c r="J123" s="227">
        <v>1.0167</v>
      </c>
      <c r="K123" s="227">
        <v>1.0167</v>
      </c>
      <c r="L123" s="227">
        <v>1.0167</v>
      </c>
      <c r="M123" s="227">
        <v>1.0167</v>
      </c>
    </row>
    <row r="124" spans="1:13">
      <c r="A124" s="224">
        <v>2</v>
      </c>
      <c r="B124" s="227">
        <v>1.1729</v>
      </c>
      <c r="C124" s="227">
        <v>1.1729</v>
      </c>
      <c r="D124" s="227">
        <v>1.0733</v>
      </c>
      <c r="E124" s="227">
        <v>1.0733</v>
      </c>
      <c r="F124" s="227">
        <v>1.0733</v>
      </c>
      <c r="G124" s="227">
        <v>1.0733</v>
      </c>
      <c r="H124" s="227">
        <v>1.0733</v>
      </c>
      <c r="I124" s="227">
        <v>1</v>
      </c>
      <c r="J124" s="227">
        <v>1</v>
      </c>
      <c r="K124" s="227">
        <v>1</v>
      </c>
      <c r="L124" s="227">
        <v>1</v>
      </c>
      <c r="M124" s="227">
        <v>1</v>
      </c>
    </row>
    <row r="125" spans="1:13">
      <c r="A125" s="228">
        <v>2.1</v>
      </c>
      <c r="B125" s="227">
        <v>1.1574</v>
      </c>
      <c r="C125" s="227">
        <v>1.1574</v>
      </c>
      <c r="D125" s="227">
        <v>1.0572</v>
      </c>
      <c r="E125" s="227">
        <v>1.0572</v>
      </c>
      <c r="F125" s="227">
        <v>1.0572</v>
      </c>
      <c r="G125" s="227">
        <v>1.0572</v>
      </c>
      <c r="H125" s="227">
        <v>1.0572</v>
      </c>
      <c r="I125" s="227">
        <v>0.9841</v>
      </c>
      <c r="J125" s="227">
        <v>0.9841</v>
      </c>
      <c r="K125" s="227">
        <v>0.9841</v>
      </c>
      <c r="L125" s="227">
        <v>0.9841</v>
      </c>
      <c r="M125" s="227">
        <v>0.9841</v>
      </c>
    </row>
    <row r="126" spans="1:13">
      <c r="A126" s="228">
        <v>2.2</v>
      </c>
      <c r="B126" s="227">
        <v>1.1426</v>
      </c>
      <c r="C126" s="227">
        <v>1.1426</v>
      </c>
      <c r="D126" s="227">
        <v>1.0419</v>
      </c>
      <c r="E126" s="227">
        <v>1.0419</v>
      </c>
      <c r="F126" s="227">
        <v>1.0419</v>
      </c>
      <c r="G126" s="227">
        <v>1.0419</v>
      </c>
      <c r="H126" s="227">
        <v>1.0419</v>
      </c>
      <c r="I126" s="227">
        <v>0.9689</v>
      </c>
      <c r="J126" s="227">
        <v>0.9689</v>
      </c>
      <c r="K126" s="227">
        <v>0.9689</v>
      </c>
      <c r="L126" s="227">
        <v>0.9689</v>
      </c>
      <c r="M126" s="227">
        <v>0.9689</v>
      </c>
    </row>
    <row r="127" spans="1:13">
      <c r="A127" s="228">
        <v>2.3</v>
      </c>
      <c r="B127" s="227">
        <v>1.1285</v>
      </c>
      <c r="C127" s="227">
        <v>1.1285</v>
      </c>
      <c r="D127" s="227">
        <v>1.0272</v>
      </c>
      <c r="E127" s="227">
        <v>1.0272</v>
      </c>
      <c r="F127" s="227">
        <v>1.0272</v>
      </c>
      <c r="G127" s="227">
        <v>1.0272</v>
      </c>
      <c r="H127" s="227">
        <v>1.0272</v>
      </c>
      <c r="I127" s="227">
        <v>0.9544</v>
      </c>
      <c r="J127" s="227">
        <v>0.9544</v>
      </c>
      <c r="K127" s="227">
        <v>0.9544</v>
      </c>
      <c r="L127" s="227">
        <v>0.9544</v>
      </c>
      <c r="M127" s="227">
        <v>0.9544</v>
      </c>
    </row>
    <row r="128" spans="1:13">
      <c r="A128" s="228">
        <v>2.4</v>
      </c>
      <c r="B128" s="227">
        <v>1.1149</v>
      </c>
      <c r="C128" s="227">
        <v>1.1149</v>
      </c>
      <c r="D128" s="227">
        <v>1.0133</v>
      </c>
      <c r="E128" s="227">
        <v>1.0133</v>
      </c>
      <c r="F128" s="227">
        <v>1.0133</v>
      </c>
      <c r="G128" s="227">
        <v>1.0133</v>
      </c>
      <c r="H128" s="227">
        <v>1.0133</v>
      </c>
      <c r="I128" s="227">
        <v>0.9405</v>
      </c>
      <c r="J128" s="227">
        <v>0.9405</v>
      </c>
      <c r="K128" s="227">
        <v>0.9405</v>
      </c>
      <c r="L128" s="227">
        <v>0.9405</v>
      </c>
      <c r="M128" s="227">
        <v>0.9405</v>
      </c>
    </row>
    <row r="129" spans="1:13">
      <c r="A129" s="228">
        <v>2.5</v>
      </c>
      <c r="B129" s="227">
        <v>1.102</v>
      </c>
      <c r="C129" s="227">
        <v>1.102</v>
      </c>
      <c r="D129" s="227">
        <v>1</v>
      </c>
      <c r="E129" s="227">
        <v>1</v>
      </c>
      <c r="F129" s="227">
        <v>1</v>
      </c>
      <c r="G129" s="227">
        <v>1</v>
      </c>
      <c r="H129" s="227">
        <v>1</v>
      </c>
      <c r="I129" s="227">
        <v>0.9273</v>
      </c>
      <c r="J129" s="227">
        <v>0.9273</v>
      </c>
      <c r="K129" s="227">
        <v>0.9273</v>
      </c>
      <c r="L129" s="227">
        <v>0.9273</v>
      </c>
      <c r="M129" s="227">
        <v>0.9273</v>
      </c>
    </row>
    <row r="130" spans="1:13">
      <c r="A130" s="228">
        <v>2.6</v>
      </c>
      <c r="B130" s="227">
        <v>1.0896</v>
      </c>
      <c r="C130" s="227">
        <v>1.0896</v>
      </c>
      <c r="D130" s="227">
        <v>0.9874</v>
      </c>
      <c r="E130" s="227">
        <v>0.9874</v>
      </c>
      <c r="F130" s="227">
        <v>0.9874</v>
      </c>
      <c r="G130" s="227">
        <v>0.9874</v>
      </c>
      <c r="H130" s="227">
        <v>0.9874</v>
      </c>
      <c r="I130" s="227">
        <v>0.9147</v>
      </c>
      <c r="J130" s="227">
        <v>0.9147</v>
      </c>
      <c r="K130" s="227">
        <v>0.9147</v>
      </c>
      <c r="L130" s="227">
        <v>0.9147</v>
      </c>
      <c r="M130" s="227">
        <v>0.9147</v>
      </c>
    </row>
    <row r="131" spans="1:13">
      <c r="A131" s="228">
        <v>2.7</v>
      </c>
      <c r="B131" s="227">
        <v>1.0778</v>
      </c>
      <c r="C131" s="227">
        <v>1.0778</v>
      </c>
      <c r="D131" s="227">
        <v>0.9754</v>
      </c>
      <c r="E131" s="227">
        <v>0.9754</v>
      </c>
      <c r="F131" s="227">
        <v>0.9754</v>
      </c>
      <c r="G131" s="227">
        <v>0.9754</v>
      </c>
      <c r="H131" s="227">
        <v>0.9754</v>
      </c>
      <c r="I131" s="227">
        <v>0.9027</v>
      </c>
      <c r="J131" s="227">
        <v>0.9027</v>
      </c>
      <c r="K131" s="227">
        <v>0.9027</v>
      </c>
      <c r="L131" s="227">
        <v>0.9027</v>
      </c>
      <c r="M131" s="227">
        <v>0.9027</v>
      </c>
    </row>
    <row r="132" spans="1:13">
      <c r="A132" s="228">
        <v>2.8</v>
      </c>
      <c r="B132" s="227">
        <v>1.0665</v>
      </c>
      <c r="C132" s="227">
        <v>1.0665</v>
      </c>
      <c r="D132" s="227">
        <v>0.964</v>
      </c>
      <c r="E132" s="227">
        <v>0.964</v>
      </c>
      <c r="F132" s="227">
        <v>0.964</v>
      </c>
      <c r="G132" s="227">
        <v>0.964</v>
      </c>
      <c r="H132" s="227">
        <v>0.964</v>
      </c>
      <c r="I132" s="227">
        <v>0.8912</v>
      </c>
      <c r="J132" s="227">
        <v>0.8912</v>
      </c>
      <c r="K132" s="227">
        <v>0.8912</v>
      </c>
      <c r="L132" s="227">
        <v>0.8912</v>
      </c>
      <c r="M132" s="227">
        <v>0.8912</v>
      </c>
    </row>
    <row r="133" spans="1:13">
      <c r="A133" s="228">
        <v>2.9</v>
      </c>
      <c r="B133" s="227">
        <v>1.0556</v>
      </c>
      <c r="C133" s="227">
        <v>1.0556</v>
      </c>
      <c r="D133" s="227">
        <v>0.9533</v>
      </c>
      <c r="E133" s="227">
        <v>0.9533</v>
      </c>
      <c r="F133" s="227">
        <v>0.9533</v>
      </c>
      <c r="G133" s="227">
        <v>0.9533</v>
      </c>
      <c r="H133" s="227">
        <v>0.9533</v>
      </c>
      <c r="I133" s="227">
        <v>0.8802</v>
      </c>
      <c r="J133" s="227">
        <v>0.8802</v>
      </c>
      <c r="K133" s="227">
        <v>0.8802</v>
      </c>
      <c r="L133" s="227">
        <v>0.8802</v>
      </c>
      <c r="M133" s="227">
        <v>0.8802</v>
      </c>
    </row>
    <row r="134" spans="1:13">
      <c r="A134" s="228">
        <v>3</v>
      </c>
      <c r="B134" s="227">
        <v>1.0453</v>
      </c>
      <c r="C134" s="227">
        <v>1.0453</v>
      </c>
      <c r="D134" s="227">
        <v>0.943</v>
      </c>
      <c r="E134" s="227">
        <v>0.943</v>
      </c>
      <c r="F134" s="227">
        <v>0.943</v>
      </c>
      <c r="G134" s="227">
        <v>0.943</v>
      </c>
      <c r="H134" s="227">
        <v>0.943</v>
      </c>
      <c r="I134" s="227">
        <v>0.8697</v>
      </c>
      <c r="J134" s="227">
        <v>0.8697</v>
      </c>
      <c r="K134" s="227">
        <v>0.8697</v>
      </c>
      <c r="L134" s="227">
        <v>0.8697</v>
      </c>
      <c r="M134" s="227">
        <v>0.8697</v>
      </c>
    </row>
    <row r="135" spans="1:13">
      <c r="A135" s="228">
        <v>3.1</v>
      </c>
      <c r="B135" s="227">
        <v>1.0354</v>
      </c>
      <c r="C135" s="227">
        <v>1.0354</v>
      </c>
      <c r="D135" s="227">
        <v>0.9333</v>
      </c>
      <c r="E135" s="227">
        <v>0.9333</v>
      </c>
      <c r="F135" s="227">
        <v>0.9333</v>
      </c>
      <c r="G135" s="227">
        <v>0.9333</v>
      </c>
      <c r="H135" s="227">
        <v>0.9333</v>
      </c>
      <c r="I135" s="227">
        <v>0.8597</v>
      </c>
      <c r="J135" s="227">
        <v>0.8597</v>
      </c>
      <c r="K135" s="227">
        <v>0.8597</v>
      </c>
      <c r="L135" s="227">
        <v>0.8597</v>
      </c>
      <c r="M135" s="227">
        <v>0.8597</v>
      </c>
    </row>
    <row r="136" spans="1:13">
      <c r="A136" s="228">
        <v>3.2</v>
      </c>
      <c r="B136" s="227">
        <v>1.0259</v>
      </c>
      <c r="C136" s="227">
        <v>1.0259</v>
      </c>
      <c r="D136" s="227">
        <v>0.9241</v>
      </c>
      <c r="E136" s="227">
        <v>0.9241</v>
      </c>
      <c r="F136" s="227">
        <v>0.9241</v>
      </c>
      <c r="G136" s="227">
        <v>0.9241</v>
      </c>
      <c r="H136" s="227">
        <v>0.9241</v>
      </c>
      <c r="I136" s="227">
        <v>0.8502</v>
      </c>
      <c r="J136" s="227">
        <v>0.8502</v>
      </c>
      <c r="K136" s="227">
        <v>0.8502</v>
      </c>
      <c r="L136" s="227">
        <v>0.8502</v>
      </c>
      <c r="M136" s="227">
        <v>0.8502</v>
      </c>
    </row>
    <row r="137" spans="1:13">
      <c r="A137" s="228">
        <v>3.3</v>
      </c>
      <c r="B137" s="227">
        <v>1.0169</v>
      </c>
      <c r="C137" s="227">
        <v>1.0169</v>
      </c>
      <c r="D137" s="227">
        <v>0.9154</v>
      </c>
      <c r="E137" s="227">
        <v>0.9154</v>
      </c>
      <c r="F137" s="227">
        <v>0.9154</v>
      </c>
      <c r="G137" s="227">
        <v>0.9154</v>
      </c>
      <c r="H137" s="227">
        <v>0.9154</v>
      </c>
      <c r="I137" s="227">
        <v>0.8411</v>
      </c>
      <c r="J137" s="227">
        <v>0.8411</v>
      </c>
      <c r="K137" s="227">
        <v>0.8411</v>
      </c>
      <c r="L137" s="227">
        <v>0.8411</v>
      </c>
      <c r="M137" s="227">
        <v>0.8411</v>
      </c>
    </row>
    <row r="138" spans="1:13">
      <c r="A138" s="228">
        <v>3.4</v>
      </c>
      <c r="B138" s="227">
        <v>1.0082</v>
      </c>
      <c r="C138" s="227">
        <v>1.0082</v>
      </c>
      <c r="D138" s="227">
        <v>0.9071</v>
      </c>
      <c r="E138" s="227">
        <v>0.9071</v>
      </c>
      <c r="F138" s="227">
        <v>0.9071</v>
      </c>
      <c r="G138" s="227">
        <v>0.9071</v>
      </c>
      <c r="H138" s="227">
        <v>0.9071</v>
      </c>
      <c r="I138" s="227">
        <v>0.8324</v>
      </c>
      <c r="J138" s="227">
        <v>0.8324</v>
      </c>
      <c r="K138" s="227">
        <v>0.8324</v>
      </c>
      <c r="L138" s="227">
        <v>0.8324</v>
      </c>
      <c r="M138" s="227">
        <v>0.8324</v>
      </c>
    </row>
    <row r="139" spans="1:13">
      <c r="A139" s="228">
        <v>3.5</v>
      </c>
      <c r="B139" s="227">
        <v>1</v>
      </c>
      <c r="C139" s="227">
        <v>1</v>
      </c>
      <c r="D139" s="227">
        <v>0.8993</v>
      </c>
      <c r="E139" s="227">
        <v>0.8993</v>
      </c>
      <c r="F139" s="227">
        <v>0.8993</v>
      </c>
      <c r="G139" s="227">
        <v>0.8993</v>
      </c>
      <c r="H139" s="227">
        <v>0.8993</v>
      </c>
      <c r="I139" s="227">
        <v>0.8241</v>
      </c>
      <c r="J139" s="227">
        <v>0.8241</v>
      </c>
      <c r="K139" s="227">
        <v>0.8241</v>
      </c>
      <c r="L139" s="227">
        <v>0.8241</v>
      </c>
      <c r="M139" s="227">
        <v>0.8241</v>
      </c>
    </row>
    <row r="140" spans="1:13">
      <c r="A140" s="228">
        <v>3.6</v>
      </c>
      <c r="B140" s="227">
        <v>0.9922</v>
      </c>
      <c r="C140" s="227">
        <v>0.9922</v>
      </c>
      <c r="D140" s="227">
        <v>0.8919</v>
      </c>
      <c r="E140" s="227">
        <v>0.8919</v>
      </c>
      <c r="F140" s="227">
        <v>0.8919</v>
      </c>
      <c r="G140" s="227">
        <v>0.8919</v>
      </c>
      <c r="H140" s="227">
        <v>0.8919</v>
      </c>
      <c r="I140" s="227">
        <v>0.8162</v>
      </c>
      <c r="J140" s="227">
        <v>0.8162</v>
      </c>
      <c r="K140" s="227">
        <v>0.8162</v>
      </c>
      <c r="L140" s="227">
        <v>0.8162</v>
      </c>
      <c r="M140" s="227">
        <v>0.8162</v>
      </c>
    </row>
    <row r="141" spans="1:13">
      <c r="A141" s="228">
        <v>3.7</v>
      </c>
      <c r="B141" s="227">
        <v>0.9848</v>
      </c>
      <c r="C141" s="227">
        <v>0.9848</v>
      </c>
      <c r="D141" s="227">
        <v>0.8848</v>
      </c>
      <c r="E141" s="227">
        <v>0.8848</v>
      </c>
      <c r="F141" s="227">
        <v>0.8848</v>
      </c>
      <c r="G141" s="227">
        <v>0.8848</v>
      </c>
      <c r="H141" s="227">
        <v>0.8848</v>
      </c>
      <c r="I141" s="227">
        <v>0.8087</v>
      </c>
      <c r="J141" s="227">
        <v>0.8087</v>
      </c>
      <c r="K141" s="227">
        <v>0.8087</v>
      </c>
      <c r="L141" s="227">
        <v>0.8087</v>
      </c>
      <c r="M141" s="227">
        <v>0.8087</v>
      </c>
    </row>
    <row r="142" spans="1:13">
      <c r="A142" s="228">
        <v>3.8</v>
      </c>
      <c r="B142" s="227">
        <v>0.9778</v>
      </c>
      <c r="C142" s="227">
        <v>0.9778</v>
      </c>
      <c r="D142" s="227">
        <v>0.8781</v>
      </c>
      <c r="E142" s="227">
        <v>0.8781</v>
      </c>
      <c r="F142" s="227">
        <v>0.8781</v>
      </c>
      <c r="G142" s="227">
        <v>0.8781</v>
      </c>
      <c r="H142" s="227">
        <v>0.8781</v>
      </c>
      <c r="I142" s="227">
        <v>0.8016</v>
      </c>
      <c r="J142" s="227">
        <v>0.8016</v>
      </c>
      <c r="K142" s="227">
        <v>0.8016</v>
      </c>
      <c r="L142" s="227">
        <v>0.8016</v>
      </c>
      <c r="M142" s="227">
        <v>0.8016</v>
      </c>
    </row>
    <row r="143" spans="1:13">
      <c r="A143" s="228">
        <v>3.9</v>
      </c>
      <c r="B143" s="227">
        <v>0.9712</v>
      </c>
      <c r="C143" s="227">
        <v>0.9712</v>
      </c>
      <c r="D143" s="227">
        <v>0.8718</v>
      </c>
      <c r="E143" s="227">
        <v>0.8718</v>
      </c>
      <c r="F143" s="227">
        <v>0.8718</v>
      </c>
      <c r="G143" s="227">
        <v>0.8718</v>
      </c>
      <c r="H143" s="227">
        <v>0.8718</v>
      </c>
      <c r="I143" s="227">
        <v>0.7948</v>
      </c>
      <c r="J143" s="227">
        <v>0.7948</v>
      </c>
      <c r="K143" s="227">
        <v>0.7948</v>
      </c>
      <c r="L143" s="227">
        <v>0.7948</v>
      </c>
      <c r="M143" s="227">
        <v>0.7948</v>
      </c>
    </row>
    <row r="144" spans="1:13">
      <c r="A144" s="228">
        <v>4</v>
      </c>
      <c r="B144" s="227">
        <v>0.965</v>
      </c>
      <c r="C144" s="227">
        <v>0.965</v>
      </c>
      <c r="D144" s="227">
        <v>0.8658</v>
      </c>
      <c r="E144" s="227">
        <v>0.8658</v>
      </c>
      <c r="F144" s="227">
        <v>0.8658</v>
      </c>
      <c r="G144" s="227">
        <v>0.8658</v>
      </c>
      <c r="H144" s="227">
        <v>0.8658</v>
      </c>
      <c r="I144" s="227">
        <v>0.7883</v>
      </c>
      <c r="J144" s="227">
        <v>0.7883</v>
      </c>
      <c r="K144" s="227">
        <v>0.7883</v>
      </c>
      <c r="L144" s="227">
        <v>0.7883</v>
      </c>
      <c r="M144" s="227">
        <v>0.7883</v>
      </c>
    </row>
    <row r="145" spans="1:13">
      <c r="A145" s="228">
        <v>4.1</v>
      </c>
      <c r="B145" s="227">
        <v>0.9591</v>
      </c>
      <c r="C145" s="227">
        <v>0.9591</v>
      </c>
      <c r="D145" s="227">
        <v>0.8601</v>
      </c>
      <c r="E145" s="227">
        <v>0.8601</v>
      </c>
      <c r="F145" s="227">
        <v>0.8601</v>
      </c>
      <c r="G145" s="227">
        <v>0.8601</v>
      </c>
      <c r="H145" s="227">
        <v>0.8601</v>
      </c>
      <c r="I145" s="227">
        <v>0.782</v>
      </c>
      <c r="J145" s="227">
        <v>0.782</v>
      </c>
      <c r="K145" s="227">
        <v>0.782</v>
      </c>
      <c r="L145" s="227">
        <v>0.782</v>
      </c>
      <c r="M145" s="227">
        <v>0.782</v>
      </c>
    </row>
    <row r="146" spans="1:13">
      <c r="A146" s="228">
        <v>4.2</v>
      </c>
      <c r="B146" s="227">
        <v>0.9535</v>
      </c>
      <c r="C146" s="227">
        <v>0.9535</v>
      </c>
      <c r="D146" s="227">
        <v>0.8547</v>
      </c>
      <c r="E146" s="227">
        <v>0.8547</v>
      </c>
      <c r="F146" s="227">
        <v>0.8547</v>
      </c>
      <c r="G146" s="227">
        <v>0.8547</v>
      </c>
      <c r="H146" s="227">
        <v>0.8547</v>
      </c>
      <c r="I146" s="227">
        <v>0.776</v>
      </c>
      <c r="J146" s="227">
        <v>0.776</v>
      </c>
      <c r="K146" s="227">
        <v>0.776</v>
      </c>
      <c r="L146" s="227">
        <v>0.776</v>
      </c>
      <c r="M146" s="227">
        <v>0.776</v>
      </c>
    </row>
    <row r="147" spans="1:13">
      <c r="A147" s="228">
        <v>4.3</v>
      </c>
      <c r="B147" s="227">
        <v>0.9482</v>
      </c>
      <c r="C147" s="227">
        <v>0.9482</v>
      </c>
      <c r="D147" s="227">
        <v>0.8496</v>
      </c>
      <c r="E147" s="227">
        <v>0.8496</v>
      </c>
      <c r="F147" s="227">
        <v>0.8496</v>
      </c>
      <c r="G147" s="227">
        <v>0.8496</v>
      </c>
      <c r="H147" s="227">
        <v>0.8496</v>
      </c>
      <c r="I147" s="227">
        <v>0.7703</v>
      </c>
      <c r="J147" s="227">
        <v>0.7703</v>
      </c>
      <c r="K147" s="227">
        <v>0.7703</v>
      </c>
      <c r="L147" s="227">
        <v>0.7703</v>
      </c>
      <c r="M147" s="227">
        <v>0.7703</v>
      </c>
    </row>
    <row r="148" spans="1:13">
      <c r="A148" s="228">
        <v>4.4</v>
      </c>
      <c r="B148" s="227">
        <v>0.9432</v>
      </c>
      <c r="C148" s="227">
        <v>0.9432</v>
      </c>
      <c r="D148" s="227">
        <v>0.8448</v>
      </c>
      <c r="E148" s="227">
        <v>0.8448</v>
      </c>
      <c r="F148" s="227">
        <v>0.8448</v>
      </c>
      <c r="G148" s="227">
        <v>0.8448</v>
      </c>
      <c r="H148" s="227">
        <v>0.8448</v>
      </c>
      <c r="I148" s="227">
        <v>0.7649</v>
      </c>
      <c r="J148" s="227">
        <v>0.7649</v>
      </c>
      <c r="K148" s="227">
        <v>0.7649</v>
      </c>
      <c r="L148" s="227">
        <v>0.7649</v>
      </c>
      <c r="M148" s="227">
        <v>0.7649</v>
      </c>
    </row>
    <row r="149" spans="1:13">
      <c r="A149" s="228">
        <v>4.5</v>
      </c>
      <c r="B149" s="227">
        <v>0.9385</v>
      </c>
      <c r="C149" s="227">
        <v>0.9385</v>
      </c>
      <c r="D149" s="227">
        <v>0.8402</v>
      </c>
      <c r="E149" s="227">
        <v>0.8402</v>
      </c>
      <c r="F149" s="227">
        <v>0.8402</v>
      </c>
      <c r="G149" s="227">
        <v>0.8402</v>
      </c>
      <c r="H149" s="227">
        <v>0.8402</v>
      </c>
      <c r="I149" s="227">
        <v>0.7597</v>
      </c>
      <c r="J149" s="227">
        <v>0.7597</v>
      </c>
      <c r="K149" s="227">
        <v>0.7597</v>
      </c>
      <c r="L149" s="227">
        <v>0.7597</v>
      </c>
      <c r="M149" s="227">
        <v>0.7597</v>
      </c>
    </row>
    <row r="150" spans="1:13">
      <c r="A150" s="228">
        <v>4.6</v>
      </c>
      <c r="B150" s="227">
        <v>0.9341</v>
      </c>
      <c r="C150" s="227">
        <v>0.9341</v>
      </c>
      <c r="D150" s="227">
        <v>0.8358</v>
      </c>
      <c r="E150" s="227">
        <v>0.8358</v>
      </c>
      <c r="F150" s="227">
        <v>0.8358</v>
      </c>
      <c r="G150" s="227">
        <v>0.8358</v>
      </c>
      <c r="H150" s="227">
        <v>0.8358</v>
      </c>
      <c r="I150" s="227">
        <v>0.7547</v>
      </c>
      <c r="J150" s="227">
        <v>0.7547</v>
      </c>
      <c r="K150" s="227">
        <v>0.7547</v>
      </c>
      <c r="L150" s="227">
        <v>0.7547</v>
      </c>
      <c r="M150" s="227">
        <v>0.7547</v>
      </c>
    </row>
    <row r="151" spans="1:13">
      <c r="A151" s="228">
        <v>4.7</v>
      </c>
      <c r="B151" s="227">
        <v>0.9299</v>
      </c>
      <c r="C151" s="227">
        <v>0.9299</v>
      </c>
      <c r="D151" s="227">
        <v>0.8316</v>
      </c>
      <c r="E151" s="227">
        <v>0.8316</v>
      </c>
      <c r="F151" s="227">
        <v>0.8316</v>
      </c>
      <c r="G151" s="227">
        <v>0.8316</v>
      </c>
      <c r="H151" s="227">
        <v>0.8316</v>
      </c>
      <c r="I151" s="227">
        <v>0.7499</v>
      </c>
      <c r="J151" s="227">
        <v>0.7499</v>
      </c>
      <c r="K151" s="227">
        <v>0.7499</v>
      </c>
      <c r="L151" s="227">
        <v>0.7499</v>
      </c>
      <c r="M151" s="227">
        <v>0.7499</v>
      </c>
    </row>
    <row r="152" spans="1:13">
      <c r="A152" s="228">
        <v>4.8</v>
      </c>
      <c r="B152" s="227">
        <v>0.9259</v>
      </c>
      <c r="C152" s="227">
        <v>0.9259</v>
      </c>
      <c r="D152" s="227">
        <v>0.8277</v>
      </c>
      <c r="E152" s="227">
        <v>0.8277</v>
      </c>
      <c r="F152" s="227">
        <v>0.8277</v>
      </c>
      <c r="G152" s="227">
        <v>0.8277</v>
      </c>
      <c r="H152" s="227">
        <v>0.8277</v>
      </c>
      <c r="I152" s="227">
        <v>0.7453</v>
      </c>
      <c r="J152" s="227">
        <v>0.7453</v>
      </c>
      <c r="K152" s="227">
        <v>0.7453</v>
      </c>
      <c r="L152" s="227">
        <v>0.7453</v>
      </c>
      <c r="M152" s="227">
        <v>0.7453</v>
      </c>
    </row>
    <row r="153" spans="1:13">
      <c r="A153" s="228">
        <v>4.9</v>
      </c>
      <c r="B153" s="227">
        <v>0.9221</v>
      </c>
      <c r="C153" s="227">
        <v>0.9221</v>
      </c>
      <c r="D153" s="227">
        <v>0.8239</v>
      </c>
      <c r="E153" s="227">
        <v>0.8239</v>
      </c>
      <c r="F153" s="227">
        <v>0.8239</v>
      </c>
      <c r="G153" s="227">
        <v>0.8239</v>
      </c>
      <c r="H153" s="227">
        <v>0.8239</v>
      </c>
      <c r="I153" s="227">
        <v>0.7409</v>
      </c>
      <c r="J153" s="227">
        <v>0.7409</v>
      </c>
      <c r="K153" s="227">
        <v>0.7409</v>
      </c>
      <c r="L153" s="227">
        <v>0.7409</v>
      </c>
      <c r="M153" s="227">
        <v>0.7409</v>
      </c>
    </row>
    <row r="154" spans="1:13">
      <c r="A154" s="228">
        <v>5</v>
      </c>
      <c r="B154" s="227">
        <v>0.9185</v>
      </c>
      <c r="C154" s="227">
        <v>0.9185</v>
      </c>
      <c r="D154" s="227">
        <v>0.8203</v>
      </c>
      <c r="E154" s="227">
        <v>0.8203</v>
      </c>
      <c r="F154" s="227">
        <v>0.8203</v>
      </c>
      <c r="G154" s="227">
        <v>0.8203</v>
      </c>
      <c r="H154" s="227">
        <v>0.8203</v>
      </c>
      <c r="I154" s="227">
        <v>0.7367</v>
      </c>
      <c r="J154" s="227">
        <v>0.7367</v>
      </c>
      <c r="K154" s="227">
        <v>0.7367</v>
      </c>
      <c r="L154" s="227">
        <v>0.7367</v>
      </c>
      <c r="M154" s="227">
        <v>0.7367</v>
      </c>
    </row>
    <row r="155" spans="1:13">
      <c r="A155" s="224">
        <v>5.1</v>
      </c>
      <c r="B155" s="227">
        <v>0.9151</v>
      </c>
      <c r="C155" s="227">
        <v>0.9151</v>
      </c>
      <c r="D155" s="227">
        <v>0.8169</v>
      </c>
      <c r="E155" s="227">
        <v>0.8169</v>
      </c>
      <c r="F155" s="227">
        <v>0.8169</v>
      </c>
      <c r="G155" s="227">
        <v>0.8169</v>
      </c>
      <c r="H155" s="227">
        <v>0.8169</v>
      </c>
      <c r="I155" s="227">
        <v>0.7327</v>
      </c>
      <c r="J155" s="227">
        <v>0.7327</v>
      </c>
      <c r="K155" s="227">
        <v>0.7327</v>
      </c>
      <c r="L155" s="227">
        <v>0.7327</v>
      </c>
      <c r="M155" s="227">
        <v>0.7327</v>
      </c>
    </row>
    <row r="156" spans="1:13">
      <c r="A156" s="224">
        <v>5.2</v>
      </c>
      <c r="B156" s="227">
        <v>0.9119</v>
      </c>
      <c r="C156" s="227">
        <v>0.9119</v>
      </c>
      <c r="D156" s="227">
        <v>0.8136</v>
      </c>
      <c r="E156" s="227">
        <v>0.8136</v>
      </c>
      <c r="F156" s="227">
        <v>0.8136</v>
      </c>
      <c r="G156" s="227">
        <v>0.8136</v>
      </c>
      <c r="H156" s="227">
        <v>0.8136</v>
      </c>
      <c r="I156" s="227">
        <v>0.7289</v>
      </c>
      <c r="J156" s="227">
        <v>0.7289</v>
      </c>
      <c r="K156" s="227">
        <v>0.7289</v>
      </c>
      <c r="L156" s="227">
        <v>0.7289</v>
      </c>
      <c r="M156" s="227">
        <v>0.7289</v>
      </c>
    </row>
    <row r="157" spans="1:13">
      <c r="A157" s="224">
        <v>5.3</v>
      </c>
      <c r="B157" s="227">
        <v>0.9088</v>
      </c>
      <c r="C157" s="227">
        <v>0.9088</v>
      </c>
      <c r="D157" s="227">
        <v>0.8105</v>
      </c>
      <c r="E157" s="227">
        <v>0.8105</v>
      </c>
      <c r="F157" s="227">
        <v>0.8105</v>
      </c>
      <c r="G157" s="227">
        <v>0.8105</v>
      </c>
      <c r="H157" s="227">
        <v>0.8105</v>
      </c>
      <c r="I157" s="227">
        <v>0.7253</v>
      </c>
      <c r="J157" s="227">
        <v>0.7253</v>
      </c>
      <c r="K157" s="227">
        <v>0.7253</v>
      </c>
      <c r="L157" s="227">
        <v>0.7253</v>
      </c>
      <c r="M157" s="227">
        <v>0.7253</v>
      </c>
    </row>
    <row r="158" spans="1:13">
      <c r="A158" s="224">
        <v>5.4</v>
      </c>
      <c r="B158" s="227">
        <v>0.9058</v>
      </c>
      <c r="C158" s="227">
        <v>0.9058</v>
      </c>
      <c r="D158" s="227">
        <v>0.8075</v>
      </c>
      <c r="E158" s="227">
        <v>0.8075</v>
      </c>
      <c r="F158" s="227">
        <v>0.8075</v>
      </c>
      <c r="G158" s="227">
        <v>0.8075</v>
      </c>
      <c r="H158" s="227">
        <v>0.8075</v>
      </c>
      <c r="I158" s="227">
        <v>0.7218</v>
      </c>
      <c r="J158" s="227">
        <v>0.7218</v>
      </c>
      <c r="K158" s="227">
        <v>0.7218</v>
      </c>
      <c r="L158" s="227">
        <v>0.7218</v>
      </c>
      <c r="M158" s="227">
        <v>0.7218</v>
      </c>
    </row>
    <row r="159" spans="1:13">
      <c r="A159" s="224">
        <v>5.5</v>
      </c>
      <c r="B159" s="227">
        <v>0.9029</v>
      </c>
      <c r="C159" s="227">
        <v>0.9029</v>
      </c>
      <c r="D159" s="227">
        <v>0.8047</v>
      </c>
      <c r="E159" s="227">
        <v>0.8047</v>
      </c>
      <c r="F159" s="227">
        <v>0.8047</v>
      </c>
      <c r="G159" s="227">
        <v>0.8047</v>
      </c>
      <c r="H159" s="227">
        <v>0.8047</v>
      </c>
      <c r="I159" s="227">
        <v>0.7184</v>
      </c>
      <c r="J159" s="227">
        <v>0.7184</v>
      </c>
      <c r="K159" s="227">
        <v>0.7184</v>
      </c>
      <c r="L159" s="227">
        <v>0.7184</v>
      </c>
      <c r="M159" s="227">
        <v>0.7184</v>
      </c>
    </row>
    <row r="160" spans="1:13">
      <c r="A160" s="224">
        <v>5.6</v>
      </c>
      <c r="B160" s="227">
        <v>0.9001</v>
      </c>
      <c r="C160" s="227">
        <v>0.9001</v>
      </c>
      <c r="D160" s="227">
        <v>0.802</v>
      </c>
      <c r="E160" s="227">
        <v>0.802</v>
      </c>
      <c r="F160" s="227">
        <v>0.802</v>
      </c>
      <c r="G160" s="227">
        <v>0.802</v>
      </c>
      <c r="H160" s="227">
        <v>0.802</v>
      </c>
      <c r="I160" s="227">
        <v>0.7151</v>
      </c>
      <c r="J160" s="227">
        <v>0.7151</v>
      </c>
      <c r="K160" s="227">
        <v>0.7151</v>
      </c>
      <c r="L160" s="227">
        <v>0.7151</v>
      </c>
      <c r="M160" s="227">
        <v>0.7151</v>
      </c>
    </row>
    <row r="161" spans="1:13">
      <c r="A161" s="228">
        <v>5.7</v>
      </c>
      <c r="B161" s="227">
        <v>0.8975</v>
      </c>
      <c r="C161" s="227">
        <v>0.8975</v>
      </c>
      <c r="D161" s="227">
        <v>0.7993</v>
      </c>
      <c r="E161" s="227">
        <v>0.7993</v>
      </c>
      <c r="F161" s="227">
        <v>0.7993</v>
      </c>
      <c r="G161" s="227">
        <v>0.7993</v>
      </c>
      <c r="H161" s="227">
        <v>0.7993</v>
      </c>
      <c r="I161" s="227">
        <v>0.7119</v>
      </c>
      <c r="J161" s="227">
        <v>0.7119</v>
      </c>
      <c r="K161" s="227">
        <v>0.7119</v>
      </c>
      <c r="L161" s="227">
        <v>0.7119</v>
      </c>
      <c r="M161" s="227">
        <v>0.7119</v>
      </c>
    </row>
    <row r="162" spans="1:13">
      <c r="A162" s="224">
        <v>5.8</v>
      </c>
      <c r="B162" s="227">
        <v>0.895</v>
      </c>
      <c r="C162" s="227">
        <v>0.895</v>
      </c>
      <c r="D162" s="227">
        <v>0.7968</v>
      </c>
      <c r="E162" s="227">
        <v>0.7968</v>
      </c>
      <c r="F162" s="227">
        <v>0.7968</v>
      </c>
      <c r="G162" s="227">
        <v>0.7968</v>
      </c>
      <c r="H162" s="227">
        <v>0.7968</v>
      </c>
      <c r="I162" s="227">
        <v>0.7088</v>
      </c>
      <c r="J162" s="227">
        <v>0.7088</v>
      </c>
      <c r="K162" s="227">
        <v>0.7088</v>
      </c>
      <c r="L162" s="227">
        <v>0.7088</v>
      </c>
      <c r="M162" s="227">
        <v>0.7088</v>
      </c>
    </row>
    <row r="163" spans="1:13">
      <c r="A163" s="224">
        <v>5.9</v>
      </c>
      <c r="B163" s="227">
        <v>0.8926</v>
      </c>
      <c r="C163" s="227">
        <v>0.8926</v>
      </c>
      <c r="D163" s="227">
        <v>0.7944</v>
      </c>
      <c r="E163" s="227">
        <v>0.7944</v>
      </c>
      <c r="F163" s="227">
        <v>0.7944</v>
      </c>
      <c r="G163" s="227">
        <v>0.7944</v>
      </c>
      <c r="H163" s="227">
        <v>0.7944</v>
      </c>
      <c r="I163" s="227">
        <v>0.7058</v>
      </c>
      <c r="J163" s="227">
        <v>0.7058</v>
      </c>
      <c r="K163" s="227">
        <v>0.7058</v>
      </c>
      <c r="L163" s="227">
        <v>0.7058</v>
      </c>
      <c r="M163" s="227">
        <v>0.7058</v>
      </c>
    </row>
    <row r="164" spans="1:13">
      <c r="A164" s="224">
        <v>6</v>
      </c>
      <c r="B164" s="227">
        <v>0.8903</v>
      </c>
      <c r="C164" s="227">
        <v>0.8903</v>
      </c>
      <c r="D164" s="227">
        <v>0.792</v>
      </c>
      <c r="E164" s="227">
        <v>0.792</v>
      </c>
      <c r="F164" s="227">
        <v>0.792</v>
      </c>
      <c r="G164" s="227">
        <v>0.792</v>
      </c>
      <c r="H164" s="227">
        <v>0.792</v>
      </c>
      <c r="I164" s="227">
        <v>0.7029</v>
      </c>
      <c r="J164" s="227">
        <v>0.7029</v>
      </c>
      <c r="K164" s="227">
        <v>0.7029</v>
      </c>
      <c r="L164" s="227">
        <v>0.7029</v>
      </c>
      <c r="M164" s="227">
        <v>0.7029</v>
      </c>
    </row>
    <row r="165" spans="1:13">
      <c r="A165" s="224">
        <v>6.1</v>
      </c>
      <c r="B165" s="227">
        <v>0.8881</v>
      </c>
      <c r="C165" s="227">
        <v>0.8881</v>
      </c>
      <c r="D165" s="227">
        <v>0.7898</v>
      </c>
      <c r="E165" s="227">
        <v>0.7898</v>
      </c>
      <c r="F165" s="227">
        <v>0.7898</v>
      </c>
      <c r="G165" s="227">
        <v>0.7898</v>
      </c>
      <c r="H165" s="227">
        <v>0.7898</v>
      </c>
      <c r="I165" s="227">
        <v>0.7001</v>
      </c>
      <c r="J165" s="227">
        <v>0.7001</v>
      </c>
      <c r="K165" s="227">
        <v>0.7001</v>
      </c>
      <c r="L165" s="227">
        <v>0.7001</v>
      </c>
      <c r="M165" s="227">
        <v>0.7001</v>
      </c>
    </row>
    <row r="166" spans="1:13">
      <c r="A166" s="224">
        <v>6.2</v>
      </c>
      <c r="B166" s="227">
        <v>0.886</v>
      </c>
      <c r="C166" s="227">
        <v>0.886</v>
      </c>
      <c r="D166" s="227">
        <v>0.7876</v>
      </c>
      <c r="E166" s="227">
        <v>0.7876</v>
      </c>
      <c r="F166" s="227">
        <v>0.7876</v>
      </c>
      <c r="G166" s="227">
        <v>0.7876</v>
      </c>
      <c r="H166" s="227">
        <v>0.7876</v>
      </c>
      <c r="I166" s="227">
        <v>0.6974</v>
      </c>
      <c r="J166" s="227">
        <v>0.6974</v>
      </c>
      <c r="K166" s="227">
        <v>0.6974</v>
      </c>
      <c r="L166" s="227">
        <v>0.6974</v>
      </c>
      <c r="M166" s="227">
        <v>0.6974</v>
      </c>
    </row>
    <row r="167" spans="1:13">
      <c r="A167" s="224">
        <v>6.3</v>
      </c>
      <c r="B167" s="227">
        <v>0.8839</v>
      </c>
      <c r="C167" s="227">
        <v>0.8839</v>
      </c>
      <c r="D167" s="227">
        <v>0.7855</v>
      </c>
      <c r="E167" s="227">
        <v>0.7855</v>
      </c>
      <c r="F167" s="227">
        <v>0.7855</v>
      </c>
      <c r="G167" s="227">
        <v>0.7855</v>
      </c>
      <c r="H167" s="227">
        <v>0.7855</v>
      </c>
      <c r="I167" s="227">
        <v>0.6948</v>
      </c>
      <c r="J167" s="227">
        <v>0.6948</v>
      </c>
      <c r="K167" s="227">
        <v>0.6948</v>
      </c>
      <c r="L167" s="227">
        <v>0.6948</v>
      </c>
      <c r="M167" s="227">
        <v>0.6948</v>
      </c>
    </row>
    <row r="168" spans="1:13">
      <c r="A168" s="224">
        <v>6.4</v>
      </c>
      <c r="B168" s="227">
        <v>0.8819</v>
      </c>
      <c r="C168" s="227">
        <v>0.8819</v>
      </c>
      <c r="D168" s="227">
        <v>0.7834</v>
      </c>
      <c r="E168" s="227">
        <v>0.7834</v>
      </c>
      <c r="F168" s="227">
        <v>0.7834</v>
      </c>
      <c r="G168" s="227">
        <v>0.7834</v>
      </c>
      <c r="H168" s="227">
        <v>0.7834</v>
      </c>
      <c r="I168" s="227">
        <v>0.6923</v>
      </c>
      <c r="J168" s="227">
        <v>0.6923</v>
      </c>
      <c r="K168" s="227">
        <v>0.6923</v>
      </c>
      <c r="L168" s="227">
        <v>0.6923</v>
      </c>
      <c r="M168" s="227">
        <v>0.6923</v>
      </c>
    </row>
    <row r="169" spans="1:13">
      <c r="A169" s="224">
        <v>6.5</v>
      </c>
      <c r="B169" s="227">
        <v>0.88</v>
      </c>
      <c r="C169" s="227">
        <v>0.88</v>
      </c>
      <c r="D169" s="227">
        <v>0.7814</v>
      </c>
      <c r="E169" s="227">
        <v>0.7814</v>
      </c>
      <c r="F169" s="227">
        <v>0.7814</v>
      </c>
      <c r="G169" s="227">
        <v>0.7814</v>
      </c>
      <c r="H169" s="227">
        <v>0.7814</v>
      </c>
      <c r="I169" s="227">
        <v>0.6899</v>
      </c>
      <c r="J169" s="227">
        <v>0.6899</v>
      </c>
      <c r="K169" s="227">
        <v>0.6899</v>
      </c>
      <c r="L169" s="227">
        <v>0.6899</v>
      </c>
      <c r="M169" s="227">
        <v>0.6899</v>
      </c>
    </row>
    <row r="170" spans="1:13">
      <c r="A170" s="224">
        <v>6.6</v>
      </c>
      <c r="B170" s="227">
        <v>0.8781</v>
      </c>
      <c r="C170" s="227">
        <v>0.8781</v>
      </c>
      <c r="D170" s="227">
        <v>0.7795</v>
      </c>
      <c r="E170" s="227">
        <v>0.7795</v>
      </c>
      <c r="F170" s="227">
        <v>0.7795</v>
      </c>
      <c r="G170" s="227">
        <v>0.7795</v>
      </c>
      <c r="H170" s="227">
        <v>0.7795</v>
      </c>
      <c r="I170" s="227">
        <v>0.6876</v>
      </c>
      <c r="J170" s="227">
        <v>0.6876</v>
      </c>
      <c r="K170" s="227">
        <v>0.6876</v>
      </c>
      <c r="L170" s="227">
        <v>0.6876</v>
      </c>
      <c r="M170" s="227">
        <v>0.6876</v>
      </c>
    </row>
    <row r="171" spans="1:13">
      <c r="A171" s="224">
        <v>6.7</v>
      </c>
      <c r="B171" s="227">
        <v>0.8763</v>
      </c>
      <c r="C171" s="227">
        <v>0.8763</v>
      </c>
      <c r="D171" s="227">
        <v>0.7776</v>
      </c>
      <c r="E171" s="227">
        <v>0.7776</v>
      </c>
      <c r="F171" s="227">
        <v>0.7776</v>
      </c>
      <c r="G171" s="227">
        <v>0.7776</v>
      </c>
      <c r="H171" s="227">
        <v>0.7776</v>
      </c>
      <c r="I171" s="227">
        <v>0.6853</v>
      </c>
      <c r="J171" s="227">
        <v>0.6853</v>
      </c>
      <c r="K171" s="227">
        <v>0.6853</v>
      </c>
      <c r="L171" s="227">
        <v>0.6853</v>
      </c>
      <c r="M171" s="227">
        <v>0.6853</v>
      </c>
    </row>
    <row r="172" spans="1:13">
      <c r="A172" s="224">
        <v>6.8</v>
      </c>
      <c r="B172" s="227">
        <v>0.8745</v>
      </c>
      <c r="C172" s="227">
        <v>0.8745</v>
      </c>
      <c r="D172" s="227">
        <v>0.7757</v>
      </c>
      <c r="E172" s="227">
        <v>0.7757</v>
      </c>
      <c r="F172" s="227">
        <v>0.7757</v>
      </c>
      <c r="G172" s="227">
        <v>0.7757</v>
      </c>
      <c r="H172" s="227">
        <v>0.7757</v>
      </c>
      <c r="I172" s="227">
        <v>0.6831</v>
      </c>
      <c r="J172" s="227">
        <v>0.6831</v>
      </c>
      <c r="K172" s="227">
        <v>0.6831</v>
      </c>
      <c r="L172" s="227">
        <v>0.6831</v>
      </c>
      <c r="M172" s="227">
        <v>0.6831</v>
      </c>
    </row>
    <row r="173" spans="1:13">
      <c r="A173" s="224">
        <v>6.9</v>
      </c>
      <c r="B173" s="227">
        <v>0.8728</v>
      </c>
      <c r="C173" s="227">
        <v>0.8728</v>
      </c>
      <c r="D173" s="227">
        <v>0.7739</v>
      </c>
      <c r="E173" s="227">
        <v>0.7739</v>
      </c>
      <c r="F173" s="227">
        <v>0.7739</v>
      </c>
      <c r="G173" s="227">
        <v>0.7739</v>
      </c>
      <c r="H173" s="227">
        <v>0.7739</v>
      </c>
      <c r="I173" s="227">
        <v>0.6809</v>
      </c>
      <c r="J173" s="227">
        <v>0.6809</v>
      </c>
      <c r="K173" s="227">
        <v>0.6809</v>
      </c>
      <c r="L173" s="227">
        <v>0.6809</v>
      </c>
      <c r="M173" s="227">
        <v>0.6809</v>
      </c>
    </row>
    <row r="174" spans="1:13">
      <c r="A174" s="224">
        <v>7</v>
      </c>
      <c r="B174" s="227">
        <v>0.8711</v>
      </c>
      <c r="C174" s="227">
        <v>0.8711</v>
      </c>
      <c r="D174" s="227">
        <v>0.7721</v>
      </c>
      <c r="E174" s="227">
        <v>0.7721</v>
      </c>
      <c r="F174" s="227">
        <v>0.7721</v>
      </c>
      <c r="G174" s="227">
        <v>0.7721</v>
      </c>
      <c r="H174" s="227">
        <v>0.7721</v>
      </c>
      <c r="I174" s="227">
        <v>0.6788</v>
      </c>
      <c r="J174" s="227">
        <v>0.6788</v>
      </c>
      <c r="K174" s="227">
        <v>0.6788</v>
      </c>
      <c r="L174" s="227">
        <v>0.6788</v>
      </c>
      <c r="M174" s="227">
        <v>0.6788</v>
      </c>
    </row>
    <row r="175" spans="1:13">
      <c r="A175" s="224">
        <v>7.1</v>
      </c>
      <c r="B175" s="227">
        <v>0.8694</v>
      </c>
      <c r="C175" s="227">
        <v>0.8694</v>
      </c>
      <c r="D175" s="227">
        <v>0.7704</v>
      </c>
      <c r="E175" s="227">
        <v>0.7704</v>
      </c>
      <c r="F175" s="227">
        <v>0.7704</v>
      </c>
      <c r="G175" s="227">
        <v>0.7704</v>
      </c>
      <c r="H175" s="227">
        <v>0.7704</v>
      </c>
      <c r="I175" s="227">
        <v>0.6767</v>
      </c>
      <c r="J175" s="227">
        <v>0.6767</v>
      </c>
      <c r="K175" s="227">
        <v>0.6767</v>
      </c>
      <c r="L175" s="227">
        <v>0.6767</v>
      </c>
      <c r="M175" s="227">
        <v>0.6767</v>
      </c>
    </row>
    <row r="176" spans="1:13">
      <c r="A176" s="224">
        <v>7.2</v>
      </c>
      <c r="B176" s="227">
        <v>0.8677</v>
      </c>
      <c r="C176" s="227">
        <v>0.8677</v>
      </c>
      <c r="D176" s="227">
        <v>0.7687</v>
      </c>
      <c r="E176" s="227">
        <v>0.7687</v>
      </c>
      <c r="F176" s="227">
        <v>0.7687</v>
      </c>
      <c r="G176" s="227">
        <v>0.7687</v>
      </c>
      <c r="H176" s="227">
        <v>0.7687</v>
      </c>
      <c r="I176" s="227">
        <v>0.6747</v>
      </c>
      <c r="J176" s="227">
        <v>0.6747</v>
      </c>
      <c r="K176" s="227">
        <v>0.6747</v>
      </c>
      <c r="L176" s="227">
        <v>0.6747</v>
      </c>
      <c r="M176" s="227">
        <v>0.6747</v>
      </c>
    </row>
    <row r="177" spans="1:13">
      <c r="A177" s="224">
        <v>7.3</v>
      </c>
      <c r="B177" s="227">
        <v>0.8661</v>
      </c>
      <c r="C177" s="227">
        <v>0.8661</v>
      </c>
      <c r="D177" s="227">
        <v>0.767</v>
      </c>
      <c r="E177" s="227">
        <v>0.767</v>
      </c>
      <c r="F177" s="227">
        <v>0.767</v>
      </c>
      <c r="G177" s="227">
        <v>0.767</v>
      </c>
      <c r="H177" s="227">
        <v>0.767</v>
      </c>
      <c r="I177" s="227">
        <v>0.6727</v>
      </c>
      <c r="J177" s="227">
        <v>0.6727</v>
      </c>
      <c r="K177" s="227">
        <v>0.6727</v>
      </c>
      <c r="L177" s="227">
        <v>0.6727</v>
      </c>
      <c r="M177" s="227">
        <v>0.6727</v>
      </c>
    </row>
    <row r="178" spans="1:13">
      <c r="A178" s="224">
        <v>7.4</v>
      </c>
      <c r="B178" s="227">
        <v>0.8645</v>
      </c>
      <c r="C178" s="227">
        <v>0.8645</v>
      </c>
      <c r="D178" s="227">
        <v>0.7653</v>
      </c>
      <c r="E178" s="227">
        <v>0.7653</v>
      </c>
      <c r="F178" s="227">
        <v>0.7653</v>
      </c>
      <c r="G178" s="227">
        <v>0.7653</v>
      </c>
      <c r="H178" s="227">
        <v>0.7653</v>
      </c>
      <c r="I178" s="227">
        <v>0.6708</v>
      </c>
      <c r="J178" s="227">
        <v>0.6708</v>
      </c>
      <c r="K178" s="227">
        <v>0.6708</v>
      </c>
      <c r="L178" s="227">
        <v>0.6708</v>
      </c>
      <c r="M178" s="227">
        <v>0.6708</v>
      </c>
    </row>
    <row r="179" spans="1:13">
      <c r="A179" s="224">
        <v>7.5</v>
      </c>
      <c r="B179" s="227">
        <v>0.863</v>
      </c>
      <c r="C179" s="227">
        <v>0.863</v>
      </c>
      <c r="D179" s="227">
        <v>0.7636</v>
      </c>
      <c r="E179" s="227">
        <v>0.7636</v>
      </c>
      <c r="F179" s="227">
        <v>0.7636</v>
      </c>
      <c r="G179" s="227">
        <v>0.7636</v>
      </c>
      <c r="H179" s="227">
        <v>0.7636</v>
      </c>
      <c r="I179" s="227">
        <v>0.6689</v>
      </c>
      <c r="J179" s="227">
        <v>0.6689</v>
      </c>
      <c r="K179" s="227">
        <v>0.6689</v>
      </c>
      <c r="L179" s="227">
        <v>0.6689</v>
      </c>
      <c r="M179" s="227">
        <v>0.6689</v>
      </c>
    </row>
    <row r="180" spans="1:13">
      <c r="A180" s="224">
        <v>7.6</v>
      </c>
      <c r="B180" s="227">
        <v>0.8615</v>
      </c>
      <c r="C180" s="227">
        <v>0.8615</v>
      </c>
      <c r="D180" s="227">
        <v>0.762</v>
      </c>
      <c r="E180" s="227">
        <v>0.762</v>
      </c>
      <c r="F180" s="227">
        <v>0.762</v>
      </c>
      <c r="G180" s="227">
        <v>0.762</v>
      </c>
      <c r="H180" s="227">
        <v>0.762</v>
      </c>
      <c r="I180" s="227">
        <v>0.667</v>
      </c>
      <c r="J180" s="227">
        <v>0.667</v>
      </c>
      <c r="K180" s="227">
        <v>0.667</v>
      </c>
      <c r="L180" s="227">
        <v>0.667</v>
      </c>
      <c r="M180" s="227">
        <v>0.667</v>
      </c>
    </row>
    <row r="181" spans="1:13">
      <c r="A181" s="224">
        <v>7.7</v>
      </c>
      <c r="B181" s="227">
        <v>0.86</v>
      </c>
      <c r="C181" s="227">
        <v>0.86</v>
      </c>
      <c r="D181" s="227">
        <v>0.7604</v>
      </c>
      <c r="E181" s="227">
        <v>0.7604</v>
      </c>
      <c r="F181" s="227">
        <v>0.7604</v>
      </c>
      <c r="G181" s="227">
        <v>0.7604</v>
      </c>
      <c r="H181" s="227">
        <v>0.7604</v>
      </c>
      <c r="I181" s="227">
        <v>0.6651</v>
      </c>
      <c r="J181" s="227">
        <v>0.6651</v>
      </c>
      <c r="K181" s="227">
        <v>0.6651</v>
      </c>
      <c r="L181" s="227">
        <v>0.6651</v>
      </c>
      <c r="M181" s="227">
        <v>0.6651</v>
      </c>
    </row>
    <row r="182" spans="1:13">
      <c r="A182" s="224">
        <v>7.8</v>
      </c>
      <c r="B182" s="227">
        <v>0.8585</v>
      </c>
      <c r="C182" s="227">
        <v>0.8585</v>
      </c>
      <c r="D182" s="227">
        <v>0.7588</v>
      </c>
      <c r="E182" s="227">
        <v>0.7588</v>
      </c>
      <c r="F182" s="227">
        <v>0.7588</v>
      </c>
      <c r="G182" s="227">
        <v>0.7588</v>
      </c>
      <c r="H182" s="227">
        <v>0.7588</v>
      </c>
      <c r="I182" s="227">
        <v>0.6633</v>
      </c>
      <c r="J182" s="227">
        <v>0.6633</v>
      </c>
      <c r="K182" s="227">
        <v>0.6633</v>
      </c>
      <c r="L182" s="227">
        <v>0.6633</v>
      </c>
      <c r="M182" s="227">
        <v>0.6633</v>
      </c>
    </row>
    <row r="183" spans="1:13">
      <c r="A183" s="224">
        <v>7.9</v>
      </c>
      <c r="B183" s="227">
        <v>0.857</v>
      </c>
      <c r="C183" s="227">
        <v>0.857</v>
      </c>
      <c r="D183" s="227">
        <v>0.7572</v>
      </c>
      <c r="E183" s="227">
        <v>0.7572</v>
      </c>
      <c r="F183" s="227">
        <v>0.7572</v>
      </c>
      <c r="G183" s="227">
        <v>0.7572</v>
      </c>
      <c r="H183" s="227">
        <v>0.7572</v>
      </c>
      <c r="I183" s="227">
        <v>0.6615</v>
      </c>
      <c r="J183" s="227">
        <v>0.6615</v>
      </c>
      <c r="K183" s="227">
        <v>0.6615</v>
      </c>
      <c r="L183" s="227">
        <v>0.6615</v>
      </c>
      <c r="M183" s="227">
        <v>0.6615</v>
      </c>
    </row>
    <row r="184" spans="1:13">
      <c r="A184" s="224">
        <v>8</v>
      </c>
      <c r="B184" s="227">
        <v>0.8555</v>
      </c>
      <c r="C184" s="227">
        <v>0.8555</v>
      </c>
      <c r="D184" s="227">
        <v>0.7557</v>
      </c>
      <c r="E184" s="227">
        <v>0.7557</v>
      </c>
      <c r="F184" s="227">
        <v>0.7557</v>
      </c>
      <c r="G184" s="227">
        <v>0.7557</v>
      </c>
      <c r="H184" s="227">
        <v>0.7557</v>
      </c>
      <c r="I184" s="227">
        <v>0.6597</v>
      </c>
      <c r="J184" s="227">
        <v>0.6597</v>
      </c>
      <c r="K184" s="227">
        <v>0.6597</v>
      </c>
      <c r="L184" s="227">
        <v>0.6597</v>
      </c>
      <c r="M184" s="227">
        <v>0.6597</v>
      </c>
    </row>
    <row r="185" spans="1:13">
      <c r="A185" s="224">
        <v>8.1</v>
      </c>
      <c r="B185" s="227">
        <v>0.854</v>
      </c>
      <c r="C185" s="227">
        <v>0.854</v>
      </c>
      <c r="D185" s="227">
        <v>0.7542</v>
      </c>
      <c r="E185" s="227">
        <v>0.7542</v>
      </c>
      <c r="F185" s="227">
        <v>0.7542</v>
      </c>
      <c r="G185" s="227">
        <v>0.7542</v>
      </c>
      <c r="H185" s="227">
        <v>0.7542</v>
      </c>
      <c r="I185" s="227">
        <v>0.658</v>
      </c>
      <c r="J185" s="227">
        <v>0.658</v>
      </c>
      <c r="K185" s="227">
        <v>0.658</v>
      </c>
      <c r="L185" s="227">
        <v>0.658</v>
      </c>
      <c r="M185" s="227">
        <v>0.658</v>
      </c>
    </row>
    <row r="186" spans="1:13">
      <c r="A186" s="224">
        <v>8.2</v>
      </c>
      <c r="B186" s="227">
        <v>0.8525</v>
      </c>
      <c r="C186" s="227">
        <v>0.8525</v>
      </c>
      <c r="D186" s="227">
        <v>0.7527</v>
      </c>
      <c r="E186" s="227">
        <v>0.7527</v>
      </c>
      <c r="F186" s="227">
        <v>0.7527</v>
      </c>
      <c r="G186" s="227">
        <v>0.7527</v>
      </c>
      <c r="H186" s="227">
        <v>0.7527</v>
      </c>
      <c r="I186" s="227">
        <v>0.6563</v>
      </c>
      <c r="J186" s="227">
        <v>0.6563</v>
      </c>
      <c r="K186" s="227">
        <v>0.6563</v>
      </c>
      <c r="L186" s="227">
        <v>0.6563</v>
      </c>
      <c r="M186" s="227">
        <v>0.6563</v>
      </c>
    </row>
    <row r="187" spans="1:13">
      <c r="A187" s="224">
        <v>8.3</v>
      </c>
      <c r="B187" s="227">
        <v>0.8511</v>
      </c>
      <c r="C187" s="227">
        <v>0.8511</v>
      </c>
      <c r="D187" s="227">
        <v>0.7512</v>
      </c>
      <c r="E187" s="227">
        <v>0.7512</v>
      </c>
      <c r="F187" s="227">
        <v>0.7512</v>
      </c>
      <c r="G187" s="227">
        <v>0.7512</v>
      </c>
      <c r="H187" s="227">
        <v>0.7512</v>
      </c>
      <c r="I187" s="227">
        <v>0.6546</v>
      </c>
      <c r="J187" s="227">
        <v>0.6546</v>
      </c>
      <c r="K187" s="227">
        <v>0.6546</v>
      </c>
      <c r="L187" s="227">
        <v>0.6546</v>
      </c>
      <c r="M187" s="227">
        <v>0.6546</v>
      </c>
    </row>
    <row r="188" spans="1:13">
      <c r="A188" s="224">
        <v>8.4</v>
      </c>
      <c r="B188" s="227">
        <v>0.8497</v>
      </c>
      <c r="C188" s="227">
        <v>0.8497</v>
      </c>
      <c r="D188" s="227">
        <v>0.7497</v>
      </c>
      <c r="E188" s="227">
        <v>0.7497</v>
      </c>
      <c r="F188" s="227">
        <v>0.7497</v>
      </c>
      <c r="G188" s="227">
        <v>0.7497</v>
      </c>
      <c r="H188" s="227">
        <v>0.7497</v>
      </c>
      <c r="I188" s="227">
        <v>0.653</v>
      </c>
      <c r="J188" s="227">
        <v>0.653</v>
      </c>
      <c r="K188" s="227">
        <v>0.653</v>
      </c>
      <c r="L188" s="227">
        <v>0.653</v>
      </c>
      <c r="M188" s="227">
        <v>0.653</v>
      </c>
    </row>
    <row r="189" spans="1:13">
      <c r="A189" s="224">
        <v>8.5</v>
      </c>
      <c r="B189" s="227">
        <v>0.8483</v>
      </c>
      <c r="C189" s="227">
        <v>0.8483</v>
      </c>
      <c r="D189" s="227">
        <v>0.7482</v>
      </c>
      <c r="E189" s="227">
        <v>0.7482</v>
      </c>
      <c r="F189" s="227">
        <v>0.7482</v>
      </c>
      <c r="G189" s="227">
        <v>0.7482</v>
      </c>
      <c r="H189" s="227">
        <v>0.7482</v>
      </c>
      <c r="I189" s="227">
        <v>0.6514</v>
      </c>
      <c r="J189" s="227">
        <v>0.6514</v>
      </c>
      <c r="K189" s="227">
        <v>0.6514</v>
      </c>
      <c r="L189" s="227">
        <v>0.6514</v>
      </c>
      <c r="M189" s="227">
        <v>0.6514</v>
      </c>
    </row>
    <row r="190" spans="1:13">
      <c r="A190" s="224">
        <v>8.6</v>
      </c>
      <c r="B190" s="227">
        <v>0.8469</v>
      </c>
      <c r="C190" s="227">
        <v>0.8469</v>
      </c>
      <c r="D190" s="227">
        <v>0.7467</v>
      </c>
      <c r="E190" s="227">
        <v>0.7467</v>
      </c>
      <c r="F190" s="227">
        <v>0.7467</v>
      </c>
      <c r="G190" s="227">
        <v>0.7467</v>
      </c>
      <c r="H190" s="227">
        <v>0.7467</v>
      </c>
      <c r="I190" s="227">
        <v>0.6498</v>
      </c>
      <c r="J190" s="227">
        <v>0.6498</v>
      </c>
      <c r="K190" s="227">
        <v>0.6498</v>
      </c>
      <c r="L190" s="227">
        <v>0.6498</v>
      </c>
      <c r="M190" s="227">
        <v>0.6498</v>
      </c>
    </row>
    <row r="191" spans="1:13">
      <c r="A191" s="224">
        <v>8.7</v>
      </c>
      <c r="B191" s="227">
        <v>0.8455</v>
      </c>
      <c r="C191" s="227">
        <v>0.8455</v>
      </c>
      <c r="D191" s="227">
        <v>0.7452</v>
      </c>
      <c r="E191" s="227">
        <v>0.7452</v>
      </c>
      <c r="F191" s="227">
        <v>0.7452</v>
      </c>
      <c r="G191" s="227">
        <v>0.7452</v>
      </c>
      <c r="H191" s="227">
        <v>0.7452</v>
      </c>
      <c r="I191" s="227">
        <v>0.6482</v>
      </c>
      <c r="J191" s="227">
        <v>0.6482</v>
      </c>
      <c r="K191" s="227">
        <v>0.6482</v>
      </c>
      <c r="L191" s="227">
        <v>0.6482</v>
      </c>
      <c r="M191" s="227">
        <v>0.6482</v>
      </c>
    </row>
    <row r="192" spans="1:13">
      <c r="A192" s="224">
        <v>8.8</v>
      </c>
      <c r="B192" s="227">
        <v>0.8441</v>
      </c>
      <c r="C192" s="227">
        <v>0.8441</v>
      </c>
      <c r="D192" s="227">
        <v>0.7437</v>
      </c>
      <c r="E192" s="227">
        <v>0.7437</v>
      </c>
      <c r="F192" s="227">
        <v>0.7437</v>
      </c>
      <c r="G192" s="227">
        <v>0.7437</v>
      </c>
      <c r="H192" s="227">
        <v>0.7437</v>
      </c>
      <c r="I192" s="227">
        <v>0.6466</v>
      </c>
      <c r="J192" s="227">
        <v>0.6466</v>
      </c>
      <c r="K192" s="227">
        <v>0.6466</v>
      </c>
      <c r="L192" s="227">
        <v>0.6466</v>
      </c>
      <c r="M192" s="227">
        <v>0.6466</v>
      </c>
    </row>
    <row r="193" spans="1:13">
      <c r="A193" s="224">
        <v>8.9</v>
      </c>
      <c r="B193" s="227">
        <v>0.8428</v>
      </c>
      <c r="C193" s="227">
        <v>0.8428</v>
      </c>
      <c r="D193" s="227">
        <v>0.7422</v>
      </c>
      <c r="E193" s="227">
        <v>0.7422</v>
      </c>
      <c r="F193" s="227">
        <v>0.7422</v>
      </c>
      <c r="G193" s="227">
        <v>0.7422</v>
      </c>
      <c r="H193" s="227">
        <v>0.7422</v>
      </c>
      <c r="I193" s="227">
        <v>0.645</v>
      </c>
      <c r="J193" s="227">
        <v>0.645</v>
      </c>
      <c r="K193" s="227">
        <v>0.645</v>
      </c>
      <c r="L193" s="227">
        <v>0.645</v>
      </c>
      <c r="M193" s="227">
        <v>0.645</v>
      </c>
    </row>
    <row r="194" spans="1:13">
      <c r="A194" s="228">
        <v>9</v>
      </c>
      <c r="B194" s="227">
        <v>0.8415</v>
      </c>
      <c r="C194" s="227">
        <v>0.8415</v>
      </c>
      <c r="D194" s="227">
        <v>0.7407</v>
      </c>
      <c r="E194" s="227">
        <v>0.7407</v>
      </c>
      <c r="F194" s="227">
        <v>0.7407</v>
      </c>
      <c r="G194" s="227">
        <v>0.7407</v>
      </c>
      <c r="H194" s="227">
        <v>0.7407</v>
      </c>
      <c r="I194" s="227">
        <v>0.6435</v>
      </c>
      <c r="J194" s="227">
        <v>0.6435</v>
      </c>
      <c r="K194" s="227">
        <v>0.6435</v>
      </c>
      <c r="L194" s="227">
        <v>0.6435</v>
      </c>
      <c r="M194" s="227">
        <v>0.6435</v>
      </c>
    </row>
    <row r="195" spans="1:13">
      <c r="A195" s="228">
        <v>9.1</v>
      </c>
      <c r="B195" s="227">
        <v>0.8402</v>
      </c>
      <c r="C195" s="227">
        <v>0.8402</v>
      </c>
      <c r="D195" s="227">
        <v>0.7392</v>
      </c>
      <c r="E195" s="227">
        <v>0.7392</v>
      </c>
      <c r="F195" s="227">
        <v>0.7392</v>
      </c>
      <c r="G195" s="227">
        <v>0.7392</v>
      </c>
      <c r="H195" s="227">
        <v>0.7392</v>
      </c>
      <c r="I195" s="227">
        <v>0.642</v>
      </c>
      <c r="J195" s="227">
        <v>0.642</v>
      </c>
      <c r="K195" s="227">
        <v>0.642</v>
      </c>
      <c r="L195" s="227">
        <v>0.642</v>
      </c>
      <c r="M195" s="227">
        <v>0.642</v>
      </c>
    </row>
    <row r="196" spans="1:13">
      <c r="A196" s="228">
        <v>9.2</v>
      </c>
      <c r="B196" s="227">
        <v>0.8389</v>
      </c>
      <c r="C196" s="227">
        <v>0.8389</v>
      </c>
      <c r="D196" s="227">
        <v>0.7377</v>
      </c>
      <c r="E196" s="227">
        <v>0.7377</v>
      </c>
      <c r="F196" s="227">
        <v>0.7377</v>
      </c>
      <c r="G196" s="227">
        <v>0.7377</v>
      </c>
      <c r="H196" s="227">
        <v>0.7377</v>
      </c>
      <c r="I196" s="227">
        <v>0.6406</v>
      </c>
      <c r="J196" s="227">
        <v>0.6406</v>
      </c>
      <c r="K196" s="227">
        <v>0.6406</v>
      </c>
      <c r="L196" s="227">
        <v>0.6406</v>
      </c>
      <c r="M196" s="227">
        <v>0.6406</v>
      </c>
    </row>
    <row r="197" spans="1:13">
      <c r="A197" s="228">
        <v>9.3</v>
      </c>
      <c r="B197" s="227">
        <v>0.8376</v>
      </c>
      <c r="C197" s="227">
        <v>0.8376</v>
      </c>
      <c r="D197" s="227">
        <v>0.7363</v>
      </c>
      <c r="E197" s="227">
        <v>0.7363</v>
      </c>
      <c r="F197" s="227">
        <v>0.7363</v>
      </c>
      <c r="G197" s="227">
        <v>0.7363</v>
      </c>
      <c r="H197" s="227">
        <v>0.7363</v>
      </c>
      <c r="I197" s="227">
        <v>0.6392</v>
      </c>
      <c r="J197" s="227">
        <v>0.6392</v>
      </c>
      <c r="K197" s="227">
        <v>0.6392</v>
      </c>
      <c r="L197" s="227">
        <v>0.6392</v>
      </c>
      <c r="M197" s="227">
        <v>0.6392</v>
      </c>
    </row>
    <row r="198" spans="1:13">
      <c r="A198" s="228">
        <v>9.4</v>
      </c>
      <c r="B198" s="227">
        <v>0.8363</v>
      </c>
      <c r="C198" s="227">
        <v>0.8363</v>
      </c>
      <c r="D198" s="227">
        <v>0.7349</v>
      </c>
      <c r="E198" s="227">
        <v>0.7349</v>
      </c>
      <c r="F198" s="227">
        <v>0.7349</v>
      </c>
      <c r="G198" s="227">
        <v>0.7349</v>
      </c>
      <c r="H198" s="227">
        <v>0.7349</v>
      </c>
      <c r="I198" s="227">
        <v>0.6378</v>
      </c>
      <c r="J198" s="227">
        <v>0.6378</v>
      </c>
      <c r="K198" s="227">
        <v>0.6378</v>
      </c>
      <c r="L198" s="227">
        <v>0.6378</v>
      </c>
      <c r="M198" s="227">
        <v>0.6378</v>
      </c>
    </row>
    <row r="199" spans="1:13">
      <c r="A199" s="228">
        <v>9.5</v>
      </c>
      <c r="B199" s="227">
        <v>0.835</v>
      </c>
      <c r="C199" s="227">
        <v>0.835</v>
      </c>
      <c r="D199" s="227">
        <v>0.7335</v>
      </c>
      <c r="E199" s="227">
        <v>0.7335</v>
      </c>
      <c r="F199" s="227">
        <v>0.7335</v>
      </c>
      <c r="G199" s="227">
        <v>0.7335</v>
      </c>
      <c r="H199" s="227">
        <v>0.7335</v>
      </c>
      <c r="I199" s="227">
        <v>0.6364</v>
      </c>
      <c r="J199" s="227">
        <v>0.6364</v>
      </c>
      <c r="K199" s="227">
        <v>0.6364</v>
      </c>
      <c r="L199" s="227">
        <v>0.6364</v>
      </c>
      <c r="M199" s="227">
        <v>0.6364</v>
      </c>
    </row>
    <row r="200" spans="1:13">
      <c r="A200" s="228">
        <v>9.6</v>
      </c>
      <c r="B200" s="227">
        <v>0.8338</v>
      </c>
      <c r="C200" s="227">
        <v>0.8338</v>
      </c>
      <c r="D200" s="227">
        <v>0.7321</v>
      </c>
      <c r="E200" s="227">
        <v>0.7321</v>
      </c>
      <c r="F200" s="227">
        <v>0.7321</v>
      </c>
      <c r="G200" s="227">
        <v>0.7321</v>
      </c>
      <c r="H200" s="227">
        <v>0.7321</v>
      </c>
      <c r="I200" s="227">
        <v>0.635</v>
      </c>
      <c r="J200" s="227">
        <v>0.635</v>
      </c>
      <c r="K200" s="227">
        <v>0.635</v>
      </c>
      <c r="L200" s="227">
        <v>0.635</v>
      </c>
      <c r="M200" s="227">
        <v>0.635</v>
      </c>
    </row>
    <row r="201" spans="1:13">
      <c r="A201" s="228">
        <v>9.7</v>
      </c>
      <c r="B201" s="227">
        <v>0.8326</v>
      </c>
      <c r="C201" s="227">
        <v>0.8326</v>
      </c>
      <c r="D201" s="227">
        <v>0.7307</v>
      </c>
      <c r="E201" s="227">
        <v>0.7307</v>
      </c>
      <c r="F201" s="227">
        <v>0.7307</v>
      </c>
      <c r="G201" s="227">
        <v>0.7307</v>
      </c>
      <c r="H201" s="227">
        <v>0.7307</v>
      </c>
      <c r="I201" s="227">
        <v>0.6336</v>
      </c>
      <c r="J201" s="227">
        <v>0.6336</v>
      </c>
      <c r="K201" s="227">
        <v>0.6336</v>
      </c>
      <c r="L201" s="227">
        <v>0.6336</v>
      </c>
      <c r="M201" s="227">
        <v>0.6336</v>
      </c>
    </row>
    <row r="202" spans="1:13">
      <c r="A202" s="228">
        <v>9.8</v>
      </c>
      <c r="B202" s="227">
        <v>0.8314</v>
      </c>
      <c r="C202" s="227">
        <v>0.8314</v>
      </c>
      <c r="D202" s="227">
        <v>0.7293</v>
      </c>
      <c r="E202" s="227">
        <v>0.7293</v>
      </c>
      <c r="F202" s="227">
        <v>0.7293</v>
      </c>
      <c r="G202" s="227">
        <v>0.7293</v>
      </c>
      <c r="H202" s="227">
        <v>0.7293</v>
      </c>
      <c r="I202" s="227">
        <v>0.6322</v>
      </c>
      <c r="J202" s="227">
        <v>0.6322</v>
      </c>
      <c r="K202" s="227">
        <v>0.6322</v>
      </c>
      <c r="L202" s="227">
        <v>0.6322</v>
      </c>
      <c r="M202" s="227">
        <v>0.6322</v>
      </c>
    </row>
    <row r="203" spans="1:13">
      <c r="A203" s="228">
        <v>9.9</v>
      </c>
      <c r="B203" s="227">
        <v>0.8302</v>
      </c>
      <c r="C203" s="227">
        <v>0.8302</v>
      </c>
      <c r="D203" s="227">
        <v>0.728</v>
      </c>
      <c r="E203" s="227">
        <v>0.728</v>
      </c>
      <c r="F203" s="227">
        <v>0.728</v>
      </c>
      <c r="G203" s="227">
        <v>0.728</v>
      </c>
      <c r="H203" s="227">
        <v>0.728</v>
      </c>
      <c r="I203" s="227">
        <v>0.6308</v>
      </c>
      <c r="J203" s="227">
        <v>0.6308</v>
      </c>
      <c r="K203" s="227">
        <v>0.6308</v>
      </c>
      <c r="L203" s="227">
        <v>0.6308</v>
      </c>
      <c r="M203" s="227">
        <v>0.6308</v>
      </c>
    </row>
    <row r="204" spans="1:13">
      <c r="A204" s="228">
        <v>10</v>
      </c>
      <c r="B204" s="227">
        <v>0.829</v>
      </c>
      <c r="C204" s="227">
        <v>0.829</v>
      </c>
      <c r="D204" s="227">
        <v>0.7267</v>
      </c>
      <c r="E204" s="227">
        <v>0.7267</v>
      </c>
      <c r="F204" s="227">
        <v>0.7267</v>
      </c>
      <c r="G204" s="227">
        <v>0.7267</v>
      </c>
      <c r="H204" s="227">
        <v>0.7267</v>
      </c>
      <c r="I204" s="227">
        <v>0.6294</v>
      </c>
      <c r="J204" s="227">
        <v>0.6294</v>
      </c>
      <c r="K204" s="227">
        <v>0.6294</v>
      </c>
      <c r="L204" s="227">
        <v>0.6294</v>
      </c>
      <c r="M204" s="227">
        <v>0.6294</v>
      </c>
    </row>
    <row r="205" ht="14.25" spans="1:13">
      <c r="A205" s="222" t="s">
        <v>2331</v>
      </c>
      <c r="B205" s="223"/>
      <c r="C205" s="223"/>
      <c r="D205" s="223"/>
      <c r="E205" s="223"/>
      <c r="F205" s="223"/>
      <c r="G205" s="223"/>
      <c r="H205" s="223"/>
      <c r="I205" s="223"/>
      <c r="J205" s="223"/>
      <c r="K205" s="223"/>
      <c r="L205" s="223"/>
      <c r="M205" s="223"/>
    </row>
    <row r="206" spans="1:13">
      <c r="A206" s="224" t="s">
        <v>2329</v>
      </c>
      <c r="B206" s="225" t="s">
        <v>1738</v>
      </c>
      <c r="C206" s="225" t="s">
        <v>1744</v>
      </c>
      <c r="D206" s="225" t="s">
        <v>1764</v>
      </c>
      <c r="E206" s="225" t="s">
        <v>1785</v>
      </c>
      <c r="F206" s="225" t="s">
        <v>1813</v>
      </c>
      <c r="G206" s="225" t="s">
        <v>1848</v>
      </c>
      <c r="H206" s="226" t="s">
        <v>1897</v>
      </c>
      <c r="I206" s="226" t="s">
        <v>1946</v>
      </c>
      <c r="J206" s="229" t="s">
        <v>1986</v>
      </c>
      <c r="K206" s="229" t="s">
        <v>2032</v>
      </c>
      <c r="L206" s="229" t="s">
        <v>2060</v>
      </c>
      <c r="M206" s="229" t="s">
        <v>2082</v>
      </c>
    </row>
    <row r="207" spans="1:13">
      <c r="A207" s="224">
        <v>0.1</v>
      </c>
      <c r="B207" s="227">
        <v>12.172</v>
      </c>
      <c r="C207" s="227">
        <v>12.172</v>
      </c>
      <c r="D207" s="227">
        <v>12.376</v>
      </c>
      <c r="E207" s="227">
        <v>12.376</v>
      </c>
      <c r="F207" s="227">
        <v>12.376</v>
      </c>
      <c r="G207" s="227">
        <v>12.376</v>
      </c>
      <c r="H207" s="227">
        <v>12.376</v>
      </c>
      <c r="I207" s="227">
        <v>11.072</v>
      </c>
      <c r="J207" s="227">
        <v>11.072</v>
      </c>
      <c r="K207" s="227">
        <v>11.072</v>
      </c>
      <c r="L207" s="227">
        <v>11.072</v>
      </c>
      <c r="M207" s="227">
        <v>11.072</v>
      </c>
    </row>
    <row r="208" spans="1:13">
      <c r="A208" s="224">
        <v>0.2</v>
      </c>
      <c r="B208" s="227">
        <v>6.086</v>
      </c>
      <c r="C208" s="227">
        <v>6.086</v>
      </c>
      <c r="D208" s="227">
        <v>6.188</v>
      </c>
      <c r="E208" s="227">
        <v>6.188</v>
      </c>
      <c r="F208" s="227">
        <v>6.188</v>
      </c>
      <c r="G208" s="227">
        <v>6.188</v>
      </c>
      <c r="H208" s="227">
        <v>6.188</v>
      </c>
      <c r="I208" s="227">
        <v>5.536</v>
      </c>
      <c r="J208" s="227">
        <v>5.536</v>
      </c>
      <c r="K208" s="227">
        <v>5.536</v>
      </c>
      <c r="L208" s="227">
        <v>5.536</v>
      </c>
      <c r="M208" s="227">
        <v>5.536</v>
      </c>
    </row>
    <row r="209" spans="1:13">
      <c r="A209" s="224">
        <v>0.3</v>
      </c>
      <c r="B209" s="227">
        <v>4.0573</v>
      </c>
      <c r="C209" s="227">
        <v>4.0573</v>
      </c>
      <c r="D209" s="227">
        <v>4.1253</v>
      </c>
      <c r="E209" s="227">
        <v>4.1253</v>
      </c>
      <c r="F209" s="227">
        <v>4.1253</v>
      </c>
      <c r="G209" s="227">
        <v>4.1253</v>
      </c>
      <c r="H209" s="227">
        <v>4.1253</v>
      </c>
      <c r="I209" s="227">
        <v>3.6907</v>
      </c>
      <c r="J209" s="227">
        <v>3.6907</v>
      </c>
      <c r="K209" s="227">
        <v>3.6907</v>
      </c>
      <c r="L209" s="227">
        <v>3.6907</v>
      </c>
      <c r="M209" s="227">
        <v>3.6907</v>
      </c>
    </row>
    <row r="210" spans="1:13">
      <c r="A210" s="224">
        <v>0.4</v>
      </c>
      <c r="B210" s="227">
        <v>3.043</v>
      </c>
      <c r="C210" s="227">
        <v>3.043</v>
      </c>
      <c r="D210" s="227">
        <v>3.094</v>
      </c>
      <c r="E210" s="227">
        <v>3.094</v>
      </c>
      <c r="F210" s="227">
        <v>3.094</v>
      </c>
      <c r="G210" s="227">
        <v>3.094</v>
      </c>
      <c r="H210" s="227">
        <v>3.094</v>
      </c>
      <c r="I210" s="227">
        <v>2.768</v>
      </c>
      <c r="J210" s="227">
        <v>2.768</v>
      </c>
      <c r="K210" s="227">
        <v>2.768</v>
      </c>
      <c r="L210" s="227">
        <v>2.768</v>
      </c>
      <c r="M210" s="227">
        <v>2.768</v>
      </c>
    </row>
    <row r="211" spans="1:13">
      <c r="A211" s="224">
        <v>0.5</v>
      </c>
      <c r="B211" s="227">
        <v>2.4344</v>
      </c>
      <c r="C211" s="227">
        <v>2.4344</v>
      </c>
      <c r="D211" s="227">
        <v>2.4752</v>
      </c>
      <c r="E211" s="227">
        <v>2.4752</v>
      </c>
      <c r="F211" s="227">
        <v>2.4752</v>
      </c>
      <c r="G211" s="227">
        <v>2.4752</v>
      </c>
      <c r="H211" s="227">
        <v>2.4752</v>
      </c>
      <c r="I211" s="227">
        <v>2.2144</v>
      </c>
      <c r="J211" s="227">
        <v>2.2144</v>
      </c>
      <c r="K211" s="227">
        <v>2.2144</v>
      </c>
      <c r="L211" s="227">
        <v>2.2144</v>
      </c>
      <c r="M211" s="227">
        <v>2.2144</v>
      </c>
    </row>
    <row r="212" spans="1:13">
      <c r="A212" s="224">
        <v>0.6</v>
      </c>
      <c r="B212" s="227">
        <v>2.0287</v>
      </c>
      <c r="C212" s="227">
        <v>2.0287</v>
      </c>
      <c r="D212" s="227">
        <v>2.0627</v>
      </c>
      <c r="E212" s="227">
        <v>2.0627</v>
      </c>
      <c r="F212" s="227">
        <v>2.0627</v>
      </c>
      <c r="G212" s="227">
        <v>2.0627</v>
      </c>
      <c r="H212" s="227">
        <v>2.0627</v>
      </c>
      <c r="I212" s="227">
        <v>1.8453</v>
      </c>
      <c r="J212" s="227">
        <v>1.8453</v>
      </c>
      <c r="K212" s="227">
        <v>1.8453</v>
      </c>
      <c r="L212" s="227">
        <v>1.8453</v>
      </c>
      <c r="M212" s="227">
        <v>1.8453</v>
      </c>
    </row>
    <row r="213" spans="1:13">
      <c r="A213" s="224">
        <v>0.7</v>
      </c>
      <c r="B213" s="227">
        <v>1.7389</v>
      </c>
      <c r="C213" s="227">
        <v>1.7389</v>
      </c>
      <c r="D213" s="227">
        <v>1.768</v>
      </c>
      <c r="E213" s="227">
        <v>1.768</v>
      </c>
      <c r="F213" s="227">
        <v>1.768</v>
      </c>
      <c r="G213" s="227">
        <v>1.768</v>
      </c>
      <c r="H213" s="227">
        <v>1.768</v>
      </c>
      <c r="I213" s="227">
        <v>1.5817</v>
      </c>
      <c r="J213" s="227">
        <v>1.5817</v>
      </c>
      <c r="K213" s="227">
        <v>1.5817</v>
      </c>
      <c r="L213" s="227">
        <v>1.5817</v>
      </c>
      <c r="M213" s="227">
        <v>1.5817</v>
      </c>
    </row>
    <row r="214" spans="1:13">
      <c r="A214" s="224">
        <v>0.8</v>
      </c>
      <c r="B214" s="227">
        <v>1.5215</v>
      </c>
      <c r="C214" s="227">
        <v>1.5215</v>
      </c>
      <c r="D214" s="227">
        <v>1.547</v>
      </c>
      <c r="E214" s="227">
        <v>1.547</v>
      </c>
      <c r="F214" s="227">
        <v>1.547</v>
      </c>
      <c r="G214" s="227">
        <v>1.547</v>
      </c>
      <c r="H214" s="227">
        <v>1.547</v>
      </c>
      <c r="I214" s="227">
        <v>1.384</v>
      </c>
      <c r="J214" s="227">
        <v>1.384</v>
      </c>
      <c r="K214" s="227">
        <v>1.384</v>
      </c>
      <c r="L214" s="227">
        <v>1.384</v>
      </c>
      <c r="M214" s="227">
        <v>1.384</v>
      </c>
    </row>
    <row r="215" spans="1:13">
      <c r="A215" s="224">
        <v>0.9</v>
      </c>
      <c r="B215" s="227">
        <v>1.3524</v>
      </c>
      <c r="C215" s="227">
        <v>1.3524</v>
      </c>
      <c r="D215" s="227">
        <v>1.3751</v>
      </c>
      <c r="E215" s="227">
        <v>1.3751</v>
      </c>
      <c r="F215" s="227">
        <v>1.3751</v>
      </c>
      <c r="G215" s="227">
        <v>1.3751</v>
      </c>
      <c r="H215" s="227">
        <v>1.3751</v>
      </c>
      <c r="I215" s="227">
        <v>1.2302</v>
      </c>
      <c r="J215" s="227">
        <v>1.2302</v>
      </c>
      <c r="K215" s="227">
        <v>1.2302</v>
      </c>
      <c r="L215" s="227">
        <v>1.2302</v>
      </c>
      <c r="M215" s="227">
        <v>1.2302</v>
      </c>
    </row>
    <row r="216" spans="1:13">
      <c r="A216" s="224">
        <v>1</v>
      </c>
      <c r="B216" s="227">
        <v>1.2172</v>
      </c>
      <c r="C216" s="227">
        <v>1.2172</v>
      </c>
      <c r="D216" s="227">
        <v>1.2376</v>
      </c>
      <c r="E216" s="227">
        <v>1.2376</v>
      </c>
      <c r="F216" s="227">
        <v>1.2376</v>
      </c>
      <c r="G216" s="227">
        <v>1.2376</v>
      </c>
      <c r="H216" s="227">
        <v>1.2376</v>
      </c>
      <c r="I216" s="227">
        <v>1.1072</v>
      </c>
      <c r="J216" s="227">
        <v>1.1072</v>
      </c>
      <c r="K216" s="227">
        <v>1.1072</v>
      </c>
      <c r="L216" s="227">
        <v>1.1072</v>
      </c>
      <c r="M216" s="227">
        <v>1.1072</v>
      </c>
    </row>
    <row r="217" spans="1:13">
      <c r="A217" s="224">
        <v>1.1</v>
      </c>
      <c r="B217" s="227">
        <v>1.198</v>
      </c>
      <c r="C217" s="227">
        <v>1.198</v>
      </c>
      <c r="D217" s="227">
        <v>1.2156</v>
      </c>
      <c r="E217" s="227">
        <v>1.2156</v>
      </c>
      <c r="F217" s="227">
        <v>1.2156</v>
      </c>
      <c r="G217" s="227">
        <v>1.2156</v>
      </c>
      <c r="H217" s="227">
        <v>1.2156</v>
      </c>
      <c r="I217" s="227">
        <v>1.0829</v>
      </c>
      <c r="J217" s="227">
        <v>1.0829</v>
      </c>
      <c r="K217" s="227">
        <v>1.0829</v>
      </c>
      <c r="L217" s="227">
        <v>1.0829</v>
      </c>
      <c r="M217" s="227">
        <v>1.0829</v>
      </c>
    </row>
    <row r="218" spans="1:13">
      <c r="A218" s="224">
        <v>1.2</v>
      </c>
      <c r="B218" s="227">
        <v>1.1795</v>
      </c>
      <c r="C218" s="227">
        <v>1.1795</v>
      </c>
      <c r="D218" s="227">
        <v>1.1947</v>
      </c>
      <c r="E218" s="227">
        <v>1.1947</v>
      </c>
      <c r="F218" s="227">
        <v>1.1947</v>
      </c>
      <c r="G218" s="227">
        <v>1.1947</v>
      </c>
      <c r="H218" s="227">
        <v>1.1947</v>
      </c>
      <c r="I218" s="227">
        <v>1.0601</v>
      </c>
      <c r="J218" s="227">
        <v>1.0601</v>
      </c>
      <c r="K218" s="227">
        <v>1.0601</v>
      </c>
      <c r="L218" s="227">
        <v>1.0601</v>
      </c>
      <c r="M218" s="227">
        <v>1.0601</v>
      </c>
    </row>
    <row r="219" spans="1:13">
      <c r="A219" s="224">
        <v>1.3</v>
      </c>
      <c r="B219" s="227">
        <v>1.1618</v>
      </c>
      <c r="C219" s="227">
        <v>1.1618</v>
      </c>
      <c r="D219" s="227">
        <v>1.1748</v>
      </c>
      <c r="E219" s="227">
        <v>1.1748</v>
      </c>
      <c r="F219" s="227">
        <v>1.1748</v>
      </c>
      <c r="G219" s="227">
        <v>1.1748</v>
      </c>
      <c r="H219" s="227">
        <v>1.1748</v>
      </c>
      <c r="I219" s="227">
        <v>1.0388</v>
      </c>
      <c r="J219" s="227">
        <v>1.0388</v>
      </c>
      <c r="K219" s="227">
        <v>1.0388</v>
      </c>
      <c r="L219" s="227">
        <v>1.0388</v>
      </c>
      <c r="M219" s="227">
        <v>1.0388</v>
      </c>
    </row>
    <row r="220" spans="1:13">
      <c r="A220" s="224">
        <v>1.4</v>
      </c>
      <c r="B220" s="227">
        <v>1.1448</v>
      </c>
      <c r="C220" s="227">
        <v>1.1448</v>
      </c>
      <c r="D220" s="227">
        <v>1.1558</v>
      </c>
      <c r="E220" s="227">
        <v>1.1558</v>
      </c>
      <c r="F220" s="227">
        <v>1.1558</v>
      </c>
      <c r="G220" s="227">
        <v>1.1558</v>
      </c>
      <c r="H220" s="227">
        <v>1.1558</v>
      </c>
      <c r="I220" s="227">
        <v>1.0188</v>
      </c>
      <c r="J220" s="227">
        <v>1.0188</v>
      </c>
      <c r="K220" s="227">
        <v>1.0188</v>
      </c>
      <c r="L220" s="227">
        <v>1.0188</v>
      </c>
      <c r="M220" s="227">
        <v>1.0188</v>
      </c>
    </row>
    <row r="221" spans="1:13">
      <c r="A221" s="224">
        <v>1.5</v>
      </c>
      <c r="B221" s="227">
        <v>1.1285</v>
      </c>
      <c r="C221" s="227">
        <v>1.1285</v>
      </c>
      <c r="D221" s="227">
        <v>1.1378</v>
      </c>
      <c r="E221" s="227">
        <v>1.1378</v>
      </c>
      <c r="F221" s="227">
        <v>1.1378</v>
      </c>
      <c r="G221" s="227">
        <v>1.1378</v>
      </c>
      <c r="H221" s="227">
        <v>1.1378</v>
      </c>
      <c r="I221" s="227">
        <v>1</v>
      </c>
      <c r="J221" s="227">
        <v>1</v>
      </c>
      <c r="K221" s="227">
        <v>1</v>
      </c>
      <c r="L221" s="227">
        <v>1</v>
      </c>
      <c r="M221" s="227">
        <v>1</v>
      </c>
    </row>
    <row r="222" spans="1:13">
      <c r="A222" s="224">
        <v>1.6</v>
      </c>
      <c r="B222" s="227">
        <v>1.1129</v>
      </c>
      <c r="C222" s="227">
        <v>1.1129</v>
      </c>
      <c r="D222" s="227">
        <v>1.1206</v>
      </c>
      <c r="E222" s="227">
        <v>1.1206</v>
      </c>
      <c r="F222" s="227">
        <v>1.1206</v>
      </c>
      <c r="G222" s="227">
        <v>1.1206</v>
      </c>
      <c r="H222" s="227">
        <v>1.1206</v>
      </c>
      <c r="I222" s="227">
        <v>0.9824</v>
      </c>
      <c r="J222" s="227">
        <v>0.9824</v>
      </c>
      <c r="K222" s="227">
        <v>0.9824</v>
      </c>
      <c r="L222" s="227">
        <v>0.9824</v>
      </c>
      <c r="M222" s="227">
        <v>0.9824</v>
      </c>
    </row>
    <row r="223" spans="1:13">
      <c r="A223" s="224">
        <v>1.7</v>
      </c>
      <c r="B223" s="227">
        <v>1.098</v>
      </c>
      <c r="C223" s="227">
        <v>1.098</v>
      </c>
      <c r="D223" s="227">
        <v>1.1043</v>
      </c>
      <c r="E223" s="227">
        <v>1.1043</v>
      </c>
      <c r="F223" s="227">
        <v>1.1043</v>
      </c>
      <c r="G223" s="227">
        <v>1.1043</v>
      </c>
      <c r="H223" s="227">
        <v>1.1043</v>
      </c>
      <c r="I223" s="227">
        <v>0.9658</v>
      </c>
      <c r="J223" s="227">
        <v>0.9658</v>
      </c>
      <c r="K223" s="227">
        <v>0.9658</v>
      </c>
      <c r="L223" s="227">
        <v>0.9658</v>
      </c>
      <c r="M223" s="227">
        <v>0.9658</v>
      </c>
    </row>
    <row r="224" spans="1:13">
      <c r="A224" s="224">
        <v>1.8</v>
      </c>
      <c r="B224" s="227">
        <v>1.0836</v>
      </c>
      <c r="C224" s="227">
        <v>1.0836</v>
      </c>
      <c r="D224" s="227">
        <v>1.0888</v>
      </c>
      <c r="E224" s="227">
        <v>1.0888</v>
      </c>
      <c r="F224" s="227">
        <v>1.0888</v>
      </c>
      <c r="G224" s="227">
        <v>1.0888</v>
      </c>
      <c r="H224" s="227">
        <v>1.0888</v>
      </c>
      <c r="I224" s="227">
        <v>0.9503</v>
      </c>
      <c r="J224" s="227">
        <v>0.9503</v>
      </c>
      <c r="K224" s="227">
        <v>0.9503</v>
      </c>
      <c r="L224" s="227">
        <v>0.9503</v>
      </c>
      <c r="M224" s="227">
        <v>0.9503</v>
      </c>
    </row>
    <row r="225" spans="1:13">
      <c r="A225" s="224">
        <v>1.9</v>
      </c>
      <c r="B225" s="227">
        <v>1.0698</v>
      </c>
      <c r="C225" s="227">
        <v>1.0698</v>
      </c>
      <c r="D225" s="227">
        <v>1.0741</v>
      </c>
      <c r="E225" s="227">
        <v>1.0741</v>
      </c>
      <c r="F225" s="227">
        <v>1.0741</v>
      </c>
      <c r="G225" s="227">
        <v>1.0741</v>
      </c>
      <c r="H225" s="227">
        <v>1.0741</v>
      </c>
      <c r="I225" s="227">
        <v>0.9361</v>
      </c>
      <c r="J225" s="227">
        <v>0.9361</v>
      </c>
      <c r="K225" s="227">
        <v>0.9361</v>
      </c>
      <c r="L225" s="227">
        <v>0.9361</v>
      </c>
      <c r="M225" s="227">
        <v>0.9361</v>
      </c>
    </row>
    <row r="226" spans="1:13">
      <c r="A226" s="224">
        <v>2</v>
      </c>
      <c r="B226" s="227">
        <v>1.0568</v>
      </c>
      <c r="C226" s="227">
        <v>1.0568</v>
      </c>
      <c r="D226" s="227">
        <v>1.0601</v>
      </c>
      <c r="E226" s="227">
        <v>1.0601</v>
      </c>
      <c r="F226" s="227">
        <v>1.0601</v>
      </c>
      <c r="G226" s="227">
        <v>1.0601</v>
      </c>
      <c r="H226" s="227">
        <v>1.0601</v>
      </c>
      <c r="I226" s="227">
        <v>0.9224</v>
      </c>
      <c r="J226" s="227">
        <v>0.9224</v>
      </c>
      <c r="K226" s="227">
        <v>0.9224</v>
      </c>
      <c r="L226" s="227">
        <v>0.9224</v>
      </c>
      <c r="M226" s="227">
        <v>0.9224</v>
      </c>
    </row>
    <row r="227" spans="1:13">
      <c r="A227" s="228">
        <v>2.1</v>
      </c>
      <c r="B227" s="227">
        <v>1.0443</v>
      </c>
      <c r="C227" s="227">
        <v>1.0443</v>
      </c>
      <c r="D227" s="227">
        <v>1.0468</v>
      </c>
      <c r="E227" s="227">
        <v>1.0468</v>
      </c>
      <c r="F227" s="227">
        <v>1.0468</v>
      </c>
      <c r="G227" s="227">
        <v>1.0468</v>
      </c>
      <c r="H227" s="227">
        <v>1.0468</v>
      </c>
      <c r="I227" s="227">
        <v>0.9096</v>
      </c>
      <c r="J227" s="227">
        <v>0.9096</v>
      </c>
      <c r="K227" s="227">
        <v>0.9096</v>
      </c>
      <c r="L227" s="227">
        <v>0.9096</v>
      </c>
      <c r="M227" s="227">
        <v>0.9096</v>
      </c>
    </row>
    <row r="228" spans="1:13">
      <c r="A228" s="228">
        <v>2.2</v>
      </c>
      <c r="B228" s="227">
        <v>1.0325</v>
      </c>
      <c r="C228" s="227">
        <v>1.0325</v>
      </c>
      <c r="D228" s="227">
        <v>1.0342</v>
      </c>
      <c r="E228" s="227">
        <v>1.0342</v>
      </c>
      <c r="F228" s="227">
        <v>1.0342</v>
      </c>
      <c r="G228" s="227">
        <v>1.0342</v>
      </c>
      <c r="H228" s="227">
        <v>1.0342</v>
      </c>
      <c r="I228" s="227">
        <v>0.8975</v>
      </c>
      <c r="J228" s="227">
        <v>0.8975</v>
      </c>
      <c r="K228" s="227">
        <v>0.8975</v>
      </c>
      <c r="L228" s="227">
        <v>0.8975</v>
      </c>
      <c r="M228" s="227">
        <v>0.8975</v>
      </c>
    </row>
    <row r="229" spans="1:13">
      <c r="A229" s="228">
        <v>2.3</v>
      </c>
      <c r="B229" s="227">
        <v>1.021</v>
      </c>
      <c r="C229" s="227">
        <v>1.021</v>
      </c>
      <c r="D229" s="227">
        <v>1.0222</v>
      </c>
      <c r="E229" s="227">
        <v>1.0222</v>
      </c>
      <c r="F229" s="227">
        <v>1.0222</v>
      </c>
      <c r="G229" s="227">
        <v>1.0222</v>
      </c>
      <c r="H229" s="227">
        <v>1.0222</v>
      </c>
      <c r="I229" s="227">
        <v>0.8862</v>
      </c>
      <c r="J229" s="227">
        <v>0.8862</v>
      </c>
      <c r="K229" s="227">
        <v>0.8862</v>
      </c>
      <c r="L229" s="227">
        <v>0.8862</v>
      </c>
      <c r="M229" s="227">
        <v>0.8862</v>
      </c>
    </row>
    <row r="230" spans="1:13">
      <c r="A230" s="228">
        <v>2.4</v>
      </c>
      <c r="B230" s="227">
        <v>1.0102</v>
      </c>
      <c r="C230" s="227">
        <v>1.0102</v>
      </c>
      <c r="D230" s="227">
        <v>1.0108</v>
      </c>
      <c r="E230" s="227">
        <v>1.0108</v>
      </c>
      <c r="F230" s="227">
        <v>1.0108</v>
      </c>
      <c r="G230" s="227">
        <v>1.0108</v>
      </c>
      <c r="H230" s="227">
        <v>1.0108</v>
      </c>
      <c r="I230" s="227">
        <v>0.8753</v>
      </c>
      <c r="J230" s="227">
        <v>0.8753</v>
      </c>
      <c r="K230" s="227">
        <v>0.8753</v>
      </c>
      <c r="L230" s="227">
        <v>0.8753</v>
      </c>
      <c r="M230" s="227">
        <v>0.8753</v>
      </c>
    </row>
    <row r="231" spans="1:13">
      <c r="A231" s="228">
        <v>2.5</v>
      </c>
      <c r="B231" s="227">
        <v>1</v>
      </c>
      <c r="C231" s="227">
        <v>1</v>
      </c>
      <c r="D231" s="227">
        <v>1</v>
      </c>
      <c r="E231" s="227">
        <v>1</v>
      </c>
      <c r="F231" s="227">
        <v>1</v>
      </c>
      <c r="G231" s="227">
        <v>1</v>
      </c>
      <c r="H231" s="227">
        <v>1</v>
      </c>
      <c r="I231" s="227">
        <v>0.8651</v>
      </c>
      <c r="J231" s="227">
        <v>0.8651</v>
      </c>
      <c r="K231" s="227">
        <v>0.8651</v>
      </c>
      <c r="L231" s="227">
        <v>0.8651</v>
      </c>
      <c r="M231" s="227">
        <v>0.8651</v>
      </c>
    </row>
    <row r="232" spans="1:13">
      <c r="A232" s="228">
        <v>2.6</v>
      </c>
      <c r="B232" s="227">
        <v>0.9903</v>
      </c>
      <c r="C232" s="227">
        <v>0.9903</v>
      </c>
      <c r="D232" s="227">
        <v>0.9897</v>
      </c>
      <c r="E232" s="227">
        <v>0.9897</v>
      </c>
      <c r="F232" s="227">
        <v>0.9897</v>
      </c>
      <c r="G232" s="227">
        <v>0.9897</v>
      </c>
      <c r="H232" s="227">
        <v>0.9897</v>
      </c>
      <c r="I232" s="227">
        <v>0.8553</v>
      </c>
      <c r="J232" s="227">
        <v>0.8553</v>
      </c>
      <c r="K232" s="227">
        <v>0.8553</v>
      </c>
      <c r="L232" s="227">
        <v>0.8553</v>
      </c>
      <c r="M232" s="227">
        <v>0.8553</v>
      </c>
    </row>
    <row r="233" spans="1:13">
      <c r="A233" s="228">
        <v>2.7</v>
      </c>
      <c r="B233" s="227">
        <v>0.9811</v>
      </c>
      <c r="C233" s="227">
        <v>0.9811</v>
      </c>
      <c r="D233" s="227">
        <v>0.9799</v>
      </c>
      <c r="E233" s="227">
        <v>0.9799</v>
      </c>
      <c r="F233" s="227">
        <v>0.9799</v>
      </c>
      <c r="G233" s="227">
        <v>0.9799</v>
      </c>
      <c r="H233" s="227">
        <v>0.9799</v>
      </c>
      <c r="I233" s="227">
        <v>0.846</v>
      </c>
      <c r="J233" s="227">
        <v>0.846</v>
      </c>
      <c r="K233" s="227">
        <v>0.846</v>
      </c>
      <c r="L233" s="227">
        <v>0.846</v>
      </c>
      <c r="M233" s="227">
        <v>0.846</v>
      </c>
    </row>
    <row r="234" spans="1:13">
      <c r="A234" s="228">
        <v>2.8</v>
      </c>
      <c r="B234" s="227">
        <v>0.9724</v>
      </c>
      <c r="C234" s="227">
        <v>0.9724</v>
      </c>
      <c r="D234" s="227">
        <v>0.9706</v>
      </c>
      <c r="E234" s="227">
        <v>0.9706</v>
      </c>
      <c r="F234" s="227">
        <v>0.9706</v>
      </c>
      <c r="G234" s="227">
        <v>0.9706</v>
      </c>
      <c r="H234" s="227">
        <v>0.9706</v>
      </c>
      <c r="I234" s="227">
        <v>0.8371</v>
      </c>
      <c r="J234" s="227">
        <v>0.8371</v>
      </c>
      <c r="K234" s="227">
        <v>0.8371</v>
      </c>
      <c r="L234" s="227">
        <v>0.8371</v>
      </c>
      <c r="M234" s="227">
        <v>0.8371</v>
      </c>
    </row>
    <row r="235" spans="1:13">
      <c r="A235" s="228">
        <v>2.9</v>
      </c>
      <c r="B235" s="227">
        <v>0.9642</v>
      </c>
      <c r="C235" s="227">
        <v>0.9642</v>
      </c>
      <c r="D235" s="227">
        <v>0.9618</v>
      </c>
      <c r="E235" s="227">
        <v>0.9618</v>
      </c>
      <c r="F235" s="227">
        <v>0.9618</v>
      </c>
      <c r="G235" s="227">
        <v>0.9618</v>
      </c>
      <c r="H235" s="227">
        <v>0.9618</v>
      </c>
      <c r="I235" s="227">
        <v>0.8285</v>
      </c>
      <c r="J235" s="227">
        <v>0.8285</v>
      </c>
      <c r="K235" s="227">
        <v>0.8285</v>
      </c>
      <c r="L235" s="227">
        <v>0.8285</v>
      </c>
      <c r="M235" s="227">
        <v>0.8285</v>
      </c>
    </row>
    <row r="236" spans="1:13">
      <c r="A236" s="228">
        <v>3</v>
      </c>
      <c r="B236" s="227">
        <v>0.9564</v>
      </c>
      <c r="C236" s="227">
        <v>0.9564</v>
      </c>
      <c r="D236" s="227">
        <v>0.9534</v>
      </c>
      <c r="E236" s="227">
        <v>0.9534</v>
      </c>
      <c r="F236" s="227">
        <v>0.9534</v>
      </c>
      <c r="G236" s="227">
        <v>0.9534</v>
      </c>
      <c r="H236" s="227">
        <v>0.9534</v>
      </c>
      <c r="I236" s="227">
        <v>0.8204</v>
      </c>
      <c r="J236" s="227">
        <v>0.8204</v>
      </c>
      <c r="K236" s="227">
        <v>0.8204</v>
      </c>
      <c r="L236" s="227">
        <v>0.8204</v>
      </c>
      <c r="M236" s="227">
        <v>0.8204</v>
      </c>
    </row>
    <row r="237" spans="1:13">
      <c r="A237" s="228">
        <v>3.1</v>
      </c>
      <c r="B237" s="227">
        <v>0.949</v>
      </c>
      <c r="C237" s="227">
        <v>0.949</v>
      </c>
      <c r="D237" s="227">
        <v>0.9455</v>
      </c>
      <c r="E237" s="227">
        <v>0.9455</v>
      </c>
      <c r="F237" s="227">
        <v>0.9455</v>
      </c>
      <c r="G237" s="227">
        <v>0.9455</v>
      </c>
      <c r="H237" s="227">
        <v>0.9455</v>
      </c>
      <c r="I237" s="227">
        <v>0.8126</v>
      </c>
      <c r="J237" s="227">
        <v>0.8126</v>
      </c>
      <c r="K237" s="227">
        <v>0.8126</v>
      </c>
      <c r="L237" s="227">
        <v>0.8126</v>
      </c>
      <c r="M237" s="227">
        <v>0.8126</v>
      </c>
    </row>
    <row r="238" spans="1:13">
      <c r="A238" s="228">
        <v>3.2</v>
      </c>
      <c r="B238" s="227">
        <v>0.942</v>
      </c>
      <c r="C238" s="227">
        <v>0.942</v>
      </c>
      <c r="D238" s="227">
        <v>0.9379</v>
      </c>
      <c r="E238" s="227">
        <v>0.9379</v>
      </c>
      <c r="F238" s="227">
        <v>0.9379</v>
      </c>
      <c r="G238" s="227">
        <v>0.9379</v>
      </c>
      <c r="H238" s="227">
        <v>0.9379</v>
      </c>
      <c r="I238" s="227">
        <v>0.8053</v>
      </c>
      <c r="J238" s="227">
        <v>0.8053</v>
      </c>
      <c r="K238" s="227">
        <v>0.8053</v>
      </c>
      <c r="L238" s="227">
        <v>0.8053</v>
      </c>
      <c r="M238" s="227">
        <v>0.8053</v>
      </c>
    </row>
    <row r="239" spans="1:13">
      <c r="A239" s="228">
        <v>3.3</v>
      </c>
      <c r="B239" s="227">
        <v>0.9354</v>
      </c>
      <c r="C239" s="227">
        <v>0.9354</v>
      </c>
      <c r="D239" s="227">
        <v>0.9307</v>
      </c>
      <c r="E239" s="227">
        <v>0.9307</v>
      </c>
      <c r="F239" s="227">
        <v>0.9307</v>
      </c>
      <c r="G239" s="227">
        <v>0.9307</v>
      </c>
      <c r="H239" s="227">
        <v>0.9307</v>
      </c>
      <c r="I239" s="227">
        <v>0.7982</v>
      </c>
      <c r="J239" s="227">
        <v>0.7982</v>
      </c>
      <c r="K239" s="227">
        <v>0.7982</v>
      </c>
      <c r="L239" s="227">
        <v>0.7982</v>
      </c>
      <c r="M239" s="227">
        <v>0.7982</v>
      </c>
    </row>
    <row r="240" spans="1:13">
      <c r="A240" s="228">
        <v>3.4</v>
      </c>
      <c r="B240" s="227">
        <v>0.9292</v>
      </c>
      <c r="C240" s="227">
        <v>0.9292</v>
      </c>
      <c r="D240" s="227">
        <v>0.9239</v>
      </c>
      <c r="E240" s="227">
        <v>0.9239</v>
      </c>
      <c r="F240" s="227">
        <v>0.9239</v>
      </c>
      <c r="G240" s="227">
        <v>0.9239</v>
      </c>
      <c r="H240" s="227">
        <v>0.9239</v>
      </c>
      <c r="I240" s="227">
        <v>0.7914</v>
      </c>
      <c r="J240" s="227">
        <v>0.7914</v>
      </c>
      <c r="K240" s="227">
        <v>0.7914</v>
      </c>
      <c r="L240" s="227">
        <v>0.7914</v>
      </c>
      <c r="M240" s="227">
        <v>0.7914</v>
      </c>
    </row>
    <row r="241" spans="1:13">
      <c r="A241" s="228">
        <v>3.5</v>
      </c>
      <c r="B241" s="227">
        <v>0.9234</v>
      </c>
      <c r="C241" s="227">
        <v>0.9234</v>
      </c>
      <c r="D241" s="227">
        <v>0.9175</v>
      </c>
      <c r="E241" s="227">
        <v>0.9175</v>
      </c>
      <c r="F241" s="227">
        <v>0.9175</v>
      </c>
      <c r="G241" s="227">
        <v>0.9175</v>
      </c>
      <c r="H241" s="227">
        <v>0.9175</v>
      </c>
      <c r="I241" s="227">
        <v>0.7849</v>
      </c>
      <c r="J241" s="227">
        <v>0.7849</v>
      </c>
      <c r="K241" s="227">
        <v>0.7849</v>
      </c>
      <c r="L241" s="227">
        <v>0.7849</v>
      </c>
      <c r="M241" s="227">
        <v>0.7849</v>
      </c>
    </row>
    <row r="242" spans="1:13">
      <c r="A242" s="228">
        <v>3.6</v>
      </c>
      <c r="B242" s="227">
        <v>0.9179</v>
      </c>
      <c r="C242" s="227">
        <v>0.9179</v>
      </c>
      <c r="D242" s="227">
        <v>0.9114</v>
      </c>
      <c r="E242" s="227">
        <v>0.9114</v>
      </c>
      <c r="F242" s="227">
        <v>0.9114</v>
      </c>
      <c r="G242" s="227">
        <v>0.9114</v>
      </c>
      <c r="H242" s="227">
        <v>0.9114</v>
      </c>
      <c r="I242" s="227">
        <v>0.7788</v>
      </c>
      <c r="J242" s="227">
        <v>0.7788</v>
      </c>
      <c r="K242" s="227">
        <v>0.7788</v>
      </c>
      <c r="L242" s="227">
        <v>0.7788</v>
      </c>
      <c r="M242" s="227">
        <v>0.7788</v>
      </c>
    </row>
    <row r="243" spans="1:13">
      <c r="A243" s="228">
        <v>3.7</v>
      </c>
      <c r="B243" s="227">
        <v>0.9127</v>
      </c>
      <c r="C243" s="227">
        <v>0.9127</v>
      </c>
      <c r="D243" s="227">
        <v>0.9056</v>
      </c>
      <c r="E243" s="227">
        <v>0.9056</v>
      </c>
      <c r="F243" s="227">
        <v>0.9056</v>
      </c>
      <c r="G243" s="227">
        <v>0.9056</v>
      </c>
      <c r="H243" s="227">
        <v>0.9056</v>
      </c>
      <c r="I243" s="227">
        <v>0.773</v>
      </c>
      <c r="J243" s="227">
        <v>0.773</v>
      </c>
      <c r="K243" s="227">
        <v>0.773</v>
      </c>
      <c r="L243" s="227">
        <v>0.773</v>
      </c>
      <c r="M243" s="227">
        <v>0.773</v>
      </c>
    </row>
    <row r="244" spans="1:13">
      <c r="A244" s="228">
        <v>3.8</v>
      </c>
      <c r="B244" s="227">
        <v>0.9078</v>
      </c>
      <c r="C244" s="227">
        <v>0.9078</v>
      </c>
      <c r="D244" s="227">
        <v>0.9001</v>
      </c>
      <c r="E244" s="227">
        <v>0.9001</v>
      </c>
      <c r="F244" s="227">
        <v>0.9001</v>
      </c>
      <c r="G244" s="227">
        <v>0.9001</v>
      </c>
      <c r="H244" s="227">
        <v>0.9001</v>
      </c>
      <c r="I244" s="227">
        <v>0.7674</v>
      </c>
      <c r="J244" s="227">
        <v>0.7674</v>
      </c>
      <c r="K244" s="227">
        <v>0.7674</v>
      </c>
      <c r="L244" s="227">
        <v>0.7674</v>
      </c>
      <c r="M244" s="227">
        <v>0.7674</v>
      </c>
    </row>
    <row r="245" spans="1:13">
      <c r="A245" s="228">
        <v>3.9</v>
      </c>
      <c r="B245" s="227">
        <v>0.9032</v>
      </c>
      <c r="C245" s="227">
        <v>0.9032</v>
      </c>
      <c r="D245" s="227">
        <v>0.8949</v>
      </c>
      <c r="E245" s="227">
        <v>0.8949</v>
      </c>
      <c r="F245" s="227">
        <v>0.8949</v>
      </c>
      <c r="G245" s="227">
        <v>0.8949</v>
      </c>
      <c r="H245" s="227">
        <v>0.8949</v>
      </c>
      <c r="I245" s="227">
        <v>0.7621</v>
      </c>
      <c r="J245" s="227">
        <v>0.7621</v>
      </c>
      <c r="K245" s="227">
        <v>0.7621</v>
      </c>
      <c r="L245" s="227">
        <v>0.7621</v>
      </c>
      <c r="M245" s="227">
        <v>0.7621</v>
      </c>
    </row>
    <row r="246" spans="1:13">
      <c r="A246" s="228">
        <v>4</v>
      </c>
      <c r="B246" s="227">
        <v>0.8989</v>
      </c>
      <c r="C246" s="227">
        <v>0.8989</v>
      </c>
      <c r="D246" s="227">
        <v>0.89</v>
      </c>
      <c r="E246" s="227">
        <v>0.89</v>
      </c>
      <c r="F246" s="227">
        <v>0.89</v>
      </c>
      <c r="G246" s="227">
        <v>0.89</v>
      </c>
      <c r="H246" s="227">
        <v>0.89</v>
      </c>
      <c r="I246" s="227">
        <v>0.7571</v>
      </c>
      <c r="J246" s="227">
        <v>0.7571</v>
      </c>
      <c r="K246" s="227">
        <v>0.7571</v>
      </c>
      <c r="L246" s="227">
        <v>0.7571</v>
      </c>
      <c r="M246" s="227">
        <v>0.7571</v>
      </c>
    </row>
    <row r="247" spans="1:13">
      <c r="A247" s="228">
        <v>4.1</v>
      </c>
      <c r="B247" s="227">
        <v>0.8948</v>
      </c>
      <c r="C247" s="227">
        <v>0.8948</v>
      </c>
      <c r="D247" s="227">
        <v>0.8854</v>
      </c>
      <c r="E247" s="227">
        <v>0.8854</v>
      </c>
      <c r="F247" s="227">
        <v>0.8854</v>
      </c>
      <c r="G247" s="227">
        <v>0.8854</v>
      </c>
      <c r="H247" s="227">
        <v>0.8854</v>
      </c>
      <c r="I247" s="227">
        <v>0.7523</v>
      </c>
      <c r="J247" s="227">
        <v>0.7523</v>
      </c>
      <c r="K247" s="227">
        <v>0.7523</v>
      </c>
      <c r="L247" s="227">
        <v>0.7523</v>
      </c>
      <c r="M247" s="227">
        <v>0.7523</v>
      </c>
    </row>
    <row r="248" spans="1:13">
      <c r="A248" s="228">
        <v>4.2</v>
      </c>
      <c r="B248" s="227">
        <v>0.891</v>
      </c>
      <c r="C248" s="227">
        <v>0.891</v>
      </c>
      <c r="D248" s="227">
        <v>0.8811</v>
      </c>
      <c r="E248" s="227">
        <v>0.8811</v>
      </c>
      <c r="F248" s="227">
        <v>0.8811</v>
      </c>
      <c r="G248" s="227">
        <v>0.8811</v>
      </c>
      <c r="H248" s="227">
        <v>0.8811</v>
      </c>
      <c r="I248" s="227">
        <v>0.7478</v>
      </c>
      <c r="J248" s="227">
        <v>0.7478</v>
      </c>
      <c r="K248" s="227">
        <v>0.7478</v>
      </c>
      <c r="L248" s="227">
        <v>0.7478</v>
      </c>
      <c r="M248" s="227">
        <v>0.7478</v>
      </c>
    </row>
    <row r="249" spans="1:13">
      <c r="A249" s="228">
        <v>4.3</v>
      </c>
      <c r="B249" s="227">
        <v>0.8874</v>
      </c>
      <c r="C249" s="227">
        <v>0.8874</v>
      </c>
      <c r="D249" s="227">
        <v>0.877</v>
      </c>
      <c r="E249" s="227">
        <v>0.877</v>
      </c>
      <c r="F249" s="227">
        <v>0.877</v>
      </c>
      <c r="G249" s="227">
        <v>0.877</v>
      </c>
      <c r="H249" s="227">
        <v>0.877</v>
      </c>
      <c r="I249" s="227">
        <v>0.7433</v>
      </c>
      <c r="J249" s="227">
        <v>0.7433</v>
      </c>
      <c r="K249" s="227">
        <v>0.7433</v>
      </c>
      <c r="L249" s="227">
        <v>0.7433</v>
      </c>
      <c r="M249" s="227">
        <v>0.7433</v>
      </c>
    </row>
    <row r="250" spans="1:13">
      <c r="A250" s="228">
        <v>4.4</v>
      </c>
      <c r="B250" s="227">
        <v>0.884</v>
      </c>
      <c r="C250" s="227">
        <v>0.884</v>
      </c>
      <c r="D250" s="227">
        <v>0.8731</v>
      </c>
      <c r="E250" s="227">
        <v>0.8731</v>
      </c>
      <c r="F250" s="227">
        <v>0.8731</v>
      </c>
      <c r="G250" s="227">
        <v>0.8731</v>
      </c>
      <c r="H250" s="227">
        <v>0.8731</v>
      </c>
      <c r="I250" s="227">
        <v>0.7391</v>
      </c>
      <c r="J250" s="227">
        <v>0.7391</v>
      </c>
      <c r="K250" s="227">
        <v>0.7391</v>
      </c>
      <c r="L250" s="227">
        <v>0.7391</v>
      </c>
      <c r="M250" s="227">
        <v>0.7391</v>
      </c>
    </row>
    <row r="251" spans="1:13">
      <c r="A251" s="228">
        <v>4.5</v>
      </c>
      <c r="B251" s="227">
        <v>0.8808</v>
      </c>
      <c r="C251" s="227">
        <v>0.8808</v>
      </c>
      <c r="D251" s="227">
        <v>0.8694</v>
      </c>
      <c r="E251" s="227">
        <v>0.8694</v>
      </c>
      <c r="F251" s="227">
        <v>0.8694</v>
      </c>
      <c r="G251" s="227">
        <v>0.8694</v>
      </c>
      <c r="H251" s="227">
        <v>0.8694</v>
      </c>
      <c r="I251" s="227">
        <v>0.735</v>
      </c>
      <c r="J251" s="227">
        <v>0.735</v>
      </c>
      <c r="K251" s="227">
        <v>0.735</v>
      </c>
      <c r="L251" s="227">
        <v>0.735</v>
      </c>
      <c r="M251" s="227">
        <v>0.735</v>
      </c>
    </row>
    <row r="252" spans="1:13">
      <c r="A252" s="228">
        <v>4.6</v>
      </c>
      <c r="B252" s="227">
        <v>0.8778</v>
      </c>
      <c r="C252" s="227">
        <v>0.8778</v>
      </c>
      <c r="D252" s="227">
        <v>0.8659</v>
      </c>
      <c r="E252" s="227">
        <v>0.8659</v>
      </c>
      <c r="F252" s="227">
        <v>0.8659</v>
      </c>
      <c r="G252" s="227">
        <v>0.8659</v>
      </c>
      <c r="H252" s="227">
        <v>0.8659</v>
      </c>
      <c r="I252" s="227">
        <v>0.7311</v>
      </c>
      <c r="J252" s="227">
        <v>0.7311</v>
      </c>
      <c r="K252" s="227">
        <v>0.7311</v>
      </c>
      <c r="L252" s="227">
        <v>0.7311</v>
      </c>
      <c r="M252" s="227">
        <v>0.7311</v>
      </c>
    </row>
    <row r="253" spans="1:13">
      <c r="A253" s="228">
        <v>4.7</v>
      </c>
      <c r="B253" s="227">
        <v>0.875</v>
      </c>
      <c r="C253" s="227">
        <v>0.875</v>
      </c>
      <c r="D253" s="227">
        <v>0.8626</v>
      </c>
      <c r="E253" s="227">
        <v>0.8626</v>
      </c>
      <c r="F253" s="227">
        <v>0.8626</v>
      </c>
      <c r="G253" s="227">
        <v>0.8626</v>
      </c>
      <c r="H253" s="227">
        <v>0.8626</v>
      </c>
      <c r="I253" s="227">
        <v>0.7275</v>
      </c>
      <c r="J253" s="227">
        <v>0.7275</v>
      </c>
      <c r="K253" s="227">
        <v>0.7275</v>
      </c>
      <c r="L253" s="227">
        <v>0.7275</v>
      </c>
      <c r="M253" s="227">
        <v>0.7275</v>
      </c>
    </row>
    <row r="254" spans="1:13">
      <c r="A254" s="228">
        <v>4.8</v>
      </c>
      <c r="B254" s="227">
        <v>0.8723</v>
      </c>
      <c r="C254" s="227">
        <v>0.8723</v>
      </c>
      <c r="D254" s="227">
        <v>0.8595</v>
      </c>
      <c r="E254" s="227">
        <v>0.8595</v>
      </c>
      <c r="F254" s="227">
        <v>0.8595</v>
      </c>
      <c r="G254" s="227">
        <v>0.8595</v>
      </c>
      <c r="H254" s="227">
        <v>0.8595</v>
      </c>
      <c r="I254" s="227">
        <v>0.724</v>
      </c>
      <c r="J254" s="227">
        <v>0.724</v>
      </c>
      <c r="K254" s="227">
        <v>0.724</v>
      </c>
      <c r="L254" s="227">
        <v>0.724</v>
      </c>
      <c r="M254" s="227">
        <v>0.724</v>
      </c>
    </row>
    <row r="255" spans="1:13">
      <c r="A255" s="228">
        <v>4.9</v>
      </c>
      <c r="B255" s="227">
        <v>0.8698</v>
      </c>
      <c r="C255" s="227">
        <v>0.8698</v>
      </c>
      <c r="D255" s="227">
        <v>0.8566</v>
      </c>
      <c r="E255" s="227">
        <v>0.8566</v>
      </c>
      <c r="F255" s="227">
        <v>0.8566</v>
      </c>
      <c r="G255" s="227">
        <v>0.8566</v>
      </c>
      <c r="H255" s="227">
        <v>0.8566</v>
      </c>
      <c r="I255" s="227">
        <v>0.7208</v>
      </c>
      <c r="J255" s="227">
        <v>0.7208</v>
      </c>
      <c r="K255" s="227">
        <v>0.7208</v>
      </c>
      <c r="L255" s="227">
        <v>0.7208</v>
      </c>
      <c r="M255" s="227">
        <v>0.7208</v>
      </c>
    </row>
    <row r="256" spans="1:13">
      <c r="A256" s="228">
        <v>5</v>
      </c>
      <c r="B256" s="227">
        <v>0.8674</v>
      </c>
      <c r="C256" s="227">
        <v>0.8674</v>
      </c>
      <c r="D256" s="227">
        <v>0.8538</v>
      </c>
      <c r="E256" s="227">
        <v>0.8538</v>
      </c>
      <c r="F256" s="227">
        <v>0.8538</v>
      </c>
      <c r="G256" s="227">
        <v>0.8538</v>
      </c>
      <c r="H256" s="227">
        <v>0.8538</v>
      </c>
      <c r="I256" s="227">
        <v>0.7176</v>
      </c>
      <c r="J256" s="227">
        <v>0.7176</v>
      </c>
      <c r="K256" s="227">
        <v>0.7176</v>
      </c>
      <c r="L256" s="227">
        <v>0.7176</v>
      </c>
      <c r="M256" s="227">
        <v>0.7176</v>
      </c>
    </row>
    <row r="257" spans="1:13">
      <c r="A257" s="224">
        <v>5.1</v>
      </c>
      <c r="B257" s="227">
        <v>0.8652</v>
      </c>
      <c r="C257" s="227">
        <v>0.8652</v>
      </c>
      <c r="D257" s="227">
        <v>0.8511</v>
      </c>
      <c r="E257" s="227">
        <v>0.8511</v>
      </c>
      <c r="F257" s="227">
        <v>0.8511</v>
      </c>
      <c r="G257" s="227">
        <v>0.8511</v>
      </c>
      <c r="H257" s="227">
        <v>0.8511</v>
      </c>
      <c r="I257" s="227">
        <v>0.7147</v>
      </c>
      <c r="J257" s="227">
        <v>0.7147</v>
      </c>
      <c r="K257" s="227">
        <v>0.7147</v>
      </c>
      <c r="L257" s="227">
        <v>0.7147</v>
      </c>
      <c r="M257" s="227">
        <v>0.7147</v>
      </c>
    </row>
    <row r="258" spans="1:13">
      <c r="A258" s="224">
        <v>5.2</v>
      </c>
      <c r="B258" s="227">
        <v>0.8631</v>
      </c>
      <c r="C258" s="227">
        <v>0.8631</v>
      </c>
      <c r="D258" s="227">
        <v>0.8486</v>
      </c>
      <c r="E258" s="227">
        <v>0.8486</v>
      </c>
      <c r="F258" s="227">
        <v>0.8486</v>
      </c>
      <c r="G258" s="227">
        <v>0.8486</v>
      </c>
      <c r="H258" s="227">
        <v>0.8486</v>
      </c>
      <c r="I258" s="227">
        <v>0.7119</v>
      </c>
      <c r="J258" s="227">
        <v>0.7119</v>
      </c>
      <c r="K258" s="227">
        <v>0.7119</v>
      </c>
      <c r="L258" s="227">
        <v>0.7119</v>
      </c>
      <c r="M258" s="227">
        <v>0.7119</v>
      </c>
    </row>
    <row r="259" spans="1:13">
      <c r="A259" s="224">
        <v>5.3</v>
      </c>
      <c r="B259" s="227">
        <v>0.8612</v>
      </c>
      <c r="C259" s="227">
        <v>0.8612</v>
      </c>
      <c r="D259" s="227">
        <v>0.8462</v>
      </c>
      <c r="E259" s="227">
        <v>0.8462</v>
      </c>
      <c r="F259" s="227">
        <v>0.8462</v>
      </c>
      <c r="G259" s="227">
        <v>0.8462</v>
      </c>
      <c r="H259" s="227">
        <v>0.8462</v>
      </c>
      <c r="I259" s="227">
        <v>0.7091</v>
      </c>
      <c r="J259" s="227">
        <v>0.7091</v>
      </c>
      <c r="K259" s="227">
        <v>0.7091</v>
      </c>
      <c r="L259" s="227">
        <v>0.7091</v>
      </c>
      <c r="M259" s="227">
        <v>0.7091</v>
      </c>
    </row>
    <row r="260" spans="1:13">
      <c r="A260" s="224">
        <v>5.4</v>
      </c>
      <c r="B260" s="227">
        <v>0.8594</v>
      </c>
      <c r="C260" s="227">
        <v>0.8594</v>
      </c>
      <c r="D260" s="227">
        <v>0.8439</v>
      </c>
      <c r="E260" s="227">
        <v>0.8439</v>
      </c>
      <c r="F260" s="227">
        <v>0.8439</v>
      </c>
      <c r="G260" s="227">
        <v>0.8439</v>
      </c>
      <c r="H260" s="227">
        <v>0.8439</v>
      </c>
      <c r="I260" s="227">
        <v>0.7065</v>
      </c>
      <c r="J260" s="227">
        <v>0.7065</v>
      </c>
      <c r="K260" s="227">
        <v>0.7065</v>
      </c>
      <c r="L260" s="227">
        <v>0.7065</v>
      </c>
      <c r="M260" s="227">
        <v>0.7065</v>
      </c>
    </row>
    <row r="261" spans="1:13">
      <c r="A261" s="224">
        <v>5.5</v>
      </c>
      <c r="B261" s="227">
        <v>0.8577</v>
      </c>
      <c r="C261" s="227">
        <v>0.8577</v>
      </c>
      <c r="D261" s="227">
        <v>0.8418</v>
      </c>
      <c r="E261" s="227">
        <v>0.8418</v>
      </c>
      <c r="F261" s="227">
        <v>0.8418</v>
      </c>
      <c r="G261" s="227">
        <v>0.8418</v>
      </c>
      <c r="H261" s="227">
        <v>0.8418</v>
      </c>
      <c r="I261" s="227">
        <v>0.704</v>
      </c>
      <c r="J261" s="227">
        <v>0.704</v>
      </c>
      <c r="K261" s="227">
        <v>0.704</v>
      </c>
      <c r="L261" s="227">
        <v>0.704</v>
      </c>
      <c r="M261" s="227">
        <v>0.704</v>
      </c>
    </row>
    <row r="262" spans="1:13">
      <c r="A262" s="224">
        <v>5.6</v>
      </c>
      <c r="B262" s="227">
        <v>0.856</v>
      </c>
      <c r="C262" s="227">
        <v>0.856</v>
      </c>
      <c r="D262" s="227">
        <v>0.8398</v>
      </c>
      <c r="E262" s="227">
        <v>0.8398</v>
      </c>
      <c r="F262" s="227">
        <v>0.8398</v>
      </c>
      <c r="G262" s="227">
        <v>0.8398</v>
      </c>
      <c r="H262" s="227">
        <v>0.8398</v>
      </c>
      <c r="I262" s="227">
        <v>0.7016</v>
      </c>
      <c r="J262" s="227">
        <v>0.7016</v>
      </c>
      <c r="K262" s="227">
        <v>0.7016</v>
      </c>
      <c r="L262" s="227">
        <v>0.7016</v>
      </c>
      <c r="M262" s="227">
        <v>0.7016</v>
      </c>
    </row>
    <row r="263" spans="1:13">
      <c r="A263" s="228">
        <v>5.7</v>
      </c>
      <c r="B263" s="227">
        <v>0.8544</v>
      </c>
      <c r="C263" s="227">
        <v>0.8544</v>
      </c>
      <c r="D263" s="227">
        <v>0.8379</v>
      </c>
      <c r="E263" s="227">
        <v>0.8379</v>
      </c>
      <c r="F263" s="227">
        <v>0.8379</v>
      </c>
      <c r="G263" s="227">
        <v>0.8379</v>
      </c>
      <c r="H263" s="227">
        <v>0.8379</v>
      </c>
      <c r="I263" s="227">
        <v>0.6994</v>
      </c>
      <c r="J263" s="227">
        <v>0.6994</v>
      </c>
      <c r="K263" s="227">
        <v>0.6994</v>
      </c>
      <c r="L263" s="227">
        <v>0.6994</v>
      </c>
      <c r="M263" s="227">
        <v>0.6994</v>
      </c>
    </row>
    <row r="264" spans="1:13">
      <c r="A264" s="224">
        <v>5.8</v>
      </c>
      <c r="B264" s="227">
        <v>0.8529</v>
      </c>
      <c r="C264" s="227">
        <v>0.8529</v>
      </c>
      <c r="D264" s="227">
        <v>0.836</v>
      </c>
      <c r="E264" s="227">
        <v>0.836</v>
      </c>
      <c r="F264" s="227">
        <v>0.836</v>
      </c>
      <c r="G264" s="227">
        <v>0.836</v>
      </c>
      <c r="H264" s="227">
        <v>0.836</v>
      </c>
      <c r="I264" s="227">
        <v>0.6972</v>
      </c>
      <c r="J264" s="227">
        <v>0.6972</v>
      </c>
      <c r="K264" s="227">
        <v>0.6972</v>
      </c>
      <c r="L264" s="227">
        <v>0.6972</v>
      </c>
      <c r="M264" s="227">
        <v>0.6972</v>
      </c>
    </row>
    <row r="265" spans="1:13">
      <c r="A265" s="224">
        <v>5.9</v>
      </c>
      <c r="B265" s="227">
        <v>0.8515</v>
      </c>
      <c r="C265" s="227">
        <v>0.8515</v>
      </c>
      <c r="D265" s="227">
        <v>0.8343</v>
      </c>
      <c r="E265" s="227">
        <v>0.8343</v>
      </c>
      <c r="F265" s="227">
        <v>0.8343</v>
      </c>
      <c r="G265" s="227">
        <v>0.8343</v>
      </c>
      <c r="H265" s="227">
        <v>0.8343</v>
      </c>
      <c r="I265" s="227">
        <v>0.6952</v>
      </c>
      <c r="J265" s="227">
        <v>0.6952</v>
      </c>
      <c r="K265" s="227">
        <v>0.6952</v>
      </c>
      <c r="L265" s="227">
        <v>0.6952</v>
      </c>
      <c r="M265" s="227">
        <v>0.6952</v>
      </c>
    </row>
    <row r="266" spans="1:13">
      <c r="A266" s="224">
        <v>6</v>
      </c>
      <c r="B266" s="227">
        <v>0.8502</v>
      </c>
      <c r="C266" s="227">
        <v>0.8502</v>
      </c>
      <c r="D266" s="227">
        <v>0.8327</v>
      </c>
      <c r="E266" s="227">
        <v>0.8327</v>
      </c>
      <c r="F266" s="227">
        <v>0.8327</v>
      </c>
      <c r="G266" s="227">
        <v>0.8327</v>
      </c>
      <c r="H266" s="227">
        <v>0.8327</v>
      </c>
      <c r="I266" s="227">
        <v>0.6932</v>
      </c>
      <c r="J266" s="227">
        <v>0.6932</v>
      </c>
      <c r="K266" s="227">
        <v>0.6932</v>
      </c>
      <c r="L266" s="227">
        <v>0.6932</v>
      </c>
      <c r="M266" s="227">
        <v>0.6932</v>
      </c>
    </row>
    <row r="267" spans="1:13">
      <c r="A267" s="224">
        <v>6.1</v>
      </c>
      <c r="B267" s="227">
        <v>0.849</v>
      </c>
      <c r="C267" s="227">
        <v>0.849</v>
      </c>
      <c r="D267" s="227">
        <v>0.8311</v>
      </c>
      <c r="E267" s="227">
        <v>0.8311</v>
      </c>
      <c r="F267" s="227">
        <v>0.8311</v>
      </c>
      <c r="G267" s="227">
        <v>0.8311</v>
      </c>
      <c r="H267" s="227">
        <v>0.8311</v>
      </c>
      <c r="I267" s="227">
        <v>0.6913</v>
      </c>
      <c r="J267" s="227">
        <v>0.6913</v>
      </c>
      <c r="K267" s="227">
        <v>0.6913</v>
      </c>
      <c r="L267" s="227">
        <v>0.6913</v>
      </c>
      <c r="M267" s="227">
        <v>0.6913</v>
      </c>
    </row>
    <row r="268" spans="1:13">
      <c r="A268" s="224">
        <v>6.2</v>
      </c>
      <c r="B268" s="227">
        <v>0.8478</v>
      </c>
      <c r="C268" s="227">
        <v>0.8478</v>
      </c>
      <c r="D268" s="227">
        <v>0.8296</v>
      </c>
      <c r="E268" s="227">
        <v>0.8296</v>
      </c>
      <c r="F268" s="227">
        <v>0.8296</v>
      </c>
      <c r="G268" s="227">
        <v>0.8296</v>
      </c>
      <c r="H268" s="227">
        <v>0.8296</v>
      </c>
      <c r="I268" s="227">
        <v>0.6894</v>
      </c>
      <c r="J268" s="227">
        <v>0.6894</v>
      </c>
      <c r="K268" s="227">
        <v>0.6894</v>
      </c>
      <c r="L268" s="227">
        <v>0.6894</v>
      </c>
      <c r="M268" s="227">
        <v>0.6894</v>
      </c>
    </row>
    <row r="269" spans="1:13">
      <c r="A269" s="224">
        <v>6.3</v>
      </c>
      <c r="B269" s="227">
        <v>0.8467</v>
      </c>
      <c r="C269" s="227">
        <v>0.8467</v>
      </c>
      <c r="D269" s="227">
        <v>0.8282</v>
      </c>
      <c r="E269" s="227">
        <v>0.8282</v>
      </c>
      <c r="F269" s="227">
        <v>0.8282</v>
      </c>
      <c r="G269" s="227">
        <v>0.8282</v>
      </c>
      <c r="H269" s="227">
        <v>0.8282</v>
      </c>
      <c r="I269" s="227">
        <v>0.6877</v>
      </c>
      <c r="J269" s="227">
        <v>0.6877</v>
      </c>
      <c r="K269" s="227">
        <v>0.6877</v>
      </c>
      <c r="L269" s="227">
        <v>0.6877</v>
      </c>
      <c r="M269" s="227">
        <v>0.6877</v>
      </c>
    </row>
    <row r="270" spans="1:13">
      <c r="A270" s="224">
        <v>6.4</v>
      </c>
      <c r="B270" s="227">
        <v>0.8457</v>
      </c>
      <c r="C270" s="227">
        <v>0.8457</v>
      </c>
      <c r="D270" s="227">
        <v>0.8269</v>
      </c>
      <c r="E270" s="227">
        <v>0.8269</v>
      </c>
      <c r="F270" s="227">
        <v>0.8269</v>
      </c>
      <c r="G270" s="227">
        <v>0.8269</v>
      </c>
      <c r="H270" s="227">
        <v>0.8269</v>
      </c>
      <c r="I270" s="227">
        <v>0.6861</v>
      </c>
      <c r="J270" s="227">
        <v>0.6861</v>
      </c>
      <c r="K270" s="227">
        <v>0.6861</v>
      </c>
      <c r="L270" s="227">
        <v>0.6861</v>
      </c>
      <c r="M270" s="227">
        <v>0.6861</v>
      </c>
    </row>
    <row r="271" spans="1:13">
      <c r="A271" s="224">
        <v>6.5</v>
      </c>
      <c r="B271" s="227">
        <v>0.8447</v>
      </c>
      <c r="C271" s="227">
        <v>0.8447</v>
      </c>
      <c r="D271" s="227">
        <v>0.8257</v>
      </c>
      <c r="E271" s="227">
        <v>0.8257</v>
      </c>
      <c r="F271" s="227">
        <v>0.8257</v>
      </c>
      <c r="G271" s="227">
        <v>0.8257</v>
      </c>
      <c r="H271" s="227">
        <v>0.8257</v>
      </c>
      <c r="I271" s="227">
        <v>0.6844</v>
      </c>
      <c r="J271" s="227">
        <v>0.6844</v>
      </c>
      <c r="K271" s="227">
        <v>0.6844</v>
      </c>
      <c r="L271" s="227">
        <v>0.6844</v>
      </c>
      <c r="M271" s="227">
        <v>0.6844</v>
      </c>
    </row>
    <row r="272" spans="1:13">
      <c r="A272" s="224">
        <v>6.6</v>
      </c>
      <c r="B272" s="227">
        <v>0.8437</v>
      </c>
      <c r="C272" s="227">
        <v>0.8437</v>
      </c>
      <c r="D272" s="227">
        <v>0.8245</v>
      </c>
      <c r="E272" s="227">
        <v>0.8245</v>
      </c>
      <c r="F272" s="227">
        <v>0.8245</v>
      </c>
      <c r="G272" s="227">
        <v>0.8245</v>
      </c>
      <c r="H272" s="227">
        <v>0.8245</v>
      </c>
      <c r="I272" s="227">
        <v>0.6829</v>
      </c>
      <c r="J272" s="227">
        <v>0.6829</v>
      </c>
      <c r="K272" s="227">
        <v>0.6829</v>
      </c>
      <c r="L272" s="227">
        <v>0.6829</v>
      </c>
      <c r="M272" s="227">
        <v>0.6829</v>
      </c>
    </row>
    <row r="273" spans="1:13">
      <c r="A273" s="224">
        <v>6.7</v>
      </c>
      <c r="B273" s="227">
        <v>0.8427</v>
      </c>
      <c r="C273" s="227">
        <v>0.8427</v>
      </c>
      <c r="D273" s="227">
        <v>0.8233</v>
      </c>
      <c r="E273" s="227">
        <v>0.8233</v>
      </c>
      <c r="F273" s="227">
        <v>0.8233</v>
      </c>
      <c r="G273" s="227">
        <v>0.8233</v>
      </c>
      <c r="H273" s="227">
        <v>0.8233</v>
      </c>
      <c r="I273" s="227">
        <v>0.6813</v>
      </c>
      <c r="J273" s="227">
        <v>0.6813</v>
      </c>
      <c r="K273" s="227">
        <v>0.6813</v>
      </c>
      <c r="L273" s="227">
        <v>0.6813</v>
      </c>
      <c r="M273" s="227">
        <v>0.6813</v>
      </c>
    </row>
    <row r="274" spans="1:13">
      <c r="A274" s="224">
        <v>6.8</v>
      </c>
      <c r="B274" s="227">
        <v>0.8418</v>
      </c>
      <c r="C274" s="227">
        <v>0.8418</v>
      </c>
      <c r="D274" s="227">
        <v>0.8221</v>
      </c>
      <c r="E274" s="227">
        <v>0.8221</v>
      </c>
      <c r="F274" s="227">
        <v>0.8221</v>
      </c>
      <c r="G274" s="227">
        <v>0.8221</v>
      </c>
      <c r="H274" s="227">
        <v>0.8221</v>
      </c>
      <c r="I274" s="227">
        <v>0.6798</v>
      </c>
      <c r="J274" s="227">
        <v>0.6798</v>
      </c>
      <c r="K274" s="227">
        <v>0.6798</v>
      </c>
      <c r="L274" s="227">
        <v>0.6798</v>
      </c>
      <c r="M274" s="227">
        <v>0.6798</v>
      </c>
    </row>
    <row r="275" spans="1:13">
      <c r="A275" s="224">
        <v>6.9</v>
      </c>
      <c r="B275" s="227">
        <v>0.8409</v>
      </c>
      <c r="C275" s="227">
        <v>0.8409</v>
      </c>
      <c r="D275" s="227">
        <v>0.821</v>
      </c>
      <c r="E275" s="227">
        <v>0.821</v>
      </c>
      <c r="F275" s="227">
        <v>0.821</v>
      </c>
      <c r="G275" s="227">
        <v>0.821</v>
      </c>
      <c r="H275" s="227">
        <v>0.821</v>
      </c>
      <c r="I275" s="227">
        <v>0.6785</v>
      </c>
      <c r="J275" s="227">
        <v>0.6785</v>
      </c>
      <c r="K275" s="227">
        <v>0.6785</v>
      </c>
      <c r="L275" s="227">
        <v>0.6785</v>
      </c>
      <c r="M275" s="227">
        <v>0.6785</v>
      </c>
    </row>
    <row r="276" spans="1:13">
      <c r="A276" s="224">
        <v>7</v>
      </c>
      <c r="B276" s="227">
        <v>0.8401</v>
      </c>
      <c r="C276" s="227">
        <v>0.8401</v>
      </c>
      <c r="D276" s="227">
        <v>0.8199</v>
      </c>
      <c r="E276" s="227">
        <v>0.8199</v>
      </c>
      <c r="F276" s="227">
        <v>0.8199</v>
      </c>
      <c r="G276" s="227">
        <v>0.8199</v>
      </c>
      <c r="H276" s="227">
        <v>0.8199</v>
      </c>
      <c r="I276" s="227">
        <v>0.6772</v>
      </c>
      <c r="J276" s="227">
        <v>0.6772</v>
      </c>
      <c r="K276" s="227">
        <v>0.6772</v>
      </c>
      <c r="L276" s="227">
        <v>0.6772</v>
      </c>
      <c r="M276" s="227">
        <v>0.6772</v>
      </c>
    </row>
    <row r="277" spans="1:13">
      <c r="A277" s="224">
        <v>7.1</v>
      </c>
      <c r="B277" s="227">
        <v>0.8393</v>
      </c>
      <c r="C277" s="227">
        <v>0.8393</v>
      </c>
      <c r="D277" s="227">
        <v>0.8189</v>
      </c>
      <c r="E277" s="227">
        <v>0.8189</v>
      </c>
      <c r="F277" s="227">
        <v>0.8189</v>
      </c>
      <c r="G277" s="227">
        <v>0.8189</v>
      </c>
      <c r="H277" s="227">
        <v>0.8189</v>
      </c>
      <c r="I277" s="227">
        <v>0.6759</v>
      </c>
      <c r="J277" s="227">
        <v>0.6759</v>
      </c>
      <c r="K277" s="227">
        <v>0.6759</v>
      </c>
      <c r="L277" s="227">
        <v>0.6759</v>
      </c>
      <c r="M277" s="227">
        <v>0.6759</v>
      </c>
    </row>
    <row r="278" spans="1:13">
      <c r="A278" s="224">
        <v>7.2</v>
      </c>
      <c r="B278" s="227">
        <v>0.8385</v>
      </c>
      <c r="C278" s="227">
        <v>0.8385</v>
      </c>
      <c r="D278" s="227">
        <v>0.8179</v>
      </c>
      <c r="E278" s="227">
        <v>0.8179</v>
      </c>
      <c r="F278" s="227">
        <v>0.8179</v>
      </c>
      <c r="G278" s="227">
        <v>0.8179</v>
      </c>
      <c r="H278" s="227">
        <v>0.8179</v>
      </c>
      <c r="I278" s="227">
        <v>0.6746</v>
      </c>
      <c r="J278" s="227">
        <v>0.6746</v>
      </c>
      <c r="K278" s="227">
        <v>0.6746</v>
      </c>
      <c r="L278" s="227">
        <v>0.6746</v>
      </c>
      <c r="M278" s="227">
        <v>0.6746</v>
      </c>
    </row>
    <row r="279" spans="1:13">
      <c r="A279" s="224">
        <v>7.3</v>
      </c>
      <c r="B279" s="227">
        <v>0.8377</v>
      </c>
      <c r="C279" s="227">
        <v>0.8377</v>
      </c>
      <c r="D279" s="227">
        <v>0.8169</v>
      </c>
      <c r="E279" s="227">
        <v>0.8169</v>
      </c>
      <c r="F279" s="227">
        <v>0.8169</v>
      </c>
      <c r="G279" s="227">
        <v>0.8169</v>
      </c>
      <c r="H279" s="227">
        <v>0.8169</v>
      </c>
      <c r="I279" s="227">
        <v>0.6734</v>
      </c>
      <c r="J279" s="227">
        <v>0.6734</v>
      </c>
      <c r="K279" s="227">
        <v>0.6734</v>
      </c>
      <c r="L279" s="227">
        <v>0.6734</v>
      </c>
      <c r="M279" s="227">
        <v>0.6734</v>
      </c>
    </row>
    <row r="280" spans="1:13">
      <c r="A280" s="224">
        <v>7.4</v>
      </c>
      <c r="B280" s="227">
        <v>0.837</v>
      </c>
      <c r="C280" s="227">
        <v>0.837</v>
      </c>
      <c r="D280" s="227">
        <v>0.816</v>
      </c>
      <c r="E280" s="227">
        <v>0.816</v>
      </c>
      <c r="F280" s="227">
        <v>0.816</v>
      </c>
      <c r="G280" s="227">
        <v>0.816</v>
      </c>
      <c r="H280" s="227">
        <v>0.816</v>
      </c>
      <c r="I280" s="227">
        <v>0.6721</v>
      </c>
      <c r="J280" s="227">
        <v>0.6721</v>
      </c>
      <c r="K280" s="227">
        <v>0.6721</v>
      </c>
      <c r="L280" s="227">
        <v>0.6721</v>
      </c>
      <c r="M280" s="227">
        <v>0.6721</v>
      </c>
    </row>
    <row r="281" spans="1:13">
      <c r="A281" s="224">
        <v>7.5</v>
      </c>
      <c r="B281" s="227">
        <v>0.8363</v>
      </c>
      <c r="C281" s="227">
        <v>0.8363</v>
      </c>
      <c r="D281" s="227">
        <v>0.8151</v>
      </c>
      <c r="E281" s="227">
        <v>0.8151</v>
      </c>
      <c r="F281" s="227">
        <v>0.8151</v>
      </c>
      <c r="G281" s="227">
        <v>0.8151</v>
      </c>
      <c r="H281" s="227">
        <v>0.8151</v>
      </c>
      <c r="I281" s="227">
        <v>0.6709</v>
      </c>
      <c r="J281" s="227">
        <v>0.6709</v>
      </c>
      <c r="K281" s="227">
        <v>0.6709</v>
      </c>
      <c r="L281" s="227">
        <v>0.6709</v>
      </c>
      <c r="M281" s="227">
        <v>0.6709</v>
      </c>
    </row>
    <row r="282" spans="1:13">
      <c r="A282" s="224">
        <v>7.6</v>
      </c>
      <c r="B282" s="227">
        <v>0.8356</v>
      </c>
      <c r="C282" s="227">
        <v>0.8356</v>
      </c>
      <c r="D282" s="227">
        <v>0.8142</v>
      </c>
      <c r="E282" s="227">
        <v>0.8142</v>
      </c>
      <c r="F282" s="227">
        <v>0.8142</v>
      </c>
      <c r="G282" s="227">
        <v>0.8142</v>
      </c>
      <c r="H282" s="227">
        <v>0.8142</v>
      </c>
      <c r="I282" s="227">
        <v>0.6698</v>
      </c>
      <c r="J282" s="227">
        <v>0.6698</v>
      </c>
      <c r="K282" s="227">
        <v>0.6698</v>
      </c>
      <c r="L282" s="227">
        <v>0.6698</v>
      </c>
      <c r="M282" s="227">
        <v>0.6698</v>
      </c>
    </row>
    <row r="283" spans="1:13">
      <c r="A283" s="224">
        <v>7.7</v>
      </c>
      <c r="B283" s="227">
        <v>0.8349</v>
      </c>
      <c r="C283" s="227">
        <v>0.8349</v>
      </c>
      <c r="D283" s="227">
        <v>0.8133</v>
      </c>
      <c r="E283" s="227">
        <v>0.8133</v>
      </c>
      <c r="F283" s="227">
        <v>0.8133</v>
      </c>
      <c r="G283" s="227">
        <v>0.8133</v>
      </c>
      <c r="H283" s="227">
        <v>0.8133</v>
      </c>
      <c r="I283" s="227">
        <v>0.6687</v>
      </c>
      <c r="J283" s="227">
        <v>0.6687</v>
      </c>
      <c r="K283" s="227">
        <v>0.6687</v>
      </c>
      <c r="L283" s="227">
        <v>0.6687</v>
      </c>
      <c r="M283" s="227">
        <v>0.6687</v>
      </c>
    </row>
    <row r="284" spans="1:13">
      <c r="A284" s="224">
        <v>7.8</v>
      </c>
      <c r="B284" s="227">
        <v>0.8342</v>
      </c>
      <c r="C284" s="227">
        <v>0.8342</v>
      </c>
      <c r="D284" s="227">
        <v>0.8124</v>
      </c>
      <c r="E284" s="227">
        <v>0.8124</v>
      </c>
      <c r="F284" s="227">
        <v>0.8124</v>
      </c>
      <c r="G284" s="227">
        <v>0.8124</v>
      </c>
      <c r="H284" s="227">
        <v>0.8124</v>
      </c>
      <c r="I284" s="227">
        <v>0.6676</v>
      </c>
      <c r="J284" s="227">
        <v>0.6676</v>
      </c>
      <c r="K284" s="227">
        <v>0.6676</v>
      </c>
      <c r="L284" s="227">
        <v>0.6676</v>
      </c>
      <c r="M284" s="227">
        <v>0.6676</v>
      </c>
    </row>
    <row r="285" spans="1:13">
      <c r="A285" s="224">
        <v>7.9</v>
      </c>
      <c r="B285" s="227">
        <v>0.8335</v>
      </c>
      <c r="C285" s="227">
        <v>0.8335</v>
      </c>
      <c r="D285" s="227">
        <v>0.8116</v>
      </c>
      <c r="E285" s="227">
        <v>0.8116</v>
      </c>
      <c r="F285" s="227">
        <v>0.8116</v>
      </c>
      <c r="G285" s="227">
        <v>0.8116</v>
      </c>
      <c r="H285" s="227">
        <v>0.8116</v>
      </c>
      <c r="I285" s="227">
        <v>0.6665</v>
      </c>
      <c r="J285" s="227">
        <v>0.6665</v>
      </c>
      <c r="K285" s="227">
        <v>0.6665</v>
      </c>
      <c r="L285" s="227">
        <v>0.6665</v>
      </c>
      <c r="M285" s="227">
        <v>0.6665</v>
      </c>
    </row>
    <row r="286" spans="1:13">
      <c r="A286" s="224">
        <v>8</v>
      </c>
      <c r="B286" s="227">
        <v>0.8328</v>
      </c>
      <c r="C286" s="227">
        <v>0.8328</v>
      </c>
      <c r="D286" s="227">
        <v>0.8108</v>
      </c>
      <c r="E286" s="227">
        <v>0.8108</v>
      </c>
      <c r="F286" s="227">
        <v>0.8108</v>
      </c>
      <c r="G286" s="227">
        <v>0.8108</v>
      </c>
      <c r="H286" s="227">
        <v>0.8108</v>
      </c>
      <c r="I286" s="227">
        <v>0.6655</v>
      </c>
      <c r="J286" s="227">
        <v>0.6655</v>
      </c>
      <c r="K286" s="227">
        <v>0.6655</v>
      </c>
      <c r="L286" s="227">
        <v>0.6655</v>
      </c>
      <c r="M286" s="227">
        <v>0.6655</v>
      </c>
    </row>
    <row r="287" spans="1:13">
      <c r="A287" s="224">
        <v>8.1</v>
      </c>
      <c r="B287" s="227">
        <v>0.8322</v>
      </c>
      <c r="C287" s="227">
        <v>0.8322</v>
      </c>
      <c r="D287" s="227">
        <v>0.81</v>
      </c>
      <c r="E287" s="227">
        <v>0.81</v>
      </c>
      <c r="F287" s="227">
        <v>0.81</v>
      </c>
      <c r="G287" s="227">
        <v>0.81</v>
      </c>
      <c r="H287" s="227">
        <v>0.81</v>
      </c>
      <c r="I287" s="227">
        <v>0.6644</v>
      </c>
      <c r="J287" s="227">
        <v>0.6644</v>
      </c>
      <c r="K287" s="227">
        <v>0.6644</v>
      </c>
      <c r="L287" s="227">
        <v>0.6644</v>
      </c>
      <c r="M287" s="227">
        <v>0.6644</v>
      </c>
    </row>
    <row r="288" spans="1:13">
      <c r="A288" s="224">
        <v>8.2</v>
      </c>
      <c r="B288" s="227">
        <v>0.8316</v>
      </c>
      <c r="C288" s="227">
        <v>0.8316</v>
      </c>
      <c r="D288" s="227">
        <v>0.8092</v>
      </c>
      <c r="E288" s="227">
        <v>0.8092</v>
      </c>
      <c r="F288" s="227">
        <v>0.8092</v>
      </c>
      <c r="G288" s="227">
        <v>0.8092</v>
      </c>
      <c r="H288" s="227">
        <v>0.8092</v>
      </c>
      <c r="I288" s="227">
        <v>0.6634</v>
      </c>
      <c r="J288" s="227">
        <v>0.6634</v>
      </c>
      <c r="K288" s="227">
        <v>0.6634</v>
      </c>
      <c r="L288" s="227">
        <v>0.6634</v>
      </c>
      <c r="M288" s="227">
        <v>0.6634</v>
      </c>
    </row>
    <row r="289" spans="1:13">
      <c r="A289" s="224">
        <v>8.3</v>
      </c>
      <c r="B289" s="227">
        <v>0.831</v>
      </c>
      <c r="C289" s="227">
        <v>0.831</v>
      </c>
      <c r="D289" s="227">
        <v>0.8084</v>
      </c>
      <c r="E289" s="227">
        <v>0.8084</v>
      </c>
      <c r="F289" s="227">
        <v>0.8084</v>
      </c>
      <c r="G289" s="227">
        <v>0.8084</v>
      </c>
      <c r="H289" s="227">
        <v>0.8084</v>
      </c>
      <c r="I289" s="227">
        <v>0.6624</v>
      </c>
      <c r="J289" s="227">
        <v>0.6624</v>
      </c>
      <c r="K289" s="227">
        <v>0.6624</v>
      </c>
      <c r="L289" s="227">
        <v>0.6624</v>
      </c>
      <c r="M289" s="227">
        <v>0.6624</v>
      </c>
    </row>
    <row r="290" spans="1:13">
      <c r="A290" s="224">
        <v>8.4</v>
      </c>
      <c r="B290" s="227">
        <v>0.8304</v>
      </c>
      <c r="C290" s="227">
        <v>0.8304</v>
      </c>
      <c r="D290" s="227">
        <v>0.8076</v>
      </c>
      <c r="E290" s="227">
        <v>0.8076</v>
      </c>
      <c r="F290" s="227">
        <v>0.8076</v>
      </c>
      <c r="G290" s="227">
        <v>0.8076</v>
      </c>
      <c r="H290" s="227">
        <v>0.8076</v>
      </c>
      <c r="I290" s="227">
        <v>0.6614</v>
      </c>
      <c r="J290" s="227">
        <v>0.6614</v>
      </c>
      <c r="K290" s="227">
        <v>0.6614</v>
      </c>
      <c r="L290" s="227">
        <v>0.6614</v>
      </c>
      <c r="M290" s="227">
        <v>0.6614</v>
      </c>
    </row>
    <row r="291" spans="1:13">
      <c r="A291" s="224">
        <v>8.5</v>
      </c>
      <c r="B291" s="227">
        <v>0.8298</v>
      </c>
      <c r="C291" s="227">
        <v>0.8298</v>
      </c>
      <c r="D291" s="227">
        <v>0.8068</v>
      </c>
      <c r="E291" s="227">
        <v>0.8068</v>
      </c>
      <c r="F291" s="227">
        <v>0.8068</v>
      </c>
      <c r="G291" s="227">
        <v>0.8068</v>
      </c>
      <c r="H291" s="227">
        <v>0.8068</v>
      </c>
      <c r="I291" s="227">
        <v>0.6605</v>
      </c>
      <c r="J291" s="227">
        <v>0.6605</v>
      </c>
      <c r="K291" s="227">
        <v>0.6605</v>
      </c>
      <c r="L291" s="227">
        <v>0.6605</v>
      </c>
      <c r="M291" s="227">
        <v>0.6605</v>
      </c>
    </row>
    <row r="292" spans="1:13">
      <c r="A292" s="224">
        <v>8.6</v>
      </c>
      <c r="B292" s="227">
        <v>0.8292</v>
      </c>
      <c r="C292" s="227">
        <v>0.8292</v>
      </c>
      <c r="D292" s="227">
        <v>0.806</v>
      </c>
      <c r="E292" s="227">
        <v>0.806</v>
      </c>
      <c r="F292" s="227">
        <v>0.806</v>
      </c>
      <c r="G292" s="227">
        <v>0.806</v>
      </c>
      <c r="H292" s="227">
        <v>0.806</v>
      </c>
      <c r="I292" s="227">
        <v>0.6595</v>
      </c>
      <c r="J292" s="227">
        <v>0.6595</v>
      </c>
      <c r="K292" s="227">
        <v>0.6595</v>
      </c>
      <c r="L292" s="227">
        <v>0.6595</v>
      </c>
      <c r="M292" s="227">
        <v>0.6595</v>
      </c>
    </row>
    <row r="293" spans="1:13">
      <c r="A293" s="224">
        <v>8.7</v>
      </c>
      <c r="B293" s="227">
        <v>0.8286</v>
      </c>
      <c r="C293" s="227">
        <v>0.8286</v>
      </c>
      <c r="D293" s="227">
        <v>0.8052</v>
      </c>
      <c r="E293" s="227">
        <v>0.8052</v>
      </c>
      <c r="F293" s="227">
        <v>0.8052</v>
      </c>
      <c r="G293" s="227">
        <v>0.8052</v>
      </c>
      <c r="H293" s="227">
        <v>0.8052</v>
      </c>
      <c r="I293" s="227">
        <v>0.6586</v>
      </c>
      <c r="J293" s="227">
        <v>0.6586</v>
      </c>
      <c r="K293" s="227">
        <v>0.6586</v>
      </c>
      <c r="L293" s="227">
        <v>0.6586</v>
      </c>
      <c r="M293" s="227">
        <v>0.6586</v>
      </c>
    </row>
    <row r="294" spans="1:13">
      <c r="A294" s="224">
        <v>8.8</v>
      </c>
      <c r="B294" s="227">
        <v>0.828</v>
      </c>
      <c r="C294" s="227">
        <v>0.828</v>
      </c>
      <c r="D294" s="227">
        <v>0.8044</v>
      </c>
      <c r="E294" s="227">
        <v>0.8044</v>
      </c>
      <c r="F294" s="227">
        <v>0.8044</v>
      </c>
      <c r="G294" s="227">
        <v>0.8044</v>
      </c>
      <c r="H294" s="227">
        <v>0.8044</v>
      </c>
      <c r="I294" s="227">
        <v>0.6576</v>
      </c>
      <c r="J294" s="227">
        <v>0.6576</v>
      </c>
      <c r="K294" s="227">
        <v>0.6576</v>
      </c>
      <c r="L294" s="227">
        <v>0.6576</v>
      </c>
      <c r="M294" s="227">
        <v>0.6576</v>
      </c>
    </row>
    <row r="295" spans="1:13">
      <c r="A295" s="224">
        <v>8.9</v>
      </c>
      <c r="B295" s="227">
        <v>0.8274</v>
      </c>
      <c r="C295" s="227">
        <v>0.8274</v>
      </c>
      <c r="D295" s="227">
        <v>0.8036</v>
      </c>
      <c r="E295" s="227">
        <v>0.8036</v>
      </c>
      <c r="F295" s="227">
        <v>0.8036</v>
      </c>
      <c r="G295" s="227">
        <v>0.8036</v>
      </c>
      <c r="H295" s="227">
        <v>0.8036</v>
      </c>
      <c r="I295" s="227">
        <v>0.6567</v>
      </c>
      <c r="J295" s="227">
        <v>0.6567</v>
      </c>
      <c r="K295" s="227">
        <v>0.6567</v>
      </c>
      <c r="L295" s="227">
        <v>0.6567</v>
      </c>
      <c r="M295" s="227">
        <v>0.6567</v>
      </c>
    </row>
    <row r="296" spans="1:13">
      <c r="A296" s="228">
        <v>9</v>
      </c>
      <c r="B296" s="227">
        <v>0.8268</v>
      </c>
      <c r="C296" s="227">
        <v>0.8268</v>
      </c>
      <c r="D296" s="227">
        <v>0.8028</v>
      </c>
      <c r="E296" s="227">
        <v>0.8028</v>
      </c>
      <c r="F296" s="227">
        <v>0.8028</v>
      </c>
      <c r="G296" s="227">
        <v>0.8028</v>
      </c>
      <c r="H296" s="227">
        <v>0.8028</v>
      </c>
      <c r="I296" s="227">
        <v>0.6557</v>
      </c>
      <c r="J296" s="227">
        <v>0.6557</v>
      </c>
      <c r="K296" s="227">
        <v>0.6557</v>
      </c>
      <c r="L296" s="227">
        <v>0.6557</v>
      </c>
      <c r="M296" s="227">
        <v>0.6557</v>
      </c>
    </row>
    <row r="297" spans="1:13">
      <c r="A297" s="228">
        <v>9.1</v>
      </c>
      <c r="B297" s="227">
        <v>0.8262</v>
      </c>
      <c r="C297" s="227">
        <v>0.8262</v>
      </c>
      <c r="D297" s="227">
        <v>0.802</v>
      </c>
      <c r="E297" s="227">
        <v>0.802</v>
      </c>
      <c r="F297" s="227">
        <v>0.802</v>
      </c>
      <c r="G297" s="227">
        <v>0.802</v>
      </c>
      <c r="H297" s="227">
        <v>0.802</v>
      </c>
      <c r="I297" s="227">
        <v>0.6548</v>
      </c>
      <c r="J297" s="227">
        <v>0.6548</v>
      </c>
      <c r="K297" s="227">
        <v>0.6548</v>
      </c>
      <c r="L297" s="227">
        <v>0.6548</v>
      </c>
      <c r="M297" s="227">
        <v>0.6548</v>
      </c>
    </row>
    <row r="298" spans="1:13">
      <c r="A298" s="228">
        <v>9.2</v>
      </c>
      <c r="B298" s="227">
        <v>0.8256</v>
      </c>
      <c r="C298" s="227">
        <v>0.8256</v>
      </c>
      <c r="D298" s="227">
        <v>0.8012</v>
      </c>
      <c r="E298" s="227">
        <v>0.8012</v>
      </c>
      <c r="F298" s="227">
        <v>0.8012</v>
      </c>
      <c r="G298" s="227">
        <v>0.8012</v>
      </c>
      <c r="H298" s="227">
        <v>0.8012</v>
      </c>
      <c r="I298" s="227">
        <v>0.6538</v>
      </c>
      <c r="J298" s="227">
        <v>0.6538</v>
      </c>
      <c r="K298" s="227">
        <v>0.6538</v>
      </c>
      <c r="L298" s="227">
        <v>0.6538</v>
      </c>
      <c r="M298" s="227">
        <v>0.6538</v>
      </c>
    </row>
    <row r="299" spans="1:13">
      <c r="A299" s="228">
        <v>9.3</v>
      </c>
      <c r="B299" s="227">
        <v>0.825</v>
      </c>
      <c r="C299" s="227">
        <v>0.825</v>
      </c>
      <c r="D299" s="227">
        <v>0.8004</v>
      </c>
      <c r="E299" s="227">
        <v>0.8004</v>
      </c>
      <c r="F299" s="227">
        <v>0.8004</v>
      </c>
      <c r="G299" s="227">
        <v>0.8004</v>
      </c>
      <c r="H299" s="227">
        <v>0.8004</v>
      </c>
      <c r="I299" s="227">
        <v>0.6529</v>
      </c>
      <c r="J299" s="227">
        <v>0.6529</v>
      </c>
      <c r="K299" s="227">
        <v>0.6529</v>
      </c>
      <c r="L299" s="227">
        <v>0.6529</v>
      </c>
      <c r="M299" s="227">
        <v>0.6529</v>
      </c>
    </row>
    <row r="300" spans="1:13">
      <c r="A300" s="228">
        <v>9.4</v>
      </c>
      <c r="B300" s="227">
        <v>0.8244</v>
      </c>
      <c r="C300" s="227">
        <v>0.8244</v>
      </c>
      <c r="D300" s="227">
        <v>0.7996</v>
      </c>
      <c r="E300" s="227">
        <v>0.7996</v>
      </c>
      <c r="F300" s="227">
        <v>0.7996</v>
      </c>
      <c r="G300" s="227">
        <v>0.7996</v>
      </c>
      <c r="H300" s="227">
        <v>0.7996</v>
      </c>
      <c r="I300" s="227">
        <v>0.6519</v>
      </c>
      <c r="J300" s="227">
        <v>0.6519</v>
      </c>
      <c r="K300" s="227">
        <v>0.6519</v>
      </c>
      <c r="L300" s="227">
        <v>0.6519</v>
      </c>
      <c r="M300" s="227">
        <v>0.6519</v>
      </c>
    </row>
    <row r="301" spans="1:13">
      <c r="A301" s="228">
        <v>9.5</v>
      </c>
      <c r="B301" s="227">
        <v>0.8238</v>
      </c>
      <c r="C301" s="227">
        <v>0.8238</v>
      </c>
      <c r="D301" s="227">
        <v>0.7988</v>
      </c>
      <c r="E301" s="227">
        <v>0.7988</v>
      </c>
      <c r="F301" s="227">
        <v>0.7988</v>
      </c>
      <c r="G301" s="227">
        <v>0.7988</v>
      </c>
      <c r="H301" s="227">
        <v>0.7988</v>
      </c>
      <c r="I301" s="227">
        <v>0.651</v>
      </c>
      <c r="J301" s="227">
        <v>0.651</v>
      </c>
      <c r="K301" s="227">
        <v>0.651</v>
      </c>
      <c r="L301" s="227">
        <v>0.651</v>
      </c>
      <c r="M301" s="227">
        <v>0.651</v>
      </c>
    </row>
    <row r="302" spans="1:13">
      <c r="A302" s="228">
        <v>9.6</v>
      </c>
      <c r="B302" s="227">
        <v>0.8232</v>
      </c>
      <c r="C302" s="227">
        <v>0.8232</v>
      </c>
      <c r="D302" s="227">
        <v>0.798</v>
      </c>
      <c r="E302" s="227">
        <v>0.798</v>
      </c>
      <c r="F302" s="227">
        <v>0.798</v>
      </c>
      <c r="G302" s="227">
        <v>0.798</v>
      </c>
      <c r="H302" s="227">
        <v>0.798</v>
      </c>
      <c r="I302" s="227">
        <v>0.65</v>
      </c>
      <c r="J302" s="227">
        <v>0.65</v>
      </c>
      <c r="K302" s="227">
        <v>0.65</v>
      </c>
      <c r="L302" s="227">
        <v>0.65</v>
      </c>
      <c r="M302" s="227">
        <v>0.65</v>
      </c>
    </row>
    <row r="303" spans="1:13">
      <c r="A303" s="228">
        <v>9.7</v>
      </c>
      <c r="B303" s="227">
        <v>0.8226</v>
      </c>
      <c r="C303" s="227">
        <v>0.8226</v>
      </c>
      <c r="D303" s="227">
        <v>0.7972</v>
      </c>
      <c r="E303" s="227">
        <v>0.7972</v>
      </c>
      <c r="F303" s="227">
        <v>0.7972</v>
      </c>
      <c r="G303" s="227">
        <v>0.7972</v>
      </c>
      <c r="H303" s="227">
        <v>0.7972</v>
      </c>
      <c r="I303" s="227">
        <v>0.649</v>
      </c>
      <c r="J303" s="227">
        <v>0.649</v>
      </c>
      <c r="K303" s="227">
        <v>0.649</v>
      </c>
      <c r="L303" s="227">
        <v>0.649</v>
      </c>
      <c r="M303" s="227">
        <v>0.649</v>
      </c>
    </row>
    <row r="304" spans="1:13">
      <c r="A304" s="228">
        <v>9.8</v>
      </c>
      <c r="B304" s="227">
        <v>0.822</v>
      </c>
      <c r="C304" s="227">
        <v>0.822</v>
      </c>
      <c r="D304" s="227">
        <v>0.7964</v>
      </c>
      <c r="E304" s="227">
        <v>0.7964</v>
      </c>
      <c r="F304" s="227">
        <v>0.7964</v>
      </c>
      <c r="G304" s="227">
        <v>0.7964</v>
      </c>
      <c r="H304" s="227">
        <v>0.7964</v>
      </c>
      <c r="I304" s="227">
        <v>0.6481</v>
      </c>
      <c r="J304" s="227">
        <v>0.6481</v>
      </c>
      <c r="K304" s="227">
        <v>0.6481</v>
      </c>
      <c r="L304" s="227">
        <v>0.6481</v>
      </c>
      <c r="M304" s="227">
        <v>0.6481</v>
      </c>
    </row>
    <row r="305" spans="1:13">
      <c r="A305" s="228">
        <v>9.9</v>
      </c>
      <c r="B305" s="227">
        <v>0.8214</v>
      </c>
      <c r="C305" s="227">
        <v>0.8214</v>
      </c>
      <c r="D305" s="227">
        <v>0.7956</v>
      </c>
      <c r="E305" s="227">
        <v>0.7956</v>
      </c>
      <c r="F305" s="227">
        <v>0.7956</v>
      </c>
      <c r="G305" s="227">
        <v>0.7956</v>
      </c>
      <c r="H305" s="227">
        <v>0.7956</v>
      </c>
      <c r="I305" s="227">
        <v>0.6471</v>
      </c>
      <c r="J305" s="227">
        <v>0.6471</v>
      </c>
      <c r="K305" s="227">
        <v>0.6471</v>
      </c>
      <c r="L305" s="227">
        <v>0.6471</v>
      </c>
      <c r="M305" s="227">
        <v>0.6471</v>
      </c>
    </row>
    <row r="306" spans="1:13">
      <c r="A306" s="228">
        <v>10</v>
      </c>
      <c r="B306" s="227">
        <v>0.8208</v>
      </c>
      <c r="C306" s="227">
        <v>0.8208</v>
      </c>
      <c r="D306" s="227">
        <v>0.7948</v>
      </c>
      <c r="E306" s="227">
        <v>0.7948</v>
      </c>
      <c r="F306" s="227">
        <v>0.7948</v>
      </c>
      <c r="G306" s="227">
        <v>0.7948</v>
      </c>
      <c r="H306" s="227">
        <v>0.7948</v>
      </c>
      <c r="I306" s="227">
        <v>0.6462</v>
      </c>
      <c r="J306" s="227">
        <v>0.6462</v>
      </c>
      <c r="K306" s="227">
        <v>0.6462</v>
      </c>
      <c r="L306" s="227">
        <v>0.6462</v>
      </c>
      <c r="M306" s="227">
        <v>0.6462</v>
      </c>
    </row>
    <row r="307" ht="14.25" spans="1:13">
      <c r="A307" s="222" t="s">
        <v>2332</v>
      </c>
      <c r="B307" s="223"/>
      <c r="C307" s="223"/>
      <c r="D307" s="223"/>
      <c r="E307" s="223"/>
      <c r="F307" s="223"/>
      <c r="G307" s="223"/>
      <c r="H307" s="223"/>
      <c r="I307" s="223"/>
      <c r="J307" s="223"/>
      <c r="K307" s="223"/>
      <c r="L307" s="223"/>
      <c r="M307" s="223"/>
    </row>
    <row r="308" spans="1:13">
      <c r="A308" s="224" t="s">
        <v>2329</v>
      </c>
      <c r="B308" s="225" t="s">
        <v>1738</v>
      </c>
      <c r="C308" s="225" t="s">
        <v>1744</v>
      </c>
      <c r="D308" s="225" t="s">
        <v>1764</v>
      </c>
      <c r="E308" s="225" t="s">
        <v>1785</v>
      </c>
      <c r="F308" s="225" t="s">
        <v>1813</v>
      </c>
      <c r="G308" s="225" t="s">
        <v>1848</v>
      </c>
      <c r="H308" s="226" t="s">
        <v>1897</v>
      </c>
      <c r="I308" s="226" t="s">
        <v>1946</v>
      </c>
      <c r="J308" s="229" t="s">
        <v>1986</v>
      </c>
      <c r="K308" s="229" t="s">
        <v>2032</v>
      </c>
      <c r="L308" s="229" t="s">
        <v>2060</v>
      </c>
      <c r="M308" s="229" t="s">
        <v>2082</v>
      </c>
    </row>
    <row r="309" spans="1:13">
      <c r="A309" s="224">
        <v>0.1</v>
      </c>
      <c r="B309" s="227">
        <v>11.506</v>
      </c>
      <c r="C309" s="227">
        <v>11.506</v>
      </c>
      <c r="D309" s="227">
        <v>12.015</v>
      </c>
      <c r="E309" s="227">
        <v>12.015</v>
      </c>
      <c r="F309" s="227">
        <v>12.015</v>
      </c>
      <c r="G309" s="227">
        <v>11.118</v>
      </c>
      <c r="H309" s="227">
        <v>11.118</v>
      </c>
      <c r="I309" s="227">
        <v>10</v>
      </c>
      <c r="J309" s="227">
        <v>10</v>
      </c>
      <c r="K309" s="227">
        <v>10</v>
      </c>
      <c r="L309" s="227">
        <v>10</v>
      </c>
      <c r="M309" s="227">
        <v>10</v>
      </c>
    </row>
    <row r="310" spans="1:13">
      <c r="A310" s="224">
        <v>0.2</v>
      </c>
      <c r="B310" s="227">
        <v>5.753</v>
      </c>
      <c r="C310" s="227">
        <v>5.753</v>
      </c>
      <c r="D310" s="227">
        <v>6.0075</v>
      </c>
      <c r="E310" s="227">
        <v>6.0075</v>
      </c>
      <c r="F310" s="227">
        <v>6.0075</v>
      </c>
      <c r="G310" s="227">
        <v>5.559</v>
      </c>
      <c r="H310" s="227">
        <v>5.559</v>
      </c>
      <c r="I310" s="227">
        <v>5</v>
      </c>
      <c r="J310" s="227">
        <v>5</v>
      </c>
      <c r="K310" s="227">
        <v>5</v>
      </c>
      <c r="L310" s="227">
        <v>5</v>
      </c>
      <c r="M310" s="227">
        <v>5</v>
      </c>
    </row>
    <row r="311" spans="1:13">
      <c r="A311" s="224">
        <v>0.3</v>
      </c>
      <c r="B311" s="227">
        <v>3.8353</v>
      </c>
      <c r="C311" s="227">
        <v>3.8353</v>
      </c>
      <c r="D311" s="227">
        <v>4.005</v>
      </c>
      <c r="E311" s="227">
        <v>4.005</v>
      </c>
      <c r="F311" s="227">
        <v>4.005</v>
      </c>
      <c r="G311" s="227">
        <v>3.706</v>
      </c>
      <c r="H311" s="227">
        <v>3.706</v>
      </c>
      <c r="I311" s="227">
        <v>3.3333</v>
      </c>
      <c r="J311" s="227">
        <v>3.3333</v>
      </c>
      <c r="K311" s="227">
        <v>3.3333</v>
      </c>
      <c r="L311" s="227">
        <v>3.3333</v>
      </c>
      <c r="M311" s="227">
        <v>3.3333</v>
      </c>
    </row>
    <row r="312" spans="1:13">
      <c r="A312" s="224">
        <v>0.4</v>
      </c>
      <c r="B312" s="227">
        <v>2.8765</v>
      </c>
      <c r="C312" s="227">
        <v>2.8765</v>
      </c>
      <c r="D312" s="227">
        <v>3.0038</v>
      </c>
      <c r="E312" s="227">
        <v>3.0038</v>
      </c>
      <c r="F312" s="227">
        <v>3.0038</v>
      </c>
      <c r="G312" s="227">
        <v>2.7795</v>
      </c>
      <c r="H312" s="227">
        <v>2.7795</v>
      </c>
      <c r="I312" s="227">
        <v>2.5</v>
      </c>
      <c r="J312" s="227">
        <v>2.5</v>
      </c>
      <c r="K312" s="227">
        <v>2.5</v>
      </c>
      <c r="L312" s="227">
        <v>2.5</v>
      </c>
      <c r="M312" s="227">
        <v>2.5</v>
      </c>
    </row>
    <row r="313" spans="1:13">
      <c r="A313" s="224">
        <v>0.5</v>
      </c>
      <c r="B313" s="227">
        <v>2.3012</v>
      </c>
      <c r="C313" s="227">
        <v>2.3012</v>
      </c>
      <c r="D313" s="227">
        <v>2.403</v>
      </c>
      <c r="E313" s="227">
        <v>2.403</v>
      </c>
      <c r="F313" s="227">
        <v>2.403</v>
      </c>
      <c r="G313" s="227">
        <v>2.2236</v>
      </c>
      <c r="H313" s="227">
        <v>2.2236</v>
      </c>
      <c r="I313" s="227">
        <v>2</v>
      </c>
      <c r="J313" s="227">
        <v>2</v>
      </c>
      <c r="K313" s="227">
        <v>2</v>
      </c>
      <c r="L313" s="227">
        <v>2</v>
      </c>
      <c r="M313" s="227">
        <v>2</v>
      </c>
    </row>
    <row r="314" spans="1:13">
      <c r="A314" s="224">
        <v>0.6</v>
      </c>
      <c r="B314" s="227">
        <v>1.9177</v>
      </c>
      <c r="C314" s="227">
        <v>1.9177</v>
      </c>
      <c r="D314" s="227">
        <v>2.0025</v>
      </c>
      <c r="E314" s="227">
        <v>2.0025</v>
      </c>
      <c r="F314" s="227">
        <v>2.0025</v>
      </c>
      <c r="G314" s="227">
        <v>1.853</v>
      </c>
      <c r="H314" s="227">
        <v>1.853</v>
      </c>
      <c r="I314" s="227">
        <v>1.6667</v>
      </c>
      <c r="J314" s="227">
        <v>1.6667</v>
      </c>
      <c r="K314" s="227">
        <v>1.6667</v>
      </c>
      <c r="L314" s="227">
        <v>1.6667</v>
      </c>
      <c r="M314" s="227">
        <v>1.6667</v>
      </c>
    </row>
    <row r="315" spans="1:13">
      <c r="A315" s="224">
        <v>0.7</v>
      </c>
      <c r="B315" s="227">
        <v>1.6437</v>
      </c>
      <c r="C315" s="227">
        <v>1.6437</v>
      </c>
      <c r="D315" s="227">
        <v>1.7164</v>
      </c>
      <c r="E315" s="227">
        <v>1.7164</v>
      </c>
      <c r="F315" s="227">
        <v>1.7164</v>
      </c>
      <c r="G315" s="227">
        <v>1.5883</v>
      </c>
      <c r="H315" s="227">
        <v>1.5883</v>
      </c>
      <c r="I315" s="227">
        <v>1.4286</v>
      </c>
      <c r="J315" s="227">
        <v>1.4286</v>
      </c>
      <c r="K315" s="227">
        <v>1.4286</v>
      </c>
      <c r="L315" s="227">
        <v>1.4286</v>
      </c>
      <c r="M315" s="227">
        <v>1.4286</v>
      </c>
    </row>
    <row r="316" spans="1:13">
      <c r="A316" s="224">
        <v>0.8</v>
      </c>
      <c r="B316" s="227">
        <v>1.4383</v>
      </c>
      <c r="C316" s="227">
        <v>1.4383</v>
      </c>
      <c r="D316" s="227">
        <v>1.5019</v>
      </c>
      <c r="E316" s="227">
        <v>1.5019</v>
      </c>
      <c r="F316" s="227">
        <v>1.5019</v>
      </c>
      <c r="G316" s="227">
        <v>1.3898</v>
      </c>
      <c r="H316" s="227">
        <v>1.3898</v>
      </c>
      <c r="I316" s="227">
        <v>1.25</v>
      </c>
      <c r="J316" s="227">
        <v>1.25</v>
      </c>
      <c r="K316" s="227">
        <v>1.25</v>
      </c>
      <c r="L316" s="227">
        <v>1.25</v>
      </c>
      <c r="M316" s="227">
        <v>1.25</v>
      </c>
    </row>
    <row r="317" spans="1:13">
      <c r="A317" s="224">
        <v>0.9</v>
      </c>
      <c r="B317" s="227">
        <v>1.2784</v>
      </c>
      <c r="C317" s="227">
        <v>1.2784</v>
      </c>
      <c r="D317" s="227">
        <v>1.335</v>
      </c>
      <c r="E317" s="227">
        <v>1.335</v>
      </c>
      <c r="F317" s="227">
        <v>1.335</v>
      </c>
      <c r="G317" s="227">
        <v>1.2353</v>
      </c>
      <c r="H317" s="227">
        <v>1.2353</v>
      </c>
      <c r="I317" s="227">
        <v>1.1111</v>
      </c>
      <c r="J317" s="227">
        <v>1.1111</v>
      </c>
      <c r="K317" s="227">
        <v>1.1111</v>
      </c>
      <c r="L317" s="227">
        <v>1.1111</v>
      </c>
      <c r="M317" s="227">
        <v>1.1111</v>
      </c>
    </row>
    <row r="318" spans="1:13">
      <c r="A318" s="224">
        <v>1</v>
      </c>
      <c r="B318" s="227">
        <v>1.1506</v>
      </c>
      <c r="C318" s="227">
        <v>1.1506</v>
      </c>
      <c r="D318" s="227">
        <v>1.2015</v>
      </c>
      <c r="E318" s="227">
        <v>1.2015</v>
      </c>
      <c r="F318" s="227">
        <v>1.2015</v>
      </c>
      <c r="G318" s="227">
        <v>1.1118</v>
      </c>
      <c r="H318" s="227">
        <v>1.1118</v>
      </c>
      <c r="I318" s="227">
        <v>1</v>
      </c>
      <c r="J318" s="227">
        <v>1</v>
      </c>
      <c r="K318" s="227">
        <v>1</v>
      </c>
      <c r="L318" s="227">
        <v>1</v>
      </c>
      <c r="M318" s="227">
        <v>1</v>
      </c>
    </row>
    <row r="319" spans="1:13">
      <c r="A319" s="224">
        <v>1.1</v>
      </c>
      <c r="B319" s="227">
        <v>1.1159</v>
      </c>
      <c r="C319" s="227">
        <v>1.1159</v>
      </c>
      <c r="D319" s="227">
        <v>1.1441</v>
      </c>
      <c r="E319" s="227">
        <v>1.1441</v>
      </c>
      <c r="F319" s="227">
        <v>1.1441</v>
      </c>
      <c r="G319" s="227">
        <v>1.0493</v>
      </c>
      <c r="H319" s="227">
        <v>1.0493</v>
      </c>
      <c r="I319" s="227">
        <v>0.9373</v>
      </c>
      <c r="J319" s="227">
        <v>0.9373</v>
      </c>
      <c r="K319" s="227">
        <v>0.9373</v>
      </c>
      <c r="L319" s="227">
        <v>0.9373</v>
      </c>
      <c r="M319" s="227">
        <v>0.9373</v>
      </c>
    </row>
    <row r="320" spans="1:13">
      <c r="A320" s="224">
        <v>1.2</v>
      </c>
      <c r="B320" s="227">
        <v>1.0837</v>
      </c>
      <c r="C320" s="227">
        <v>1.0837</v>
      </c>
      <c r="D320" s="227">
        <v>1.0973</v>
      </c>
      <c r="E320" s="227">
        <v>1.0973</v>
      </c>
      <c r="F320" s="227">
        <v>1.0973</v>
      </c>
      <c r="G320" s="227">
        <v>1</v>
      </c>
      <c r="H320" s="227">
        <v>1</v>
      </c>
      <c r="I320" s="227">
        <v>0.8889</v>
      </c>
      <c r="J320" s="227">
        <v>0.8889</v>
      </c>
      <c r="K320" s="227">
        <v>0.8889</v>
      </c>
      <c r="L320" s="227">
        <v>0.8889</v>
      </c>
      <c r="M320" s="227">
        <v>0.8889</v>
      </c>
    </row>
    <row r="321" spans="1:13">
      <c r="A321" s="224">
        <v>1.3</v>
      </c>
      <c r="B321" s="227">
        <v>1.0538</v>
      </c>
      <c r="C321" s="227">
        <v>1.0538</v>
      </c>
      <c r="D321" s="227">
        <v>1.059</v>
      </c>
      <c r="E321" s="227">
        <v>1.059</v>
      </c>
      <c r="F321" s="227">
        <v>1.059</v>
      </c>
      <c r="G321" s="227">
        <v>0.9614</v>
      </c>
      <c r="H321" s="227">
        <v>0.9614</v>
      </c>
      <c r="I321" s="227">
        <v>0.8521</v>
      </c>
      <c r="J321" s="227">
        <v>0.8521</v>
      </c>
      <c r="K321" s="227">
        <v>0.8521</v>
      </c>
      <c r="L321" s="227">
        <v>0.8521</v>
      </c>
      <c r="M321" s="227">
        <v>0.8521</v>
      </c>
    </row>
    <row r="322" spans="1:13">
      <c r="A322" s="224">
        <v>1.4</v>
      </c>
      <c r="B322" s="227">
        <v>1.026</v>
      </c>
      <c r="C322" s="227">
        <v>1.026</v>
      </c>
      <c r="D322" s="227">
        <v>1.0272</v>
      </c>
      <c r="E322" s="227">
        <v>1.0272</v>
      </c>
      <c r="F322" s="227">
        <v>1.0272</v>
      </c>
      <c r="G322" s="227">
        <v>0.9308</v>
      </c>
      <c r="H322" s="227">
        <v>0.9308</v>
      </c>
      <c r="I322" s="227">
        <v>0.8238</v>
      </c>
      <c r="J322" s="227">
        <v>0.8238</v>
      </c>
      <c r="K322" s="227">
        <v>0.8238</v>
      </c>
      <c r="L322" s="227">
        <v>0.8238</v>
      </c>
      <c r="M322" s="227">
        <v>0.8238</v>
      </c>
    </row>
    <row r="323" spans="1:13">
      <c r="A323" s="224">
        <v>1.5</v>
      </c>
      <c r="B323" s="227">
        <v>1</v>
      </c>
      <c r="C323" s="227">
        <v>1</v>
      </c>
      <c r="D323" s="227">
        <v>1</v>
      </c>
      <c r="E323" s="227">
        <v>1</v>
      </c>
      <c r="F323" s="227">
        <v>1</v>
      </c>
      <c r="G323" s="227">
        <v>0.9056</v>
      </c>
      <c r="H323" s="227">
        <v>0.9056</v>
      </c>
      <c r="I323" s="227">
        <v>0.8011</v>
      </c>
      <c r="J323" s="227">
        <v>0.8011</v>
      </c>
      <c r="K323" s="227">
        <v>0.8011</v>
      </c>
      <c r="L323" s="227">
        <v>0.8011</v>
      </c>
      <c r="M323" s="227">
        <v>0.8011</v>
      </c>
    </row>
    <row r="324" spans="1:13">
      <c r="A324" s="224">
        <v>1.6</v>
      </c>
      <c r="B324" s="227">
        <v>0.9757</v>
      </c>
      <c r="C324" s="227">
        <v>0.9757</v>
      </c>
      <c r="D324" s="227">
        <v>0.9752</v>
      </c>
      <c r="E324" s="227">
        <v>0.9752</v>
      </c>
      <c r="F324" s="227">
        <v>0.9752</v>
      </c>
      <c r="G324" s="227">
        <v>0.8831</v>
      </c>
      <c r="H324" s="227">
        <v>0.8831</v>
      </c>
      <c r="I324" s="227">
        <v>0.781</v>
      </c>
      <c r="J324" s="227">
        <v>0.781</v>
      </c>
      <c r="K324" s="227">
        <v>0.781</v>
      </c>
      <c r="L324" s="227">
        <v>0.781</v>
      </c>
      <c r="M324" s="227">
        <v>0.781</v>
      </c>
    </row>
    <row r="325" spans="1:13">
      <c r="A325" s="224">
        <v>1.7</v>
      </c>
      <c r="B325" s="227">
        <v>0.9529</v>
      </c>
      <c r="C325" s="227">
        <v>0.9529</v>
      </c>
      <c r="D325" s="227">
        <v>0.9519</v>
      </c>
      <c r="E325" s="227">
        <v>0.9519</v>
      </c>
      <c r="F325" s="227">
        <v>0.9519</v>
      </c>
      <c r="G325" s="227">
        <v>0.8618</v>
      </c>
      <c r="H325" s="227">
        <v>0.8618</v>
      </c>
      <c r="I325" s="227">
        <v>0.7621</v>
      </c>
      <c r="J325" s="227">
        <v>0.7621</v>
      </c>
      <c r="K325" s="227">
        <v>0.7621</v>
      </c>
      <c r="L325" s="227">
        <v>0.7621</v>
      </c>
      <c r="M325" s="227">
        <v>0.7621</v>
      </c>
    </row>
    <row r="326" spans="1:13">
      <c r="A326" s="224">
        <v>1.8</v>
      </c>
      <c r="B326" s="227">
        <v>0.9315</v>
      </c>
      <c r="C326" s="227">
        <v>0.9315</v>
      </c>
      <c r="D326" s="227">
        <v>0.93</v>
      </c>
      <c r="E326" s="227">
        <v>0.93</v>
      </c>
      <c r="F326" s="227">
        <v>0.93</v>
      </c>
      <c r="G326" s="227">
        <v>0.8418</v>
      </c>
      <c r="H326" s="227">
        <v>0.8418</v>
      </c>
      <c r="I326" s="227">
        <v>0.7442</v>
      </c>
      <c r="J326" s="227">
        <v>0.7442</v>
      </c>
      <c r="K326" s="227">
        <v>0.7442</v>
      </c>
      <c r="L326" s="227">
        <v>0.7442</v>
      </c>
      <c r="M326" s="227">
        <v>0.7442</v>
      </c>
    </row>
    <row r="327" spans="1:13">
      <c r="A327" s="224">
        <v>1.9</v>
      </c>
      <c r="B327" s="227">
        <v>0.9114</v>
      </c>
      <c r="C327" s="227">
        <v>0.9114</v>
      </c>
      <c r="D327" s="227">
        <v>0.9094</v>
      </c>
      <c r="E327" s="227">
        <v>0.9094</v>
      </c>
      <c r="F327" s="227">
        <v>0.9094</v>
      </c>
      <c r="G327" s="227">
        <v>0.8229</v>
      </c>
      <c r="H327" s="227">
        <v>0.8229</v>
      </c>
      <c r="I327" s="227">
        <v>0.7274</v>
      </c>
      <c r="J327" s="227">
        <v>0.7274</v>
      </c>
      <c r="K327" s="227">
        <v>0.7274</v>
      </c>
      <c r="L327" s="227">
        <v>0.7274</v>
      </c>
      <c r="M327" s="227">
        <v>0.7274</v>
      </c>
    </row>
    <row r="328" spans="1:13">
      <c r="A328" s="224">
        <v>2</v>
      </c>
      <c r="B328" s="227">
        <v>0.8927</v>
      </c>
      <c r="C328" s="227">
        <v>0.8927</v>
      </c>
      <c r="D328" s="227">
        <v>0.8901</v>
      </c>
      <c r="E328" s="227">
        <v>0.8901</v>
      </c>
      <c r="F328" s="227">
        <v>0.8901</v>
      </c>
      <c r="G328" s="227">
        <v>0.8053</v>
      </c>
      <c r="H328" s="227">
        <v>0.8053</v>
      </c>
      <c r="I328" s="227">
        <v>0.7116</v>
      </c>
      <c r="J328" s="227">
        <v>0.7116</v>
      </c>
      <c r="K328" s="227">
        <v>0.7116</v>
      </c>
      <c r="L328" s="227">
        <v>0.7116</v>
      </c>
      <c r="M328" s="227">
        <v>0.7116</v>
      </c>
    </row>
    <row r="329" spans="1:13">
      <c r="A329" s="228">
        <v>2.1</v>
      </c>
      <c r="B329" s="227">
        <v>0.8752</v>
      </c>
      <c r="C329" s="227">
        <v>0.8752</v>
      </c>
      <c r="D329" s="227">
        <v>0.872</v>
      </c>
      <c r="E329" s="227">
        <v>0.872</v>
      </c>
      <c r="F329" s="227">
        <v>0.872</v>
      </c>
      <c r="G329" s="227">
        <v>0.7887</v>
      </c>
      <c r="H329" s="227">
        <v>0.7887</v>
      </c>
      <c r="I329" s="227">
        <v>0.6967</v>
      </c>
      <c r="J329" s="227">
        <v>0.6967</v>
      </c>
      <c r="K329" s="227">
        <v>0.6967</v>
      </c>
      <c r="L329" s="227">
        <v>0.6967</v>
      </c>
      <c r="M329" s="227">
        <v>0.6967</v>
      </c>
    </row>
    <row r="330" spans="1:13">
      <c r="A330" s="228">
        <v>2.2</v>
      </c>
      <c r="B330" s="227">
        <v>0.8588</v>
      </c>
      <c r="C330" s="227">
        <v>0.8588</v>
      </c>
      <c r="D330" s="227">
        <v>0.855</v>
      </c>
      <c r="E330" s="227">
        <v>0.855</v>
      </c>
      <c r="F330" s="227">
        <v>0.855</v>
      </c>
      <c r="G330" s="227">
        <v>0.773</v>
      </c>
      <c r="H330" s="227">
        <v>0.773</v>
      </c>
      <c r="I330" s="227">
        <v>0.6827</v>
      </c>
      <c r="J330" s="227">
        <v>0.6827</v>
      </c>
      <c r="K330" s="227">
        <v>0.6827</v>
      </c>
      <c r="L330" s="227">
        <v>0.6827</v>
      </c>
      <c r="M330" s="227">
        <v>0.6827</v>
      </c>
    </row>
    <row r="331" spans="1:13">
      <c r="A331" s="228">
        <v>2.3</v>
      </c>
      <c r="B331" s="227">
        <v>0.8436</v>
      </c>
      <c r="C331" s="227">
        <v>0.8436</v>
      </c>
      <c r="D331" s="227">
        <v>0.839</v>
      </c>
      <c r="E331" s="227">
        <v>0.839</v>
      </c>
      <c r="F331" s="227">
        <v>0.839</v>
      </c>
      <c r="G331" s="227">
        <v>0.7584</v>
      </c>
      <c r="H331" s="227">
        <v>0.7584</v>
      </c>
      <c r="I331" s="227">
        <v>0.6695</v>
      </c>
      <c r="J331" s="227">
        <v>0.6695</v>
      </c>
      <c r="K331" s="227">
        <v>0.6695</v>
      </c>
      <c r="L331" s="227">
        <v>0.6695</v>
      </c>
      <c r="M331" s="227">
        <v>0.6695</v>
      </c>
    </row>
    <row r="332" spans="1:13">
      <c r="A332" s="228">
        <v>2.4</v>
      </c>
      <c r="B332" s="227">
        <v>0.8294</v>
      </c>
      <c r="C332" s="227">
        <v>0.8294</v>
      </c>
      <c r="D332" s="227">
        <v>0.8241</v>
      </c>
      <c r="E332" s="227">
        <v>0.8241</v>
      </c>
      <c r="F332" s="227">
        <v>0.8241</v>
      </c>
      <c r="G332" s="227">
        <v>0.7446</v>
      </c>
      <c r="H332" s="227">
        <v>0.7446</v>
      </c>
      <c r="I332" s="227">
        <v>0.6571</v>
      </c>
      <c r="J332" s="227">
        <v>0.6571</v>
      </c>
      <c r="K332" s="227">
        <v>0.6571</v>
      </c>
      <c r="L332" s="227">
        <v>0.6571</v>
      </c>
      <c r="M332" s="227">
        <v>0.6571</v>
      </c>
    </row>
    <row r="333" spans="1:13">
      <c r="A333" s="228">
        <v>2.5</v>
      </c>
      <c r="B333" s="227">
        <v>0.8162</v>
      </c>
      <c r="C333" s="227">
        <v>0.8162</v>
      </c>
      <c r="D333" s="227">
        <v>0.8102</v>
      </c>
      <c r="E333" s="227">
        <v>0.8102</v>
      </c>
      <c r="F333" s="227">
        <v>0.8102</v>
      </c>
      <c r="G333" s="227">
        <v>0.7318</v>
      </c>
      <c r="H333" s="227">
        <v>0.7318</v>
      </c>
      <c r="I333" s="227">
        <v>0.6455</v>
      </c>
      <c r="J333" s="227">
        <v>0.6455</v>
      </c>
      <c r="K333" s="227">
        <v>0.6455</v>
      </c>
      <c r="L333" s="227">
        <v>0.6455</v>
      </c>
      <c r="M333" s="227">
        <v>0.6455</v>
      </c>
    </row>
    <row r="334" spans="1:13">
      <c r="A334" s="228">
        <v>2.6</v>
      </c>
      <c r="B334" s="227">
        <v>0.8039</v>
      </c>
      <c r="C334" s="227">
        <v>0.8039</v>
      </c>
      <c r="D334" s="227">
        <v>0.7971</v>
      </c>
      <c r="E334" s="227">
        <v>0.7971</v>
      </c>
      <c r="F334" s="227">
        <v>0.7971</v>
      </c>
      <c r="G334" s="227">
        <v>0.7197</v>
      </c>
      <c r="H334" s="227">
        <v>0.7197</v>
      </c>
      <c r="I334" s="227">
        <v>0.6346</v>
      </c>
      <c r="J334" s="227">
        <v>0.6346</v>
      </c>
      <c r="K334" s="227">
        <v>0.6346</v>
      </c>
      <c r="L334" s="227">
        <v>0.6346</v>
      </c>
      <c r="M334" s="227">
        <v>0.6346</v>
      </c>
    </row>
    <row r="335" spans="1:13">
      <c r="A335" s="228">
        <v>2.7</v>
      </c>
      <c r="B335" s="227">
        <v>0.7925</v>
      </c>
      <c r="C335" s="227">
        <v>0.7925</v>
      </c>
      <c r="D335" s="227">
        <v>0.7849</v>
      </c>
      <c r="E335" s="227">
        <v>0.7849</v>
      </c>
      <c r="F335" s="227">
        <v>0.7849</v>
      </c>
      <c r="G335" s="227">
        <v>0.7084</v>
      </c>
      <c r="H335" s="227">
        <v>0.7084</v>
      </c>
      <c r="I335" s="227">
        <v>0.6244</v>
      </c>
      <c r="J335" s="227">
        <v>0.6244</v>
      </c>
      <c r="K335" s="227">
        <v>0.6244</v>
      </c>
      <c r="L335" s="227">
        <v>0.6244</v>
      </c>
      <c r="M335" s="227">
        <v>0.6244</v>
      </c>
    </row>
    <row r="336" spans="1:13">
      <c r="A336" s="228">
        <v>2.8</v>
      </c>
      <c r="B336" s="227">
        <v>0.7819</v>
      </c>
      <c r="C336" s="227">
        <v>0.7819</v>
      </c>
      <c r="D336" s="227">
        <v>0.7736</v>
      </c>
      <c r="E336" s="227">
        <v>0.7736</v>
      </c>
      <c r="F336" s="227">
        <v>0.7736</v>
      </c>
      <c r="G336" s="227">
        <v>0.6979</v>
      </c>
      <c r="H336" s="227">
        <v>0.6979</v>
      </c>
      <c r="I336" s="227">
        <v>0.6148</v>
      </c>
      <c r="J336" s="227">
        <v>0.6148</v>
      </c>
      <c r="K336" s="227">
        <v>0.6148</v>
      </c>
      <c r="L336" s="227">
        <v>0.6148</v>
      </c>
      <c r="M336" s="227">
        <v>0.6148</v>
      </c>
    </row>
    <row r="337" spans="1:13">
      <c r="A337" s="228">
        <v>2.9</v>
      </c>
      <c r="B337" s="227">
        <v>0.7721</v>
      </c>
      <c r="C337" s="227">
        <v>0.7721</v>
      </c>
      <c r="D337" s="227">
        <v>0.763</v>
      </c>
      <c r="E337" s="227">
        <v>0.763</v>
      </c>
      <c r="F337" s="227">
        <v>0.763</v>
      </c>
      <c r="G337" s="227">
        <v>0.688</v>
      </c>
      <c r="H337" s="227">
        <v>0.688</v>
      </c>
      <c r="I337" s="227">
        <v>0.6059</v>
      </c>
      <c r="J337" s="227">
        <v>0.6059</v>
      </c>
      <c r="K337" s="227">
        <v>0.6059</v>
      </c>
      <c r="L337" s="227">
        <v>0.6059</v>
      </c>
      <c r="M337" s="227">
        <v>0.6059</v>
      </c>
    </row>
    <row r="338" spans="1:13">
      <c r="A338" s="228">
        <v>3</v>
      </c>
      <c r="B338" s="227">
        <v>0.7631</v>
      </c>
      <c r="C338" s="227">
        <v>0.7631</v>
      </c>
      <c r="D338" s="227">
        <v>0.7531</v>
      </c>
      <c r="E338" s="227">
        <v>0.7531</v>
      </c>
      <c r="F338" s="227">
        <v>0.7531</v>
      </c>
      <c r="G338" s="227">
        <v>0.6788</v>
      </c>
      <c r="H338" s="227">
        <v>0.6788</v>
      </c>
      <c r="I338" s="227">
        <v>0.5975</v>
      </c>
      <c r="J338" s="227">
        <v>0.5975</v>
      </c>
      <c r="K338" s="227">
        <v>0.5975</v>
      </c>
      <c r="L338" s="227">
        <v>0.5975</v>
      </c>
      <c r="M338" s="227">
        <v>0.5975</v>
      </c>
    </row>
    <row r="339" spans="1:13">
      <c r="A339" s="228">
        <v>3.1</v>
      </c>
      <c r="B339" s="227">
        <v>0.7547</v>
      </c>
      <c r="C339" s="227">
        <v>0.7547</v>
      </c>
      <c r="D339" s="227">
        <v>0.744</v>
      </c>
      <c r="E339" s="227">
        <v>0.744</v>
      </c>
      <c r="F339" s="227">
        <v>0.744</v>
      </c>
      <c r="G339" s="227">
        <v>0.6702</v>
      </c>
      <c r="H339" s="227">
        <v>0.6702</v>
      </c>
      <c r="I339" s="227">
        <v>0.5897</v>
      </c>
      <c r="J339" s="227">
        <v>0.5897</v>
      </c>
      <c r="K339" s="227">
        <v>0.5897</v>
      </c>
      <c r="L339" s="227">
        <v>0.5897</v>
      </c>
      <c r="M339" s="227">
        <v>0.5897</v>
      </c>
    </row>
    <row r="340" spans="1:13">
      <c r="A340" s="228">
        <v>3.2</v>
      </c>
      <c r="B340" s="227">
        <v>0.747</v>
      </c>
      <c r="C340" s="227">
        <v>0.747</v>
      </c>
      <c r="D340" s="227">
        <v>0.7354</v>
      </c>
      <c r="E340" s="227">
        <v>0.7354</v>
      </c>
      <c r="F340" s="227">
        <v>0.7354</v>
      </c>
      <c r="G340" s="227">
        <v>0.6622</v>
      </c>
      <c r="H340" s="227">
        <v>0.6622</v>
      </c>
      <c r="I340" s="227">
        <v>0.5823</v>
      </c>
      <c r="J340" s="227">
        <v>0.5823</v>
      </c>
      <c r="K340" s="227">
        <v>0.5823</v>
      </c>
      <c r="L340" s="227">
        <v>0.5823</v>
      </c>
      <c r="M340" s="227">
        <v>0.5823</v>
      </c>
    </row>
    <row r="341" spans="1:13">
      <c r="A341" s="228">
        <v>3.3</v>
      </c>
      <c r="B341" s="227">
        <v>0.7399</v>
      </c>
      <c r="C341" s="227">
        <v>0.7399</v>
      </c>
      <c r="D341" s="227">
        <v>0.7275</v>
      </c>
      <c r="E341" s="227">
        <v>0.7275</v>
      </c>
      <c r="F341" s="227">
        <v>0.7275</v>
      </c>
      <c r="G341" s="227">
        <v>0.6548</v>
      </c>
      <c r="H341" s="227">
        <v>0.6548</v>
      </c>
      <c r="I341" s="227">
        <v>0.5754</v>
      </c>
      <c r="J341" s="227">
        <v>0.5754</v>
      </c>
      <c r="K341" s="227">
        <v>0.5754</v>
      </c>
      <c r="L341" s="227">
        <v>0.5754</v>
      </c>
      <c r="M341" s="227">
        <v>0.5754</v>
      </c>
    </row>
    <row r="342" spans="1:13">
      <c r="A342" s="228">
        <v>3.4</v>
      </c>
      <c r="B342" s="227">
        <v>0.7334</v>
      </c>
      <c r="C342" s="227">
        <v>0.7334</v>
      </c>
      <c r="D342" s="227">
        <v>0.7201</v>
      </c>
      <c r="E342" s="227">
        <v>0.7201</v>
      </c>
      <c r="F342" s="227">
        <v>0.7201</v>
      </c>
      <c r="G342" s="227">
        <v>0.6478</v>
      </c>
      <c r="H342" s="227">
        <v>0.6478</v>
      </c>
      <c r="I342" s="227">
        <v>0.569</v>
      </c>
      <c r="J342" s="227">
        <v>0.569</v>
      </c>
      <c r="K342" s="227">
        <v>0.569</v>
      </c>
      <c r="L342" s="227">
        <v>0.569</v>
      </c>
      <c r="M342" s="227">
        <v>0.569</v>
      </c>
    </row>
    <row r="343" spans="1:13">
      <c r="A343" s="228">
        <v>3.5</v>
      </c>
      <c r="B343" s="227">
        <v>0.7274</v>
      </c>
      <c r="C343" s="227">
        <v>0.7274</v>
      </c>
      <c r="D343" s="227">
        <v>0.7133</v>
      </c>
      <c r="E343" s="227">
        <v>0.7133</v>
      </c>
      <c r="F343" s="227">
        <v>0.7133</v>
      </c>
      <c r="G343" s="227">
        <v>0.6413</v>
      </c>
      <c r="H343" s="227">
        <v>0.6413</v>
      </c>
      <c r="I343" s="227">
        <v>0.5631</v>
      </c>
      <c r="J343" s="227">
        <v>0.5631</v>
      </c>
      <c r="K343" s="227">
        <v>0.5631</v>
      </c>
      <c r="L343" s="227">
        <v>0.5631</v>
      </c>
      <c r="M343" s="227">
        <v>0.5631</v>
      </c>
    </row>
    <row r="344" spans="1:13">
      <c r="A344" s="228">
        <v>3.6</v>
      </c>
      <c r="B344" s="227">
        <v>0.7219</v>
      </c>
      <c r="C344" s="227">
        <v>0.7219</v>
      </c>
      <c r="D344" s="227">
        <v>0.707</v>
      </c>
      <c r="E344" s="227">
        <v>0.707</v>
      </c>
      <c r="F344" s="227">
        <v>0.707</v>
      </c>
      <c r="G344" s="227">
        <v>0.6353</v>
      </c>
      <c r="H344" s="227">
        <v>0.6353</v>
      </c>
      <c r="I344" s="227">
        <v>0.5575</v>
      </c>
      <c r="J344" s="227">
        <v>0.5575</v>
      </c>
      <c r="K344" s="227">
        <v>0.5575</v>
      </c>
      <c r="L344" s="227">
        <v>0.5575</v>
      </c>
      <c r="M344" s="227">
        <v>0.5575</v>
      </c>
    </row>
    <row r="345" spans="1:13">
      <c r="A345" s="228">
        <v>3.7</v>
      </c>
      <c r="B345" s="227">
        <v>0.7168</v>
      </c>
      <c r="C345" s="227">
        <v>0.7168</v>
      </c>
      <c r="D345" s="227">
        <v>0.7011</v>
      </c>
      <c r="E345" s="227">
        <v>0.7011</v>
      </c>
      <c r="F345" s="227">
        <v>0.7011</v>
      </c>
      <c r="G345" s="227">
        <v>0.6297</v>
      </c>
      <c r="H345" s="227">
        <v>0.6297</v>
      </c>
      <c r="I345" s="227">
        <v>0.5523</v>
      </c>
      <c r="J345" s="227">
        <v>0.5523</v>
      </c>
      <c r="K345" s="227">
        <v>0.5523</v>
      </c>
      <c r="L345" s="227">
        <v>0.5523</v>
      </c>
      <c r="M345" s="227">
        <v>0.5523</v>
      </c>
    </row>
    <row r="346" spans="1:13">
      <c r="A346" s="228">
        <v>3.8</v>
      </c>
      <c r="B346" s="227">
        <v>0.7122</v>
      </c>
      <c r="C346" s="227">
        <v>0.7122</v>
      </c>
      <c r="D346" s="227">
        <v>0.6956</v>
      </c>
      <c r="E346" s="227">
        <v>0.6956</v>
      </c>
      <c r="F346" s="227">
        <v>0.6956</v>
      </c>
      <c r="G346" s="227">
        <v>0.6244</v>
      </c>
      <c r="H346" s="227">
        <v>0.6244</v>
      </c>
      <c r="I346" s="227">
        <v>0.5474</v>
      </c>
      <c r="J346" s="227">
        <v>0.5474</v>
      </c>
      <c r="K346" s="227">
        <v>0.5474</v>
      </c>
      <c r="L346" s="227">
        <v>0.5474</v>
      </c>
      <c r="M346" s="227">
        <v>0.5474</v>
      </c>
    </row>
    <row r="347" spans="1:13">
      <c r="A347" s="228">
        <v>3.9</v>
      </c>
      <c r="B347" s="227">
        <v>0.708</v>
      </c>
      <c r="C347" s="227">
        <v>0.708</v>
      </c>
      <c r="D347" s="227">
        <v>0.6906</v>
      </c>
      <c r="E347" s="227">
        <v>0.6906</v>
      </c>
      <c r="F347" s="227">
        <v>0.6906</v>
      </c>
      <c r="G347" s="227">
        <v>0.6195</v>
      </c>
      <c r="H347" s="227">
        <v>0.6195</v>
      </c>
      <c r="I347" s="227">
        <v>0.5428</v>
      </c>
      <c r="J347" s="227">
        <v>0.5428</v>
      </c>
      <c r="K347" s="227">
        <v>0.5428</v>
      </c>
      <c r="L347" s="227">
        <v>0.5428</v>
      </c>
      <c r="M347" s="227">
        <v>0.5428</v>
      </c>
    </row>
    <row r="348" spans="1:13">
      <c r="A348" s="228">
        <v>4</v>
      </c>
      <c r="B348" s="227">
        <v>0.7041</v>
      </c>
      <c r="C348" s="227">
        <v>0.7041</v>
      </c>
      <c r="D348" s="227">
        <v>0.6859</v>
      </c>
      <c r="E348" s="227">
        <v>0.6859</v>
      </c>
      <c r="F348" s="227">
        <v>0.6859</v>
      </c>
      <c r="G348" s="227">
        <v>0.615</v>
      </c>
      <c r="H348" s="227">
        <v>0.615</v>
      </c>
      <c r="I348" s="227">
        <v>0.5386</v>
      </c>
      <c r="J348" s="227">
        <v>0.5386</v>
      </c>
      <c r="K348" s="227">
        <v>0.5386</v>
      </c>
      <c r="L348" s="227">
        <v>0.5386</v>
      </c>
      <c r="M348" s="227">
        <v>0.5386</v>
      </c>
    </row>
    <row r="349" spans="1:13">
      <c r="A349" s="228">
        <v>4.1</v>
      </c>
      <c r="B349" s="227">
        <v>0.7006</v>
      </c>
      <c r="C349" s="227">
        <v>0.7006</v>
      </c>
      <c r="D349" s="227">
        <v>0.6816</v>
      </c>
      <c r="E349" s="227">
        <v>0.6816</v>
      </c>
      <c r="F349" s="227">
        <v>0.6816</v>
      </c>
      <c r="G349" s="227">
        <v>0.6108</v>
      </c>
      <c r="H349" s="227">
        <v>0.6108</v>
      </c>
      <c r="I349" s="227">
        <v>0.5346</v>
      </c>
      <c r="J349" s="227">
        <v>0.5346</v>
      </c>
      <c r="K349" s="227">
        <v>0.5346</v>
      </c>
      <c r="L349" s="227">
        <v>0.5346</v>
      </c>
      <c r="M349" s="227">
        <v>0.5346</v>
      </c>
    </row>
    <row r="350" spans="1:13">
      <c r="A350" s="228">
        <v>4.2</v>
      </c>
      <c r="B350" s="227">
        <v>0.6974</v>
      </c>
      <c r="C350" s="227">
        <v>0.6974</v>
      </c>
      <c r="D350" s="227">
        <v>0.6776</v>
      </c>
      <c r="E350" s="227">
        <v>0.6776</v>
      </c>
      <c r="F350" s="227">
        <v>0.6776</v>
      </c>
      <c r="G350" s="227">
        <v>0.607</v>
      </c>
      <c r="H350" s="227">
        <v>0.607</v>
      </c>
      <c r="I350" s="227">
        <v>0.5309</v>
      </c>
      <c r="J350" s="227">
        <v>0.5309</v>
      </c>
      <c r="K350" s="227">
        <v>0.5309</v>
      </c>
      <c r="L350" s="227">
        <v>0.5309</v>
      </c>
      <c r="M350" s="227">
        <v>0.5309</v>
      </c>
    </row>
    <row r="351" spans="1:13">
      <c r="A351" s="228">
        <v>4.3</v>
      </c>
      <c r="B351" s="227">
        <v>0.6945</v>
      </c>
      <c r="C351" s="227">
        <v>0.6945</v>
      </c>
      <c r="D351" s="227">
        <v>0.6739</v>
      </c>
      <c r="E351" s="227">
        <v>0.6739</v>
      </c>
      <c r="F351" s="227">
        <v>0.6739</v>
      </c>
      <c r="G351" s="227">
        <v>0.6033</v>
      </c>
      <c r="H351" s="227">
        <v>0.6033</v>
      </c>
      <c r="I351" s="227">
        <v>0.5274</v>
      </c>
      <c r="J351" s="227">
        <v>0.5274</v>
      </c>
      <c r="K351" s="227">
        <v>0.5274</v>
      </c>
      <c r="L351" s="227">
        <v>0.5274</v>
      </c>
      <c r="M351" s="227">
        <v>0.5274</v>
      </c>
    </row>
    <row r="352" spans="1:13">
      <c r="A352" s="228">
        <v>4.4</v>
      </c>
      <c r="B352" s="227">
        <v>0.6918</v>
      </c>
      <c r="C352" s="227">
        <v>0.6918</v>
      </c>
      <c r="D352" s="227">
        <v>0.6705</v>
      </c>
      <c r="E352" s="227">
        <v>0.6705</v>
      </c>
      <c r="F352" s="227">
        <v>0.6705</v>
      </c>
      <c r="G352" s="227">
        <v>0.5999</v>
      </c>
      <c r="H352" s="227">
        <v>0.5999</v>
      </c>
      <c r="I352" s="227">
        <v>0.5242</v>
      </c>
      <c r="J352" s="227">
        <v>0.5242</v>
      </c>
      <c r="K352" s="227">
        <v>0.5242</v>
      </c>
      <c r="L352" s="227">
        <v>0.5242</v>
      </c>
      <c r="M352" s="227">
        <v>0.5242</v>
      </c>
    </row>
    <row r="353" spans="1:13">
      <c r="A353" s="228">
        <v>4.5</v>
      </c>
      <c r="B353" s="227">
        <v>0.6894</v>
      </c>
      <c r="C353" s="227">
        <v>0.6894</v>
      </c>
      <c r="D353" s="227">
        <v>0.6673</v>
      </c>
      <c r="E353" s="227">
        <v>0.6673</v>
      </c>
      <c r="F353" s="227">
        <v>0.6673</v>
      </c>
      <c r="G353" s="227">
        <v>0.5967</v>
      </c>
      <c r="H353" s="227">
        <v>0.5967</v>
      </c>
      <c r="I353" s="227">
        <v>0.5211</v>
      </c>
      <c r="J353" s="227">
        <v>0.5211</v>
      </c>
      <c r="K353" s="227">
        <v>0.5211</v>
      </c>
      <c r="L353" s="227">
        <v>0.5211</v>
      </c>
      <c r="M353" s="227">
        <v>0.5211</v>
      </c>
    </row>
    <row r="354" spans="1:13">
      <c r="A354" s="228">
        <v>4.6</v>
      </c>
      <c r="B354" s="227">
        <v>0.6872</v>
      </c>
      <c r="C354" s="227">
        <v>0.6872</v>
      </c>
      <c r="D354" s="227">
        <v>0.6643</v>
      </c>
      <c r="E354" s="227">
        <v>0.6643</v>
      </c>
      <c r="F354" s="227">
        <v>0.6643</v>
      </c>
      <c r="G354" s="227">
        <v>0.5938</v>
      </c>
      <c r="H354" s="227">
        <v>0.5938</v>
      </c>
      <c r="I354" s="227">
        <v>0.5182</v>
      </c>
      <c r="J354" s="227">
        <v>0.5182</v>
      </c>
      <c r="K354" s="227">
        <v>0.5182</v>
      </c>
      <c r="L354" s="227">
        <v>0.5182</v>
      </c>
      <c r="M354" s="227">
        <v>0.5182</v>
      </c>
    </row>
    <row r="355" spans="1:13">
      <c r="A355" s="228">
        <v>4.7</v>
      </c>
      <c r="B355" s="227">
        <v>0.6852</v>
      </c>
      <c r="C355" s="227">
        <v>0.6852</v>
      </c>
      <c r="D355" s="227">
        <v>0.6615</v>
      </c>
      <c r="E355" s="227">
        <v>0.6615</v>
      </c>
      <c r="F355" s="227">
        <v>0.6615</v>
      </c>
      <c r="G355" s="227">
        <v>0.5911</v>
      </c>
      <c r="H355" s="227">
        <v>0.5911</v>
      </c>
      <c r="I355" s="227">
        <v>0.5156</v>
      </c>
      <c r="J355" s="227">
        <v>0.5156</v>
      </c>
      <c r="K355" s="227">
        <v>0.5156</v>
      </c>
      <c r="L355" s="227">
        <v>0.5156</v>
      </c>
      <c r="M355" s="227">
        <v>0.5156</v>
      </c>
    </row>
    <row r="356" spans="1:13">
      <c r="A356" s="228">
        <v>4.8</v>
      </c>
      <c r="B356" s="227">
        <v>0.6834</v>
      </c>
      <c r="C356" s="227">
        <v>0.6834</v>
      </c>
      <c r="D356" s="227">
        <v>0.659</v>
      </c>
      <c r="E356" s="227">
        <v>0.659</v>
      </c>
      <c r="F356" s="227">
        <v>0.659</v>
      </c>
      <c r="G356" s="227">
        <v>0.5885</v>
      </c>
      <c r="H356" s="227">
        <v>0.5885</v>
      </c>
      <c r="I356" s="227">
        <v>0.513</v>
      </c>
      <c r="J356" s="227">
        <v>0.513</v>
      </c>
      <c r="K356" s="227">
        <v>0.513</v>
      </c>
      <c r="L356" s="227">
        <v>0.513</v>
      </c>
      <c r="M356" s="227">
        <v>0.513</v>
      </c>
    </row>
    <row r="357" spans="1:13">
      <c r="A357" s="228">
        <v>4.9</v>
      </c>
      <c r="B357" s="227">
        <v>0.6818</v>
      </c>
      <c r="C357" s="227">
        <v>0.6818</v>
      </c>
      <c r="D357" s="227">
        <v>0.6566</v>
      </c>
      <c r="E357" s="227">
        <v>0.6566</v>
      </c>
      <c r="F357" s="227">
        <v>0.6566</v>
      </c>
      <c r="G357" s="227">
        <v>0.586</v>
      </c>
      <c r="H357" s="227">
        <v>0.586</v>
      </c>
      <c r="I357" s="227">
        <v>0.5106</v>
      </c>
      <c r="J357" s="227">
        <v>0.5106</v>
      </c>
      <c r="K357" s="227">
        <v>0.5106</v>
      </c>
      <c r="L357" s="227">
        <v>0.5106</v>
      </c>
      <c r="M357" s="227">
        <v>0.5106</v>
      </c>
    </row>
    <row r="358" spans="1:13">
      <c r="A358" s="228">
        <v>5</v>
      </c>
      <c r="B358" s="227">
        <v>0.6803</v>
      </c>
      <c r="C358" s="227">
        <v>0.6803</v>
      </c>
      <c r="D358" s="227">
        <v>0.6544</v>
      </c>
      <c r="E358" s="227">
        <v>0.6544</v>
      </c>
      <c r="F358" s="227">
        <v>0.6544</v>
      </c>
      <c r="G358" s="227">
        <v>0.5838</v>
      </c>
      <c r="H358" s="227">
        <v>0.5838</v>
      </c>
      <c r="I358" s="227">
        <v>0.5084</v>
      </c>
      <c r="J358" s="227">
        <v>0.5084</v>
      </c>
      <c r="K358" s="227">
        <v>0.5084</v>
      </c>
      <c r="L358" s="227">
        <v>0.5084</v>
      </c>
      <c r="M358" s="227">
        <v>0.5084</v>
      </c>
    </row>
    <row r="359" spans="1:13">
      <c r="A359" s="224">
        <v>5.1</v>
      </c>
      <c r="B359" s="227">
        <v>0.6789</v>
      </c>
      <c r="C359" s="227">
        <v>0.6789</v>
      </c>
      <c r="D359" s="227">
        <v>0.6523</v>
      </c>
      <c r="E359" s="227">
        <v>0.6523</v>
      </c>
      <c r="F359" s="227">
        <v>0.6523</v>
      </c>
      <c r="G359" s="227">
        <v>0.5816</v>
      </c>
      <c r="H359" s="227">
        <v>0.5816</v>
      </c>
      <c r="I359" s="227">
        <v>0.5063</v>
      </c>
      <c r="J359" s="227">
        <v>0.5063</v>
      </c>
      <c r="K359" s="227">
        <v>0.5063</v>
      </c>
      <c r="L359" s="227">
        <v>0.5063</v>
      </c>
      <c r="M359" s="227">
        <v>0.5063</v>
      </c>
    </row>
    <row r="360" spans="1:13">
      <c r="A360" s="224">
        <v>5.2</v>
      </c>
      <c r="B360" s="227">
        <v>0.6775</v>
      </c>
      <c r="C360" s="227">
        <v>0.6775</v>
      </c>
      <c r="D360" s="227">
        <v>0.6503</v>
      </c>
      <c r="E360" s="227">
        <v>0.6503</v>
      </c>
      <c r="F360" s="227">
        <v>0.6503</v>
      </c>
      <c r="G360" s="227">
        <v>0.5795</v>
      </c>
      <c r="H360" s="227">
        <v>0.5795</v>
      </c>
      <c r="I360" s="227">
        <v>0.5042</v>
      </c>
      <c r="J360" s="227">
        <v>0.5042</v>
      </c>
      <c r="K360" s="227">
        <v>0.5042</v>
      </c>
      <c r="L360" s="227">
        <v>0.5042</v>
      </c>
      <c r="M360" s="227">
        <v>0.5042</v>
      </c>
    </row>
    <row r="361" spans="1:13">
      <c r="A361" s="224">
        <v>5.3</v>
      </c>
      <c r="B361" s="227">
        <v>0.6762</v>
      </c>
      <c r="C361" s="227">
        <v>0.6762</v>
      </c>
      <c r="D361" s="227">
        <v>0.6484</v>
      </c>
      <c r="E361" s="227">
        <v>0.6484</v>
      </c>
      <c r="F361" s="227">
        <v>0.6484</v>
      </c>
      <c r="G361" s="227">
        <v>0.5776</v>
      </c>
      <c r="H361" s="227">
        <v>0.5776</v>
      </c>
      <c r="I361" s="227">
        <v>0.5023</v>
      </c>
      <c r="J361" s="227">
        <v>0.5023</v>
      </c>
      <c r="K361" s="227">
        <v>0.5023</v>
      </c>
      <c r="L361" s="227">
        <v>0.5023</v>
      </c>
      <c r="M361" s="227">
        <v>0.5023</v>
      </c>
    </row>
    <row r="362" spans="1:13">
      <c r="A362" s="224">
        <v>5.4</v>
      </c>
      <c r="B362" s="227">
        <v>0.675</v>
      </c>
      <c r="C362" s="227">
        <v>0.675</v>
      </c>
      <c r="D362" s="227">
        <v>0.6467</v>
      </c>
      <c r="E362" s="227">
        <v>0.6467</v>
      </c>
      <c r="F362" s="227">
        <v>0.6467</v>
      </c>
      <c r="G362" s="227">
        <v>0.5758</v>
      </c>
      <c r="H362" s="227">
        <v>0.5758</v>
      </c>
      <c r="I362" s="227">
        <v>0.5004</v>
      </c>
      <c r="J362" s="227">
        <v>0.5004</v>
      </c>
      <c r="K362" s="227">
        <v>0.5004</v>
      </c>
      <c r="L362" s="227">
        <v>0.5004</v>
      </c>
      <c r="M362" s="227">
        <v>0.5004</v>
      </c>
    </row>
    <row r="363" spans="1:13">
      <c r="A363" s="224">
        <v>5.5</v>
      </c>
      <c r="B363" s="227">
        <v>0.6738</v>
      </c>
      <c r="C363" s="227">
        <v>0.6738</v>
      </c>
      <c r="D363" s="227">
        <v>0.645</v>
      </c>
      <c r="E363" s="227">
        <v>0.645</v>
      </c>
      <c r="F363" s="227">
        <v>0.645</v>
      </c>
      <c r="G363" s="227">
        <v>0.574</v>
      </c>
      <c r="H363" s="227">
        <v>0.574</v>
      </c>
      <c r="I363" s="227">
        <v>0.4987</v>
      </c>
      <c r="J363" s="227">
        <v>0.4987</v>
      </c>
      <c r="K363" s="227">
        <v>0.4987</v>
      </c>
      <c r="L363" s="227">
        <v>0.4987</v>
      </c>
      <c r="M363" s="227">
        <v>0.4987</v>
      </c>
    </row>
    <row r="364" spans="1:13">
      <c r="A364" s="224">
        <v>5.6</v>
      </c>
      <c r="B364" s="227">
        <v>0.6726</v>
      </c>
      <c r="C364" s="227">
        <v>0.6726</v>
      </c>
      <c r="D364" s="227">
        <v>0.6434</v>
      </c>
      <c r="E364" s="227">
        <v>0.6434</v>
      </c>
      <c r="F364" s="227">
        <v>0.6434</v>
      </c>
      <c r="G364" s="227">
        <v>0.5724</v>
      </c>
      <c r="H364" s="227">
        <v>0.5724</v>
      </c>
      <c r="I364" s="227">
        <v>0.4969</v>
      </c>
      <c r="J364" s="227">
        <v>0.4969</v>
      </c>
      <c r="K364" s="227">
        <v>0.4969</v>
      </c>
      <c r="L364" s="227">
        <v>0.4969</v>
      </c>
      <c r="M364" s="227">
        <v>0.4969</v>
      </c>
    </row>
    <row r="365" spans="1:13">
      <c r="A365" s="228">
        <v>5.7</v>
      </c>
      <c r="B365" s="227">
        <v>0.6714</v>
      </c>
      <c r="C365" s="227">
        <v>0.6714</v>
      </c>
      <c r="D365" s="227">
        <v>0.6419</v>
      </c>
      <c r="E365" s="227">
        <v>0.6419</v>
      </c>
      <c r="F365" s="227">
        <v>0.6419</v>
      </c>
      <c r="G365" s="227">
        <v>0.5707</v>
      </c>
      <c r="H365" s="227">
        <v>0.5707</v>
      </c>
      <c r="I365" s="227">
        <v>0.4952</v>
      </c>
      <c r="J365" s="227">
        <v>0.4952</v>
      </c>
      <c r="K365" s="227">
        <v>0.4952</v>
      </c>
      <c r="L365" s="227">
        <v>0.4952</v>
      </c>
      <c r="M365" s="227">
        <v>0.4952</v>
      </c>
    </row>
    <row r="366" spans="1:13">
      <c r="A366" s="224">
        <v>5.8</v>
      </c>
      <c r="B366" s="227">
        <v>0.6702</v>
      </c>
      <c r="C366" s="227">
        <v>0.6702</v>
      </c>
      <c r="D366" s="227">
        <v>0.6404</v>
      </c>
      <c r="E366" s="227">
        <v>0.6404</v>
      </c>
      <c r="F366" s="227">
        <v>0.6404</v>
      </c>
      <c r="G366" s="227">
        <v>0.5691</v>
      </c>
      <c r="H366" s="227">
        <v>0.5691</v>
      </c>
      <c r="I366" s="227">
        <v>0.4936</v>
      </c>
      <c r="J366" s="227">
        <v>0.4936</v>
      </c>
      <c r="K366" s="227">
        <v>0.4936</v>
      </c>
      <c r="L366" s="227">
        <v>0.4936</v>
      </c>
      <c r="M366" s="227">
        <v>0.4936</v>
      </c>
    </row>
    <row r="367" spans="1:13">
      <c r="A367" s="224">
        <v>5.9</v>
      </c>
      <c r="B367" s="227">
        <v>0.6691</v>
      </c>
      <c r="C367" s="227">
        <v>0.6691</v>
      </c>
      <c r="D367" s="227">
        <v>0.6389</v>
      </c>
      <c r="E367" s="227">
        <v>0.6389</v>
      </c>
      <c r="F367" s="227">
        <v>0.6389</v>
      </c>
      <c r="G367" s="227">
        <v>0.5675</v>
      </c>
      <c r="H367" s="227">
        <v>0.5675</v>
      </c>
      <c r="I367" s="227">
        <v>0.4919</v>
      </c>
      <c r="J367" s="227">
        <v>0.4919</v>
      </c>
      <c r="K367" s="227">
        <v>0.4919</v>
      </c>
      <c r="L367" s="227">
        <v>0.4919</v>
      </c>
      <c r="M367" s="227">
        <v>0.4919</v>
      </c>
    </row>
    <row r="368" spans="1:13">
      <c r="A368" s="224">
        <v>6</v>
      </c>
      <c r="B368" s="227">
        <v>0.668</v>
      </c>
      <c r="C368" s="227">
        <v>0.668</v>
      </c>
      <c r="D368" s="227">
        <v>0.6374</v>
      </c>
      <c r="E368" s="227">
        <v>0.6374</v>
      </c>
      <c r="F368" s="227">
        <v>0.6374</v>
      </c>
      <c r="G368" s="227">
        <v>0.5659</v>
      </c>
      <c r="H368" s="227">
        <v>0.5659</v>
      </c>
      <c r="I368" s="227">
        <v>0.4902</v>
      </c>
      <c r="J368" s="227">
        <v>0.4902</v>
      </c>
      <c r="K368" s="227">
        <v>0.4902</v>
      </c>
      <c r="L368" s="227">
        <v>0.4902</v>
      </c>
      <c r="M368" s="227">
        <v>0.4902</v>
      </c>
    </row>
    <row r="369" spans="1:13">
      <c r="A369" s="224">
        <v>6.1</v>
      </c>
      <c r="B369" s="227">
        <v>0.6669</v>
      </c>
      <c r="C369" s="227">
        <v>0.6669</v>
      </c>
      <c r="D369" s="227">
        <v>0.6359</v>
      </c>
      <c r="E369" s="227">
        <v>0.6359</v>
      </c>
      <c r="F369" s="227">
        <v>0.6359</v>
      </c>
      <c r="G369" s="227">
        <v>0.5644</v>
      </c>
      <c r="H369" s="227">
        <v>0.5644</v>
      </c>
      <c r="I369" s="227">
        <v>0.4885</v>
      </c>
      <c r="J369" s="227">
        <v>0.4885</v>
      </c>
      <c r="K369" s="227">
        <v>0.4885</v>
      </c>
      <c r="L369" s="227">
        <v>0.4885</v>
      </c>
      <c r="M369" s="227">
        <v>0.4885</v>
      </c>
    </row>
    <row r="370" spans="1:13">
      <c r="A370" s="224">
        <v>6.2</v>
      </c>
      <c r="B370" s="227">
        <v>0.6658</v>
      </c>
      <c r="C370" s="227">
        <v>0.6658</v>
      </c>
      <c r="D370" s="227">
        <v>0.6344</v>
      </c>
      <c r="E370" s="227">
        <v>0.6344</v>
      </c>
      <c r="F370" s="227">
        <v>0.6344</v>
      </c>
      <c r="G370" s="227">
        <v>0.5629</v>
      </c>
      <c r="H370" s="227">
        <v>0.5629</v>
      </c>
      <c r="I370" s="227">
        <v>0.4868</v>
      </c>
      <c r="J370" s="227">
        <v>0.4868</v>
      </c>
      <c r="K370" s="227">
        <v>0.4868</v>
      </c>
      <c r="L370" s="227">
        <v>0.4868</v>
      </c>
      <c r="M370" s="227">
        <v>0.4868</v>
      </c>
    </row>
    <row r="371" spans="1:13">
      <c r="A371" s="224">
        <v>6.3</v>
      </c>
      <c r="B371" s="227">
        <v>0.6647</v>
      </c>
      <c r="C371" s="227">
        <v>0.6647</v>
      </c>
      <c r="D371" s="227">
        <v>0.6329</v>
      </c>
      <c r="E371" s="227">
        <v>0.6329</v>
      </c>
      <c r="F371" s="227">
        <v>0.6329</v>
      </c>
      <c r="G371" s="227">
        <v>0.5613</v>
      </c>
      <c r="H371" s="227">
        <v>0.5613</v>
      </c>
      <c r="I371" s="227">
        <v>0.4851</v>
      </c>
      <c r="J371" s="227">
        <v>0.4851</v>
      </c>
      <c r="K371" s="227">
        <v>0.4851</v>
      </c>
      <c r="L371" s="227">
        <v>0.4851</v>
      </c>
      <c r="M371" s="227">
        <v>0.4851</v>
      </c>
    </row>
    <row r="372" spans="1:13">
      <c r="A372" s="224">
        <v>6.4</v>
      </c>
      <c r="B372" s="227">
        <v>0.6636</v>
      </c>
      <c r="C372" s="227">
        <v>0.6636</v>
      </c>
      <c r="D372" s="227">
        <v>0.6314</v>
      </c>
      <c r="E372" s="227">
        <v>0.6314</v>
      </c>
      <c r="F372" s="227">
        <v>0.6314</v>
      </c>
      <c r="G372" s="227">
        <v>0.5598</v>
      </c>
      <c r="H372" s="227">
        <v>0.5598</v>
      </c>
      <c r="I372" s="227">
        <v>0.4835</v>
      </c>
      <c r="J372" s="227">
        <v>0.4835</v>
      </c>
      <c r="K372" s="227">
        <v>0.4835</v>
      </c>
      <c r="L372" s="227">
        <v>0.4835</v>
      </c>
      <c r="M372" s="227">
        <v>0.4835</v>
      </c>
    </row>
    <row r="373" spans="1:13">
      <c r="A373" s="224">
        <v>6.5</v>
      </c>
      <c r="B373" s="227">
        <v>0.6625</v>
      </c>
      <c r="C373" s="227">
        <v>0.6625</v>
      </c>
      <c r="D373" s="227">
        <v>0.63</v>
      </c>
      <c r="E373" s="227">
        <v>0.63</v>
      </c>
      <c r="F373" s="227">
        <v>0.63</v>
      </c>
      <c r="G373" s="227">
        <v>0.5582</v>
      </c>
      <c r="H373" s="227">
        <v>0.5582</v>
      </c>
      <c r="I373" s="227">
        <v>0.4819</v>
      </c>
      <c r="J373" s="227">
        <v>0.4819</v>
      </c>
      <c r="K373" s="227">
        <v>0.4819</v>
      </c>
      <c r="L373" s="227">
        <v>0.4819</v>
      </c>
      <c r="M373" s="227">
        <v>0.4819</v>
      </c>
    </row>
    <row r="374" spans="1:13">
      <c r="A374" s="224">
        <v>6.6</v>
      </c>
      <c r="B374" s="227">
        <v>0.6615</v>
      </c>
      <c r="C374" s="227">
        <v>0.6615</v>
      </c>
      <c r="D374" s="227">
        <v>0.6286</v>
      </c>
      <c r="E374" s="227">
        <v>0.6286</v>
      </c>
      <c r="F374" s="227">
        <v>0.6286</v>
      </c>
      <c r="G374" s="227">
        <v>0.5567</v>
      </c>
      <c r="H374" s="227">
        <v>0.5567</v>
      </c>
      <c r="I374" s="227">
        <v>0.4803</v>
      </c>
      <c r="J374" s="227">
        <v>0.4803</v>
      </c>
      <c r="K374" s="227">
        <v>0.4803</v>
      </c>
      <c r="L374" s="227">
        <v>0.4803</v>
      </c>
      <c r="M374" s="227">
        <v>0.4803</v>
      </c>
    </row>
    <row r="375" spans="1:13">
      <c r="A375" s="224">
        <v>6.7</v>
      </c>
      <c r="B375" s="227">
        <v>0.6605</v>
      </c>
      <c r="C375" s="227">
        <v>0.6605</v>
      </c>
      <c r="D375" s="227">
        <v>0.6272</v>
      </c>
      <c r="E375" s="227">
        <v>0.6272</v>
      </c>
      <c r="F375" s="227">
        <v>0.6272</v>
      </c>
      <c r="G375" s="227">
        <v>0.5552</v>
      </c>
      <c r="H375" s="227">
        <v>0.5552</v>
      </c>
      <c r="I375" s="227">
        <v>0.4787</v>
      </c>
      <c r="J375" s="227">
        <v>0.4787</v>
      </c>
      <c r="K375" s="227">
        <v>0.4787</v>
      </c>
      <c r="L375" s="227">
        <v>0.4787</v>
      </c>
      <c r="M375" s="227">
        <v>0.4787</v>
      </c>
    </row>
    <row r="376" spans="1:13">
      <c r="A376" s="224">
        <v>6.8</v>
      </c>
      <c r="B376" s="227">
        <v>0.6595</v>
      </c>
      <c r="C376" s="227">
        <v>0.6595</v>
      </c>
      <c r="D376" s="227">
        <v>0.6258</v>
      </c>
      <c r="E376" s="227">
        <v>0.6258</v>
      </c>
      <c r="F376" s="227">
        <v>0.6258</v>
      </c>
      <c r="G376" s="227">
        <v>0.5536</v>
      </c>
      <c r="H376" s="227">
        <v>0.5536</v>
      </c>
      <c r="I376" s="227">
        <v>0.4771</v>
      </c>
      <c r="J376" s="227">
        <v>0.4771</v>
      </c>
      <c r="K376" s="227">
        <v>0.4771</v>
      </c>
      <c r="L376" s="227">
        <v>0.4771</v>
      </c>
      <c r="M376" s="227">
        <v>0.4771</v>
      </c>
    </row>
    <row r="377" spans="1:13">
      <c r="A377" s="224">
        <v>6.9</v>
      </c>
      <c r="B377" s="227">
        <v>0.6585</v>
      </c>
      <c r="C377" s="227">
        <v>0.6585</v>
      </c>
      <c r="D377" s="227">
        <v>0.6244</v>
      </c>
      <c r="E377" s="227">
        <v>0.6244</v>
      </c>
      <c r="F377" s="227">
        <v>0.6244</v>
      </c>
      <c r="G377" s="227">
        <v>0.5522</v>
      </c>
      <c r="H377" s="227">
        <v>0.5522</v>
      </c>
      <c r="I377" s="227">
        <v>0.4755</v>
      </c>
      <c r="J377" s="227">
        <v>0.4755</v>
      </c>
      <c r="K377" s="227">
        <v>0.4755</v>
      </c>
      <c r="L377" s="227">
        <v>0.4755</v>
      </c>
      <c r="M377" s="227">
        <v>0.4755</v>
      </c>
    </row>
    <row r="378" spans="1:13">
      <c r="A378" s="224">
        <v>7</v>
      </c>
      <c r="B378" s="227">
        <v>0.6575</v>
      </c>
      <c r="C378" s="227">
        <v>0.6575</v>
      </c>
      <c r="D378" s="227">
        <v>0.623</v>
      </c>
      <c r="E378" s="227">
        <v>0.623</v>
      </c>
      <c r="F378" s="227">
        <v>0.623</v>
      </c>
      <c r="G378" s="227">
        <v>0.5507</v>
      </c>
      <c r="H378" s="227">
        <v>0.5507</v>
      </c>
      <c r="I378" s="227">
        <v>0.4739</v>
      </c>
      <c r="J378" s="227">
        <v>0.4739</v>
      </c>
      <c r="K378" s="227">
        <v>0.4739</v>
      </c>
      <c r="L378" s="227">
        <v>0.4739</v>
      </c>
      <c r="M378" s="227">
        <v>0.4739</v>
      </c>
    </row>
    <row r="379" spans="1:13">
      <c r="A379" s="224">
        <v>7.1</v>
      </c>
      <c r="B379" s="227">
        <v>0.6565</v>
      </c>
      <c r="C379" s="227">
        <v>0.6565</v>
      </c>
      <c r="D379" s="227">
        <v>0.6216</v>
      </c>
      <c r="E379" s="227">
        <v>0.6216</v>
      </c>
      <c r="F379" s="227">
        <v>0.6216</v>
      </c>
      <c r="G379" s="227">
        <v>0.5493</v>
      </c>
      <c r="H379" s="227">
        <v>0.5493</v>
      </c>
      <c r="I379" s="227">
        <v>0.4724</v>
      </c>
      <c r="J379" s="227">
        <v>0.4724</v>
      </c>
      <c r="K379" s="227">
        <v>0.4724</v>
      </c>
      <c r="L379" s="227">
        <v>0.4724</v>
      </c>
      <c r="M379" s="227">
        <v>0.4724</v>
      </c>
    </row>
    <row r="380" spans="1:13">
      <c r="A380" s="224">
        <v>7.2</v>
      </c>
      <c r="B380" s="227">
        <v>0.6555</v>
      </c>
      <c r="C380" s="227">
        <v>0.6555</v>
      </c>
      <c r="D380" s="227">
        <v>0.6202</v>
      </c>
      <c r="E380" s="227">
        <v>0.6202</v>
      </c>
      <c r="F380" s="227">
        <v>0.6202</v>
      </c>
      <c r="G380" s="227">
        <v>0.5478</v>
      </c>
      <c r="H380" s="227">
        <v>0.5478</v>
      </c>
      <c r="I380" s="227">
        <v>0.4709</v>
      </c>
      <c r="J380" s="227">
        <v>0.4709</v>
      </c>
      <c r="K380" s="227">
        <v>0.4709</v>
      </c>
      <c r="L380" s="227">
        <v>0.4709</v>
      </c>
      <c r="M380" s="227">
        <v>0.4709</v>
      </c>
    </row>
    <row r="381" spans="1:13">
      <c r="A381" s="224">
        <v>7.3</v>
      </c>
      <c r="B381" s="227">
        <v>0.6545</v>
      </c>
      <c r="C381" s="227">
        <v>0.6545</v>
      </c>
      <c r="D381" s="227">
        <v>0.6188</v>
      </c>
      <c r="E381" s="227">
        <v>0.6188</v>
      </c>
      <c r="F381" s="227">
        <v>0.6188</v>
      </c>
      <c r="G381" s="227">
        <v>0.5464</v>
      </c>
      <c r="H381" s="227">
        <v>0.5464</v>
      </c>
      <c r="I381" s="227">
        <v>0.4694</v>
      </c>
      <c r="J381" s="227">
        <v>0.4694</v>
      </c>
      <c r="K381" s="227">
        <v>0.4694</v>
      </c>
      <c r="L381" s="227">
        <v>0.4694</v>
      </c>
      <c r="M381" s="227">
        <v>0.4694</v>
      </c>
    </row>
    <row r="382" spans="1:13">
      <c r="A382" s="224">
        <v>7.4</v>
      </c>
      <c r="B382" s="227">
        <v>0.6535</v>
      </c>
      <c r="C382" s="227">
        <v>0.6535</v>
      </c>
      <c r="D382" s="227">
        <v>0.6175</v>
      </c>
      <c r="E382" s="227">
        <v>0.6175</v>
      </c>
      <c r="F382" s="227">
        <v>0.6175</v>
      </c>
      <c r="G382" s="227">
        <v>0.5449</v>
      </c>
      <c r="H382" s="227">
        <v>0.5449</v>
      </c>
      <c r="I382" s="227">
        <v>0.4678</v>
      </c>
      <c r="J382" s="227">
        <v>0.4678</v>
      </c>
      <c r="K382" s="227">
        <v>0.4678</v>
      </c>
      <c r="L382" s="227">
        <v>0.4678</v>
      </c>
      <c r="M382" s="227">
        <v>0.4678</v>
      </c>
    </row>
    <row r="383" spans="1:13">
      <c r="A383" s="224">
        <v>7.5</v>
      </c>
      <c r="B383" s="227">
        <v>0.6525</v>
      </c>
      <c r="C383" s="227">
        <v>0.6525</v>
      </c>
      <c r="D383" s="227">
        <v>0.6162</v>
      </c>
      <c r="E383" s="227">
        <v>0.6162</v>
      </c>
      <c r="F383" s="227">
        <v>0.6162</v>
      </c>
      <c r="G383" s="227">
        <v>0.5435</v>
      </c>
      <c r="H383" s="227">
        <v>0.5435</v>
      </c>
      <c r="I383" s="227">
        <v>0.4663</v>
      </c>
      <c r="J383" s="227">
        <v>0.4663</v>
      </c>
      <c r="K383" s="227">
        <v>0.4663</v>
      </c>
      <c r="L383" s="227">
        <v>0.4663</v>
      </c>
      <c r="M383" s="227">
        <v>0.4663</v>
      </c>
    </row>
    <row r="384" spans="1:13">
      <c r="A384" s="224">
        <v>7.6</v>
      </c>
      <c r="B384" s="227">
        <v>0.6515</v>
      </c>
      <c r="C384" s="227">
        <v>0.6515</v>
      </c>
      <c r="D384" s="227">
        <v>0.6149</v>
      </c>
      <c r="E384" s="227">
        <v>0.6149</v>
      </c>
      <c r="F384" s="227">
        <v>0.6149</v>
      </c>
      <c r="G384" s="227">
        <v>0.542</v>
      </c>
      <c r="H384" s="227">
        <v>0.542</v>
      </c>
      <c r="I384" s="227">
        <v>0.4648</v>
      </c>
      <c r="J384" s="227">
        <v>0.4648</v>
      </c>
      <c r="K384" s="227">
        <v>0.4648</v>
      </c>
      <c r="L384" s="227">
        <v>0.4648</v>
      </c>
      <c r="M384" s="227">
        <v>0.4648</v>
      </c>
    </row>
    <row r="385" spans="1:13">
      <c r="A385" s="224">
        <v>7.7</v>
      </c>
      <c r="B385" s="227">
        <v>0.6505</v>
      </c>
      <c r="C385" s="227">
        <v>0.6505</v>
      </c>
      <c r="D385" s="227">
        <v>0.6136</v>
      </c>
      <c r="E385" s="227">
        <v>0.6136</v>
      </c>
      <c r="F385" s="227">
        <v>0.6136</v>
      </c>
      <c r="G385" s="227">
        <v>0.5406</v>
      </c>
      <c r="H385" s="227">
        <v>0.5406</v>
      </c>
      <c r="I385" s="227">
        <v>0.4633</v>
      </c>
      <c r="J385" s="227">
        <v>0.4633</v>
      </c>
      <c r="K385" s="227">
        <v>0.4633</v>
      </c>
      <c r="L385" s="227">
        <v>0.4633</v>
      </c>
      <c r="M385" s="227">
        <v>0.4633</v>
      </c>
    </row>
    <row r="386" spans="1:13">
      <c r="A386" s="224">
        <v>7.8</v>
      </c>
      <c r="B386" s="227">
        <v>0.6495</v>
      </c>
      <c r="C386" s="227">
        <v>0.6495</v>
      </c>
      <c r="D386" s="227">
        <v>0.6123</v>
      </c>
      <c r="E386" s="227">
        <v>0.6123</v>
      </c>
      <c r="F386" s="227">
        <v>0.6123</v>
      </c>
      <c r="G386" s="227">
        <v>0.5391</v>
      </c>
      <c r="H386" s="227">
        <v>0.5391</v>
      </c>
      <c r="I386" s="227">
        <v>0.4617</v>
      </c>
      <c r="J386" s="227">
        <v>0.4617</v>
      </c>
      <c r="K386" s="227">
        <v>0.4617</v>
      </c>
      <c r="L386" s="227">
        <v>0.4617</v>
      </c>
      <c r="M386" s="227">
        <v>0.4617</v>
      </c>
    </row>
    <row r="387" spans="1:13">
      <c r="A387" s="224">
        <v>7.9</v>
      </c>
      <c r="B387" s="227">
        <v>0.6485</v>
      </c>
      <c r="C387" s="227">
        <v>0.6485</v>
      </c>
      <c r="D387" s="227">
        <v>0.611</v>
      </c>
      <c r="E387" s="227">
        <v>0.611</v>
      </c>
      <c r="F387" s="227">
        <v>0.611</v>
      </c>
      <c r="G387" s="227">
        <v>0.5377</v>
      </c>
      <c r="H387" s="227">
        <v>0.5377</v>
      </c>
      <c r="I387" s="227">
        <v>0.4602</v>
      </c>
      <c r="J387" s="227">
        <v>0.4602</v>
      </c>
      <c r="K387" s="227">
        <v>0.4602</v>
      </c>
      <c r="L387" s="227">
        <v>0.4602</v>
      </c>
      <c r="M387" s="227">
        <v>0.4602</v>
      </c>
    </row>
    <row r="388" spans="1:13">
      <c r="A388" s="224">
        <v>8</v>
      </c>
      <c r="B388" s="227">
        <v>0.6475</v>
      </c>
      <c r="C388" s="227">
        <v>0.6475</v>
      </c>
      <c r="D388" s="227">
        <v>0.6097</v>
      </c>
      <c r="E388" s="227">
        <v>0.6097</v>
      </c>
      <c r="F388" s="227">
        <v>0.6097</v>
      </c>
      <c r="G388" s="227">
        <v>0.5362</v>
      </c>
      <c r="H388" s="227">
        <v>0.5362</v>
      </c>
      <c r="I388" s="227">
        <v>0.4587</v>
      </c>
      <c r="J388" s="227">
        <v>0.4587</v>
      </c>
      <c r="K388" s="227">
        <v>0.4587</v>
      </c>
      <c r="L388" s="227">
        <v>0.4587</v>
      </c>
      <c r="M388" s="227">
        <v>0.4587</v>
      </c>
    </row>
    <row r="389" spans="1:13">
      <c r="A389" s="224">
        <v>8.1</v>
      </c>
      <c r="B389" s="227">
        <v>0.6465</v>
      </c>
      <c r="C389" s="227">
        <v>0.6465</v>
      </c>
      <c r="D389" s="227">
        <v>0.6084</v>
      </c>
      <c r="E389" s="227">
        <v>0.6084</v>
      </c>
      <c r="F389" s="227">
        <v>0.6084</v>
      </c>
      <c r="G389" s="227">
        <v>0.5348</v>
      </c>
      <c r="H389" s="227">
        <v>0.5348</v>
      </c>
      <c r="I389" s="227">
        <v>0.4572</v>
      </c>
      <c r="J389" s="227">
        <v>0.4572</v>
      </c>
      <c r="K389" s="227">
        <v>0.4572</v>
      </c>
      <c r="L389" s="227">
        <v>0.4572</v>
      </c>
      <c r="M389" s="227">
        <v>0.4572</v>
      </c>
    </row>
    <row r="390" spans="1:13">
      <c r="A390" s="224">
        <v>8.2</v>
      </c>
      <c r="B390" s="227">
        <v>0.6455</v>
      </c>
      <c r="C390" s="227">
        <v>0.6455</v>
      </c>
      <c r="D390" s="227">
        <v>0.6071</v>
      </c>
      <c r="E390" s="227">
        <v>0.6071</v>
      </c>
      <c r="F390" s="227">
        <v>0.6071</v>
      </c>
      <c r="G390" s="227">
        <v>0.5333</v>
      </c>
      <c r="H390" s="227">
        <v>0.5333</v>
      </c>
      <c r="I390" s="227">
        <v>0.4557</v>
      </c>
      <c r="J390" s="227">
        <v>0.4557</v>
      </c>
      <c r="K390" s="227">
        <v>0.4557</v>
      </c>
      <c r="L390" s="227">
        <v>0.4557</v>
      </c>
      <c r="M390" s="227">
        <v>0.4557</v>
      </c>
    </row>
    <row r="391" spans="1:13">
      <c r="A391" s="224">
        <v>8.3</v>
      </c>
      <c r="B391" s="227">
        <v>0.6445</v>
      </c>
      <c r="C391" s="227">
        <v>0.6445</v>
      </c>
      <c r="D391" s="227">
        <v>0.6058</v>
      </c>
      <c r="E391" s="227">
        <v>0.6058</v>
      </c>
      <c r="F391" s="227">
        <v>0.6058</v>
      </c>
      <c r="G391" s="227">
        <v>0.5319</v>
      </c>
      <c r="H391" s="227">
        <v>0.5319</v>
      </c>
      <c r="I391" s="227">
        <v>0.4543</v>
      </c>
      <c r="J391" s="227">
        <v>0.4543</v>
      </c>
      <c r="K391" s="227">
        <v>0.4543</v>
      </c>
      <c r="L391" s="227">
        <v>0.4543</v>
      </c>
      <c r="M391" s="227">
        <v>0.4543</v>
      </c>
    </row>
    <row r="392" spans="1:13">
      <c r="A392" s="224">
        <v>8.4</v>
      </c>
      <c r="B392" s="227">
        <v>0.6435</v>
      </c>
      <c r="C392" s="227">
        <v>0.6435</v>
      </c>
      <c r="D392" s="227">
        <v>0.6045</v>
      </c>
      <c r="E392" s="227">
        <v>0.6045</v>
      </c>
      <c r="F392" s="227">
        <v>0.6045</v>
      </c>
      <c r="G392" s="227">
        <v>0.5304</v>
      </c>
      <c r="H392" s="227">
        <v>0.5304</v>
      </c>
      <c r="I392" s="227">
        <v>0.4529</v>
      </c>
      <c r="J392" s="227">
        <v>0.4529</v>
      </c>
      <c r="K392" s="227">
        <v>0.4529</v>
      </c>
      <c r="L392" s="227">
        <v>0.4529</v>
      </c>
      <c r="M392" s="227">
        <v>0.4529</v>
      </c>
    </row>
    <row r="393" spans="1:13">
      <c r="A393" s="224">
        <v>8.5</v>
      </c>
      <c r="B393" s="227">
        <v>0.6425</v>
      </c>
      <c r="C393" s="227">
        <v>0.6425</v>
      </c>
      <c r="D393" s="227">
        <v>0.6032</v>
      </c>
      <c r="E393" s="227">
        <v>0.6032</v>
      </c>
      <c r="F393" s="227">
        <v>0.6032</v>
      </c>
      <c r="G393" s="227">
        <v>0.529</v>
      </c>
      <c r="H393" s="227">
        <v>0.529</v>
      </c>
      <c r="I393" s="227">
        <v>0.4514</v>
      </c>
      <c r="J393" s="227">
        <v>0.4514</v>
      </c>
      <c r="K393" s="227">
        <v>0.4514</v>
      </c>
      <c r="L393" s="227">
        <v>0.4514</v>
      </c>
      <c r="M393" s="227">
        <v>0.4514</v>
      </c>
    </row>
    <row r="394" spans="1:13">
      <c r="A394" s="224">
        <v>8.6</v>
      </c>
      <c r="B394" s="227">
        <v>0.6415</v>
      </c>
      <c r="C394" s="227">
        <v>0.6415</v>
      </c>
      <c r="D394" s="227">
        <v>0.6019</v>
      </c>
      <c r="E394" s="227">
        <v>0.6019</v>
      </c>
      <c r="F394" s="227">
        <v>0.6019</v>
      </c>
      <c r="G394" s="227">
        <v>0.5275</v>
      </c>
      <c r="H394" s="227">
        <v>0.5275</v>
      </c>
      <c r="I394" s="227">
        <v>0.45</v>
      </c>
      <c r="J394" s="227">
        <v>0.45</v>
      </c>
      <c r="K394" s="227">
        <v>0.45</v>
      </c>
      <c r="L394" s="227">
        <v>0.45</v>
      </c>
      <c r="M394" s="227">
        <v>0.45</v>
      </c>
    </row>
    <row r="395" spans="1:13">
      <c r="A395" s="224">
        <v>8.7</v>
      </c>
      <c r="B395" s="227">
        <v>0.6405</v>
      </c>
      <c r="C395" s="227">
        <v>0.6405</v>
      </c>
      <c r="D395" s="227">
        <v>0.6006</v>
      </c>
      <c r="E395" s="227">
        <v>0.6006</v>
      </c>
      <c r="F395" s="227">
        <v>0.6006</v>
      </c>
      <c r="G395" s="227">
        <v>0.5261</v>
      </c>
      <c r="H395" s="227">
        <v>0.5261</v>
      </c>
      <c r="I395" s="227">
        <v>0.4485</v>
      </c>
      <c r="J395" s="227">
        <v>0.4485</v>
      </c>
      <c r="K395" s="227">
        <v>0.4485</v>
      </c>
      <c r="L395" s="227">
        <v>0.4485</v>
      </c>
      <c r="M395" s="227">
        <v>0.4485</v>
      </c>
    </row>
    <row r="396" spans="1:13">
      <c r="A396" s="224">
        <v>8.8</v>
      </c>
      <c r="B396" s="227">
        <v>0.6395</v>
      </c>
      <c r="C396" s="227">
        <v>0.6395</v>
      </c>
      <c r="D396" s="227">
        <v>0.5993</v>
      </c>
      <c r="E396" s="227">
        <v>0.5993</v>
      </c>
      <c r="F396" s="227">
        <v>0.5993</v>
      </c>
      <c r="G396" s="227">
        <v>0.5246</v>
      </c>
      <c r="H396" s="227">
        <v>0.5246</v>
      </c>
      <c r="I396" s="227">
        <v>0.4471</v>
      </c>
      <c r="J396" s="227">
        <v>0.4471</v>
      </c>
      <c r="K396" s="227">
        <v>0.4471</v>
      </c>
      <c r="L396" s="227">
        <v>0.4471</v>
      </c>
      <c r="M396" s="227">
        <v>0.4471</v>
      </c>
    </row>
    <row r="397" spans="1:13">
      <c r="A397" s="224">
        <v>8.9</v>
      </c>
      <c r="B397" s="227">
        <v>0.6385</v>
      </c>
      <c r="C397" s="227">
        <v>0.6385</v>
      </c>
      <c r="D397" s="227">
        <v>0.598</v>
      </c>
      <c r="E397" s="227">
        <v>0.598</v>
      </c>
      <c r="F397" s="227">
        <v>0.598</v>
      </c>
      <c r="G397" s="227">
        <v>0.5232</v>
      </c>
      <c r="H397" s="227">
        <v>0.5232</v>
      </c>
      <c r="I397" s="227">
        <v>0.4456</v>
      </c>
      <c r="J397" s="227">
        <v>0.4456</v>
      </c>
      <c r="K397" s="227">
        <v>0.4456</v>
      </c>
      <c r="L397" s="227">
        <v>0.4456</v>
      </c>
      <c r="M397" s="227">
        <v>0.4456</v>
      </c>
    </row>
    <row r="398" spans="1:13">
      <c r="A398" s="228">
        <v>9</v>
      </c>
      <c r="B398" s="227">
        <v>0.6375</v>
      </c>
      <c r="C398" s="227">
        <v>0.6375</v>
      </c>
      <c r="D398" s="227">
        <v>0.5967</v>
      </c>
      <c r="E398" s="227">
        <v>0.5967</v>
      </c>
      <c r="F398" s="227">
        <v>0.5967</v>
      </c>
      <c r="G398" s="227">
        <v>0.5217</v>
      </c>
      <c r="H398" s="227">
        <v>0.5217</v>
      </c>
      <c r="I398" s="227">
        <v>0.4443</v>
      </c>
      <c r="J398" s="227">
        <v>0.4443</v>
      </c>
      <c r="K398" s="227">
        <v>0.4443</v>
      </c>
      <c r="L398" s="227">
        <v>0.4443</v>
      </c>
      <c r="M398" s="227">
        <v>0.4443</v>
      </c>
    </row>
    <row r="399" spans="1:13">
      <c r="A399" s="228">
        <v>9.1</v>
      </c>
      <c r="B399" s="227">
        <v>0.6365</v>
      </c>
      <c r="C399" s="227">
        <v>0.6365</v>
      </c>
      <c r="D399" s="227">
        <v>0.5954</v>
      </c>
      <c r="E399" s="227">
        <v>0.5954</v>
      </c>
      <c r="F399" s="227">
        <v>0.5954</v>
      </c>
      <c r="G399" s="227">
        <v>0.5203</v>
      </c>
      <c r="H399" s="227">
        <v>0.5203</v>
      </c>
      <c r="I399" s="227">
        <v>0.4429</v>
      </c>
      <c r="J399" s="227">
        <v>0.4429</v>
      </c>
      <c r="K399" s="227">
        <v>0.4429</v>
      </c>
      <c r="L399" s="227">
        <v>0.4429</v>
      </c>
      <c r="M399" s="227">
        <v>0.4429</v>
      </c>
    </row>
    <row r="400" spans="1:13">
      <c r="A400" s="228">
        <v>9.2</v>
      </c>
      <c r="B400" s="227">
        <v>0.6355</v>
      </c>
      <c r="C400" s="227">
        <v>0.6355</v>
      </c>
      <c r="D400" s="227">
        <v>0.5941</v>
      </c>
      <c r="E400" s="227">
        <v>0.5941</v>
      </c>
      <c r="F400" s="227">
        <v>0.5941</v>
      </c>
      <c r="G400" s="227">
        <v>0.5188</v>
      </c>
      <c r="H400" s="227">
        <v>0.5188</v>
      </c>
      <c r="I400" s="227">
        <v>0.4416</v>
      </c>
      <c r="J400" s="227">
        <v>0.4416</v>
      </c>
      <c r="K400" s="227">
        <v>0.4416</v>
      </c>
      <c r="L400" s="227">
        <v>0.4416</v>
      </c>
      <c r="M400" s="227">
        <v>0.4416</v>
      </c>
    </row>
    <row r="401" spans="1:13">
      <c r="A401" s="228">
        <v>9.3</v>
      </c>
      <c r="B401" s="227">
        <v>0.6345</v>
      </c>
      <c r="C401" s="227">
        <v>0.6345</v>
      </c>
      <c r="D401" s="227">
        <v>0.5928</v>
      </c>
      <c r="E401" s="227">
        <v>0.5928</v>
      </c>
      <c r="F401" s="227">
        <v>0.5928</v>
      </c>
      <c r="G401" s="227">
        <v>0.5174</v>
      </c>
      <c r="H401" s="227">
        <v>0.5174</v>
      </c>
      <c r="I401" s="227">
        <v>0.4402</v>
      </c>
      <c r="J401" s="227">
        <v>0.4402</v>
      </c>
      <c r="K401" s="227">
        <v>0.4402</v>
      </c>
      <c r="L401" s="227">
        <v>0.4402</v>
      </c>
      <c r="M401" s="227">
        <v>0.4402</v>
      </c>
    </row>
    <row r="402" spans="1:13">
      <c r="A402" s="228">
        <v>9.4</v>
      </c>
      <c r="B402" s="227">
        <v>0.6335</v>
      </c>
      <c r="C402" s="227">
        <v>0.6335</v>
      </c>
      <c r="D402" s="227">
        <v>0.5915</v>
      </c>
      <c r="E402" s="227">
        <v>0.5915</v>
      </c>
      <c r="F402" s="227">
        <v>0.5915</v>
      </c>
      <c r="G402" s="227">
        <v>0.516</v>
      </c>
      <c r="H402" s="227">
        <v>0.516</v>
      </c>
      <c r="I402" s="227">
        <v>0.4388</v>
      </c>
      <c r="J402" s="227">
        <v>0.4388</v>
      </c>
      <c r="K402" s="227">
        <v>0.4388</v>
      </c>
      <c r="L402" s="227">
        <v>0.4388</v>
      </c>
      <c r="M402" s="227">
        <v>0.4388</v>
      </c>
    </row>
    <row r="403" spans="1:13">
      <c r="A403" s="228">
        <v>9.5</v>
      </c>
      <c r="B403" s="227">
        <v>0.6325</v>
      </c>
      <c r="C403" s="227">
        <v>0.6325</v>
      </c>
      <c r="D403" s="227">
        <v>0.5903</v>
      </c>
      <c r="E403" s="227">
        <v>0.5903</v>
      </c>
      <c r="F403" s="227">
        <v>0.5903</v>
      </c>
      <c r="G403" s="227">
        <v>0.5147</v>
      </c>
      <c r="H403" s="227">
        <v>0.5147</v>
      </c>
      <c r="I403" s="227">
        <v>0.4375</v>
      </c>
      <c r="J403" s="227">
        <v>0.4375</v>
      </c>
      <c r="K403" s="227">
        <v>0.4375</v>
      </c>
      <c r="L403" s="227">
        <v>0.4375</v>
      </c>
      <c r="M403" s="227">
        <v>0.4375</v>
      </c>
    </row>
    <row r="404" spans="1:13">
      <c r="A404" s="228">
        <v>9.6</v>
      </c>
      <c r="B404" s="227">
        <v>0.6315</v>
      </c>
      <c r="C404" s="227">
        <v>0.6315</v>
      </c>
      <c r="D404" s="227">
        <v>0.5891</v>
      </c>
      <c r="E404" s="227">
        <v>0.5891</v>
      </c>
      <c r="F404" s="227">
        <v>0.5891</v>
      </c>
      <c r="G404" s="227">
        <v>0.5133</v>
      </c>
      <c r="H404" s="227">
        <v>0.5133</v>
      </c>
      <c r="I404" s="227">
        <v>0.4361</v>
      </c>
      <c r="J404" s="227">
        <v>0.4361</v>
      </c>
      <c r="K404" s="227">
        <v>0.4361</v>
      </c>
      <c r="L404" s="227">
        <v>0.4361</v>
      </c>
      <c r="M404" s="227">
        <v>0.4361</v>
      </c>
    </row>
    <row r="405" spans="1:13">
      <c r="A405" s="228">
        <v>9.7</v>
      </c>
      <c r="B405" s="227">
        <v>0.6305</v>
      </c>
      <c r="C405" s="227">
        <v>0.6305</v>
      </c>
      <c r="D405" s="227">
        <v>0.5879</v>
      </c>
      <c r="E405" s="227">
        <v>0.5879</v>
      </c>
      <c r="F405" s="227">
        <v>0.5879</v>
      </c>
      <c r="G405" s="227">
        <v>0.512</v>
      </c>
      <c r="H405" s="227">
        <v>0.512</v>
      </c>
      <c r="I405" s="227">
        <v>0.4348</v>
      </c>
      <c r="J405" s="227">
        <v>0.4348</v>
      </c>
      <c r="K405" s="227">
        <v>0.4348</v>
      </c>
      <c r="L405" s="227">
        <v>0.4348</v>
      </c>
      <c r="M405" s="227">
        <v>0.4348</v>
      </c>
    </row>
    <row r="406" spans="1:13">
      <c r="A406" s="228">
        <v>9.8</v>
      </c>
      <c r="B406" s="227">
        <v>0.6295</v>
      </c>
      <c r="C406" s="227">
        <v>0.6295</v>
      </c>
      <c r="D406" s="227">
        <v>0.5867</v>
      </c>
      <c r="E406" s="227">
        <v>0.5867</v>
      </c>
      <c r="F406" s="227">
        <v>0.5867</v>
      </c>
      <c r="G406" s="227">
        <v>0.5106</v>
      </c>
      <c r="H406" s="227">
        <v>0.5106</v>
      </c>
      <c r="I406" s="227">
        <v>0.4334</v>
      </c>
      <c r="J406" s="227">
        <v>0.4334</v>
      </c>
      <c r="K406" s="227">
        <v>0.4334</v>
      </c>
      <c r="L406" s="227">
        <v>0.4334</v>
      </c>
      <c r="M406" s="227">
        <v>0.4334</v>
      </c>
    </row>
    <row r="407" spans="1:13">
      <c r="A407" s="228">
        <v>9.9</v>
      </c>
      <c r="B407" s="227">
        <v>0.6285</v>
      </c>
      <c r="C407" s="227">
        <v>0.6285</v>
      </c>
      <c r="D407" s="227">
        <v>0.5855</v>
      </c>
      <c r="E407" s="227">
        <v>0.5855</v>
      </c>
      <c r="F407" s="227">
        <v>0.5855</v>
      </c>
      <c r="G407" s="227">
        <v>0.5092</v>
      </c>
      <c r="H407" s="227">
        <v>0.5092</v>
      </c>
      <c r="I407" s="227">
        <v>0.432</v>
      </c>
      <c r="J407" s="227">
        <v>0.432</v>
      </c>
      <c r="K407" s="227">
        <v>0.432</v>
      </c>
      <c r="L407" s="227">
        <v>0.432</v>
      </c>
      <c r="M407" s="227">
        <v>0.432</v>
      </c>
    </row>
    <row r="408" spans="1:13">
      <c r="A408" s="228">
        <v>10</v>
      </c>
      <c r="B408" s="227">
        <v>0.6275</v>
      </c>
      <c r="C408" s="227">
        <v>0.6275</v>
      </c>
      <c r="D408" s="227">
        <v>0.5843</v>
      </c>
      <c r="E408" s="227">
        <v>0.5843</v>
      </c>
      <c r="F408" s="227">
        <v>0.5843</v>
      </c>
      <c r="G408" s="227">
        <v>0.5079</v>
      </c>
      <c r="H408" s="227">
        <v>0.5079</v>
      </c>
      <c r="I408" s="227">
        <v>0.4307</v>
      </c>
      <c r="J408" s="227">
        <v>0.4307</v>
      </c>
      <c r="K408" s="227">
        <v>0.4307</v>
      </c>
      <c r="L408" s="227">
        <v>0.4307</v>
      </c>
      <c r="M408" s="227">
        <v>0.4307</v>
      </c>
    </row>
  </sheetData>
  <sheetProtection password="C66D" sheet="1" formatCells="0" formatColumns="0" formatRows="0" objects="1" scenarios="1"/>
  <pageMargins left="0.7" right="0.7" top="0.75" bottom="0.75" header="0.3" footer="0.3"/>
  <headerFooter/>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AH119"/>
  <sheetViews>
    <sheetView zoomScale="80" zoomScaleNormal="80" workbookViewId="0">
      <selection activeCell="C13" sqref="C13:H13"/>
    </sheetView>
  </sheetViews>
  <sheetFormatPr defaultColWidth="9" defaultRowHeight="12.75"/>
  <cols>
    <col min="1" max="1" width="9" style="82"/>
    <col min="2" max="6" width="9" style="82" customWidth="1"/>
    <col min="7" max="7" width="9" style="83"/>
    <col min="8" max="8" width="9" style="82"/>
    <col min="9" max="12" width="9" style="82" customWidth="1"/>
    <col min="13" max="13" width="2.25" style="82" customWidth="1"/>
    <col min="14" max="14" width="9" style="83" customWidth="1"/>
    <col min="15" max="17" width="9" style="82" customWidth="1"/>
    <col min="18" max="18" width="2.375" style="82" customWidth="1"/>
    <col min="19" max="19" width="7.125" style="83" customWidth="1"/>
    <col min="20" max="22" width="7.125" style="82" customWidth="1"/>
    <col min="23" max="23" width="23.875" style="82" customWidth="1"/>
    <col min="24" max="25" width="9" style="82"/>
    <col min="26" max="27" width="11.625" style="82" customWidth="1"/>
    <col min="28" max="28" width="9" style="82"/>
    <col min="29" max="29" width="2" style="82" customWidth="1"/>
    <col min="30" max="16384" width="9" style="82"/>
  </cols>
  <sheetData>
    <row r="1" s="72" customFormat="1" spans="2:30">
      <c r="B1" s="84" t="s">
        <v>2333</v>
      </c>
      <c r="C1" s="84"/>
      <c r="D1" s="84"/>
      <c r="E1" s="84"/>
      <c r="F1" s="84"/>
      <c r="G1" s="72" t="s">
        <v>2334</v>
      </c>
      <c r="N1" s="72" t="s">
        <v>2335</v>
      </c>
      <c r="S1" s="72" t="s">
        <v>2336</v>
      </c>
      <c r="X1" s="168" t="s">
        <v>2337</v>
      </c>
      <c r="AD1" s="168" t="s">
        <v>2338</v>
      </c>
    </row>
    <row r="2" s="73" customFormat="1" ht="14.25" spans="2:34">
      <c r="B2" s="85" t="s">
        <v>2339</v>
      </c>
      <c r="C2" s="85" t="s">
        <v>2340</v>
      </c>
      <c r="D2" s="86" t="s">
        <v>1734</v>
      </c>
      <c r="E2" s="86" t="s">
        <v>461</v>
      </c>
      <c r="F2" s="85" t="s">
        <v>2341</v>
      </c>
      <c r="G2" s="87"/>
      <c r="I2" s="85" t="s">
        <v>2339</v>
      </c>
      <c r="J2" s="86" t="s">
        <v>2342</v>
      </c>
      <c r="K2" s="86" t="s">
        <v>461</v>
      </c>
      <c r="L2" s="85" t="s">
        <v>2341</v>
      </c>
      <c r="N2" s="85" t="s">
        <v>2339</v>
      </c>
      <c r="O2" s="86" t="s">
        <v>2342</v>
      </c>
      <c r="P2" s="86" t="s">
        <v>461</v>
      </c>
      <c r="Q2" s="85" t="s">
        <v>2341</v>
      </c>
      <c r="S2" s="85" t="s">
        <v>2339</v>
      </c>
      <c r="T2" s="86" t="s">
        <v>2342</v>
      </c>
      <c r="U2" s="86" t="s">
        <v>461</v>
      </c>
      <c r="V2" s="85" t="s">
        <v>2341</v>
      </c>
      <c r="X2" s="85" t="s">
        <v>2339</v>
      </c>
      <c r="Y2" s="85" t="s">
        <v>2340</v>
      </c>
      <c r="Z2" s="86" t="s">
        <v>1734</v>
      </c>
      <c r="AA2" s="86" t="s">
        <v>461</v>
      </c>
      <c r="AB2" s="85" t="s">
        <v>2341</v>
      </c>
      <c r="AD2" s="85" t="s">
        <v>2339</v>
      </c>
      <c r="AE2" s="85" t="s">
        <v>2340</v>
      </c>
      <c r="AF2" s="86" t="s">
        <v>1734</v>
      </c>
      <c r="AG2" s="86" t="s">
        <v>461</v>
      </c>
      <c r="AH2" s="85" t="s">
        <v>2341</v>
      </c>
    </row>
    <row r="3" s="74" customFormat="1" ht="14.25" spans="1:34">
      <c r="A3" s="88" t="s">
        <v>2343</v>
      </c>
      <c r="B3" s="89"/>
      <c r="C3" s="89"/>
      <c r="D3" s="90"/>
      <c r="E3" s="90"/>
      <c r="F3" s="89"/>
      <c r="G3" s="91"/>
      <c r="H3" s="92"/>
      <c r="I3" s="132">
        <f>ROUND(AVERAGE(I4:I36),2)</f>
        <v>1.66</v>
      </c>
      <c r="J3" s="132">
        <f>ROUND(AVERAGE(J4:J36),2)</f>
        <v>1.05</v>
      </c>
      <c r="K3" s="132">
        <f>ROUND(AVERAGE(K4:K36),2)</f>
        <v>1.83</v>
      </c>
      <c r="L3" s="133">
        <f>ROUND(AVERAGE(L4:L36),2)</f>
        <v>1.22</v>
      </c>
      <c r="N3" s="91"/>
      <c r="S3" s="91"/>
      <c r="W3" s="169"/>
      <c r="X3" s="170">
        <f>ROUND(SUMPRODUCT(PRODUCT(1+N3:N$35)),4)</f>
        <v>1.6416</v>
      </c>
      <c r="Y3" s="170">
        <f>ROUND(SUMPRODUCT(PRODUCT(1+O3:O$35)),4)</f>
        <v>1.3644</v>
      </c>
      <c r="Z3" s="170">
        <f t="shared" ref="Z3:Z33" si="0">Y3</f>
        <v>1.3644</v>
      </c>
      <c r="AA3" s="170">
        <f>ROUND(SUMPRODUCT(PRODUCT(1+P3:P$35)),4)</f>
        <v>1.7232</v>
      </c>
      <c r="AB3" s="170">
        <f>ROUND(SUMPRODUCT(PRODUCT(1+Q3:Q$35)),4)</f>
        <v>1.4529</v>
      </c>
      <c r="AD3" s="186">
        <f>ROUND(AVERAGE(I3:I$36)/100,4)</f>
        <v>0.0166</v>
      </c>
      <c r="AE3" s="186">
        <f>ROUND(AVERAGE(J3:J$36)/100,4)</f>
        <v>0.0105</v>
      </c>
      <c r="AF3" s="186">
        <f t="shared" ref="AF3:AF24" si="1">AE3</f>
        <v>0.0105</v>
      </c>
      <c r="AG3" s="186">
        <f>ROUND(AVERAGE(K3:K$36)/100,4)</f>
        <v>0.0183</v>
      </c>
      <c r="AH3" s="186">
        <f>ROUND(AVERAGE(L3:L$36)/100,4)</f>
        <v>0.0122</v>
      </c>
    </row>
    <row r="4" s="75" customFormat="1" ht="14.25" spans="2:34">
      <c r="B4" s="93"/>
      <c r="C4" s="93"/>
      <c r="D4" s="94"/>
      <c r="E4" s="94"/>
      <c r="F4" s="93"/>
      <c r="G4" s="95"/>
      <c r="H4" s="96"/>
      <c r="I4" s="134"/>
      <c r="J4" s="134"/>
      <c r="K4" s="134"/>
      <c r="L4" s="134"/>
      <c r="N4" s="95"/>
      <c r="S4" s="95"/>
      <c r="X4" s="82"/>
      <c r="Y4" s="82"/>
      <c r="Z4" s="82"/>
      <c r="AA4" s="82"/>
      <c r="AB4" s="82"/>
      <c r="AD4" s="148"/>
      <c r="AE4" s="148"/>
      <c r="AF4" s="148"/>
      <c r="AG4" s="148"/>
      <c r="AH4" s="148"/>
    </row>
    <row r="5" s="76" customFormat="1" spans="1:34">
      <c r="A5" s="97" t="s">
        <v>2344</v>
      </c>
      <c r="B5" s="98">
        <f t="shared" ref="B5" si="2">B6*(1+N5)</f>
        <v>504.870728096156</v>
      </c>
      <c r="C5" s="98">
        <f t="shared" ref="C5" si="3">C6*(1+O5)</f>
        <v>351.71182348102</v>
      </c>
      <c r="D5" s="99">
        <f t="shared" ref="D5" si="4">C5</f>
        <v>351.71182348102</v>
      </c>
      <c r="E5" s="98">
        <f t="shared" ref="E5" si="5">E6*(1+P5)</f>
        <v>728.753508583608</v>
      </c>
      <c r="F5" s="98">
        <f t="shared" ref="F5" si="6">F6*(1+Q5)</f>
        <v>334.045939316737</v>
      </c>
      <c r="G5" s="100">
        <v>2021</v>
      </c>
      <c r="H5" s="101">
        <v>4</v>
      </c>
      <c r="I5" s="135">
        <v>0</v>
      </c>
      <c r="J5" s="135">
        <v>0</v>
      </c>
      <c r="K5" s="135">
        <v>0</v>
      </c>
      <c r="L5" s="136">
        <v>0</v>
      </c>
      <c r="N5" s="137">
        <f t="shared" ref="N5" si="7">I5/100</f>
        <v>0</v>
      </c>
      <c r="O5" s="137">
        <f t="shared" ref="O5" si="8">J5/100</f>
        <v>0</v>
      </c>
      <c r="P5" s="137">
        <f t="shared" ref="P5" si="9">K5/100</f>
        <v>0</v>
      </c>
      <c r="Q5" s="137">
        <f t="shared" ref="Q5" si="10">L5/100</f>
        <v>0</v>
      </c>
      <c r="S5" s="141"/>
      <c r="T5" s="142"/>
      <c r="U5" s="142"/>
      <c r="V5" s="142"/>
      <c r="W5" s="171" t="s">
        <v>2345</v>
      </c>
      <c r="X5" s="172">
        <f>ROUND(SUMPRODUCT(PRODUCT(1+N5:N$35)),4)</f>
        <v>1.6416</v>
      </c>
      <c r="Y5" s="172">
        <f>ROUND(SUMPRODUCT(PRODUCT(1+O5:O$35)),4)</f>
        <v>1.3644</v>
      </c>
      <c r="Z5" s="172">
        <f t="shared" ref="Z5" si="11">Y5</f>
        <v>1.3644</v>
      </c>
      <c r="AA5" s="172">
        <f>ROUND(SUMPRODUCT(PRODUCT(1+P5:P$35)),4)</f>
        <v>1.7232</v>
      </c>
      <c r="AB5" s="172">
        <f>ROUND(SUMPRODUCT(PRODUCT(1+Q5:Q$35)),4)</f>
        <v>1.4529</v>
      </c>
      <c r="AD5" s="187">
        <f>ROUND(AVERAGE(I5:I$36)/100,4)</f>
        <v>0.0166</v>
      </c>
      <c r="AE5" s="187">
        <f>ROUND(AVERAGE(J5:J$36)/100,4)</f>
        <v>0.0105</v>
      </c>
      <c r="AF5" s="187">
        <f t="shared" ref="AF5" si="12">AE5</f>
        <v>0.0105</v>
      </c>
      <c r="AG5" s="187">
        <f>ROUND(AVERAGE(K5:K$36)/100,4)</f>
        <v>0.0183</v>
      </c>
      <c r="AH5" s="187">
        <f>ROUND(AVERAGE(L5:L$36)/100,4)</f>
        <v>0.0122</v>
      </c>
    </row>
    <row r="6" s="77" customFormat="1" ht="14.45" customHeight="1" spans="1:34">
      <c r="A6" s="102" t="s">
        <v>2346</v>
      </c>
      <c r="B6" s="103">
        <f t="shared" ref="B6" si="13">B7*(1+N6)</f>
        <v>504.870728096156</v>
      </c>
      <c r="C6" s="103">
        <f t="shared" ref="C6" si="14">C7*(1+O6)</f>
        <v>351.71182348102</v>
      </c>
      <c r="D6" s="103">
        <f t="shared" ref="D6" si="15">C6</f>
        <v>351.71182348102</v>
      </c>
      <c r="E6" s="103">
        <f t="shared" ref="E6" si="16">E7*(1+P6)</f>
        <v>728.753508583608</v>
      </c>
      <c r="F6" s="103">
        <f t="shared" ref="F6" si="17">F7*(1+Q6)</f>
        <v>334.045939316737</v>
      </c>
      <c r="G6" s="100">
        <v>2021</v>
      </c>
      <c r="H6" s="104">
        <v>3</v>
      </c>
      <c r="I6" s="138">
        <v>0.47</v>
      </c>
      <c r="J6" s="138">
        <v>0.41</v>
      </c>
      <c r="K6" s="138">
        <v>0.48</v>
      </c>
      <c r="L6" s="139">
        <v>0.48</v>
      </c>
      <c r="M6" s="140"/>
      <c r="N6" s="141">
        <f t="shared" ref="N6" si="18">I6/100</f>
        <v>0.0047</v>
      </c>
      <c r="O6" s="142">
        <f t="shared" ref="O6" si="19">J6/100</f>
        <v>0.0041</v>
      </c>
      <c r="P6" s="142">
        <f t="shared" ref="P6" si="20">K6/100</f>
        <v>0.0048</v>
      </c>
      <c r="Q6" s="142">
        <f t="shared" ref="Q6" si="21">L6/100</f>
        <v>0.0048</v>
      </c>
      <c r="R6" s="140"/>
      <c r="S6" s="141"/>
      <c r="T6" s="142"/>
      <c r="U6" s="142"/>
      <c r="V6" s="142"/>
      <c r="W6" s="140"/>
      <c r="X6" s="140">
        <f>ROUND(SUMPRODUCT(PRODUCT(1+N6:N$35)),4)</f>
        <v>1.6416</v>
      </c>
      <c r="Y6" s="140">
        <f>ROUND(SUMPRODUCT(PRODUCT(1+O6:O$35)),4)</f>
        <v>1.3644</v>
      </c>
      <c r="Z6" s="140">
        <f t="shared" ref="Z6" si="22">Y6</f>
        <v>1.3644</v>
      </c>
      <c r="AA6" s="140">
        <f>ROUND(SUMPRODUCT(PRODUCT(1+P6:P$35)),4)</f>
        <v>1.7232</v>
      </c>
      <c r="AB6" s="140">
        <f>ROUND(SUMPRODUCT(PRODUCT(1+Q6:Q$35)),4)</f>
        <v>1.4529</v>
      </c>
      <c r="AC6" s="140"/>
      <c r="AD6" s="142">
        <f>ROUND(AVERAGE(I6:I$36)/100,4)</f>
        <v>0.0172</v>
      </c>
      <c r="AE6" s="142">
        <f>ROUND(AVERAGE(J6:J$36)/100,4)</f>
        <v>0.0109</v>
      </c>
      <c r="AF6" s="142">
        <f t="shared" ref="AF6" si="23">AE6</f>
        <v>0.0109</v>
      </c>
      <c r="AG6" s="142">
        <f>ROUND(AVERAGE(K6:K$36)/100,4)</f>
        <v>0.0189</v>
      </c>
      <c r="AH6" s="142">
        <f>ROUND(AVERAGE(L6:L$36)/100,4)</f>
        <v>0.0126</v>
      </c>
    </row>
    <row r="7" s="77" customFormat="1" ht="14.45" customHeight="1" spans="1:34">
      <c r="A7" s="102" t="s">
        <v>2347</v>
      </c>
      <c r="B7" s="103">
        <f t="shared" ref="B7" si="24">B8*(1+N7)</f>
        <v>502.508936096502</v>
      </c>
      <c r="C7" s="103">
        <f t="shared" ref="C7" si="25">C8*(1+O7)</f>
        <v>350.275693139149</v>
      </c>
      <c r="D7" s="103">
        <f t="shared" ref="D7" si="26">C7</f>
        <v>350.275693139149</v>
      </c>
      <c r="E7" s="103">
        <f t="shared" ref="E7" si="27">E8*(1+P7)</f>
        <v>725.272202013941</v>
      </c>
      <c r="F7" s="103">
        <f t="shared" ref="F7" si="28">F8*(1+Q7)</f>
        <v>332.450178460128</v>
      </c>
      <c r="G7" s="100">
        <v>2021</v>
      </c>
      <c r="H7" s="104">
        <v>2</v>
      </c>
      <c r="I7" s="138">
        <v>0.92</v>
      </c>
      <c r="J7" s="138">
        <v>0.72</v>
      </c>
      <c r="K7" s="138">
        <v>0.95</v>
      </c>
      <c r="L7" s="139">
        <v>1.01</v>
      </c>
      <c r="M7" s="140"/>
      <c r="N7" s="141">
        <f t="shared" ref="N7" si="29">I7/100</f>
        <v>0.0092</v>
      </c>
      <c r="O7" s="142">
        <f t="shared" ref="O7" si="30">J7/100</f>
        <v>0.0072</v>
      </c>
      <c r="P7" s="142">
        <f t="shared" ref="P7" si="31">K7/100</f>
        <v>0.0095</v>
      </c>
      <c r="Q7" s="142">
        <f t="shared" ref="Q7" si="32">L7/100</f>
        <v>0.0101</v>
      </c>
      <c r="R7" s="140"/>
      <c r="S7" s="141"/>
      <c r="T7" s="142"/>
      <c r="U7" s="142"/>
      <c r="V7" s="142"/>
      <c r="W7" s="140"/>
      <c r="X7" s="140">
        <f>ROUND(SUMPRODUCT(PRODUCT(1+N7:N$35)),4)</f>
        <v>1.6339</v>
      </c>
      <c r="Y7" s="140">
        <f>ROUND(SUMPRODUCT(PRODUCT(1+O7:O$35)),4)</f>
        <v>1.3588</v>
      </c>
      <c r="Z7" s="140">
        <f t="shared" ref="Z7" si="33">Y7</f>
        <v>1.3588</v>
      </c>
      <c r="AA7" s="140">
        <f>ROUND(SUMPRODUCT(PRODUCT(1+P7:P$35)),4)</f>
        <v>1.715</v>
      </c>
      <c r="AB7" s="140">
        <f>ROUND(SUMPRODUCT(PRODUCT(1+Q7:Q$35)),4)</f>
        <v>1.446</v>
      </c>
      <c r="AC7" s="140"/>
      <c r="AD7" s="142">
        <f>ROUND(AVERAGE(I7:I$36)/100,4)</f>
        <v>0.0176</v>
      </c>
      <c r="AE7" s="142">
        <f>ROUND(AVERAGE(J7:J$36)/100,4)</f>
        <v>0.0111</v>
      </c>
      <c r="AF7" s="142">
        <f t="shared" ref="AF7" si="34">AE7</f>
        <v>0.0111</v>
      </c>
      <c r="AG7" s="142">
        <f>ROUND(AVERAGE(K7:K$36)/100,4)</f>
        <v>0.0194</v>
      </c>
      <c r="AH7" s="142">
        <f>ROUND(AVERAGE(L7:L$36)/100,4)</f>
        <v>0.0128</v>
      </c>
    </row>
    <row r="8" s="77" customFormat="1" ht="14.45" customHeight="1" spans="1:34">
      <c r="A8" s="102" t="s">
        <v>2348</v>
      </c>
      <c r="B8" s="103">
        <f t="shared" ref="B8" si="35">B9*(1+N8)</f>
        <v>497.927998510208</v>
      </c>
      <c r="C8" s="103">
        <f t="shared" ref="C8" si="36">C9*(1+O8)</f>
        <v>347.771736635374</v>
      </c>
      <c r="D8" s="103">
        <f t="shared" ref="D8" si="37">C8</f>
        <v>347.771736635374</v>
      </c>
      <c r="E8" s="103">
        <f t="shared" ref="E8" si="38">E9*(1+P8)</f>
        <v>718.446955932582</v>
      </c>
      <c r="F8" s="103">
        <f t="shared" ref="F8" si="39">F9*(1+Q8)</f>
        <v>329.126005801532</v>
      </c>
      <c r="G8" s="100">
        <v>2021</v>
      </c>
      <c r="H8" s="104">
        <v>1</v>
      </c>
      <c r="I8" s="138">
        <v>0.97</v>
      </c>
      <c r="J8" s="138">
        <v>0.16</v>
      </c>
      <c r="K8" s="138">
        <v>1.11</v>
      </c>
      <c r="L8" s="139">
        <v>0.36</v>
      </c>
      <c r="M8" s="140"/>
      <c r="N8" s="141">
        <f t="shared" ref="N8" si="40">I8/100</f>
        <v>0.0097</v>
      </c>
      <c r="O8" s="142">
        <f t="shared" ref="O8" si="41">J8/100</f>
        <v>0.0016</v>
      </c>
      <c r="P8" s="142">
        <f t="shared" ref="P8" si="42">K8/100</f>
        <v>0.0111</v>
      </c>
      <c r="Q8" s="142">
        <f t="shared" ref="Q8" si="43">L8/100</f>
        <v>0.0036</v>
      </c>
      <c r="R8" s="140"/>
      <c r="S8" s="141">
        <f>B8/B9-1</f>
        <v>0.00970000000000004</v>
      </c>
      <c r="T8" s="142">
        <f>C8/C9-1</f>
        <v>0.00160000000000005</v>
      </c>
      <c r="U8" s="142">
        <f>E8/E9-1</f>
        <v>0.0111000000000001</v>
      </c>
      <c r="V8" s="142">
        <f>F8/F9-1</f>
        <v>0.00360000000000005</v>
      </c>
      <c r="W8" s="140"/>
      <c r="X8" s="140">
        <f>ROUND(SUMPRODUCT(PRODUCT(1+N8:N$35)),4)</f>
        <v>1.619</v>
      </c>
      <c r="Y8" s="140">
        <f>ROUND(SUMPRODUCT(PRODUCT(1+O8:O$35)),4)</f>
        <v>1.3491</v>
      </c>
      <c r="Z8" s="140">
        <f t="shared" ref="Z8" si="44">Y8</f>
        <v>1.3491</v>
      </c>
      <c r="AA8" s="140">
        <f>ROUND(SUMPRODUCT(PRODUCT(1+P8:P$35)),4)</f>
        <v>1.6988</v>
      </c>
      <c r="AB8" s="140">
        <f>ROUND(SUMPRODUCT(PRODUCT(1+Q8:Q$35)),4)</f>
        <v>1.4315</v>
      </c>
      <c r="AC8" s="140"/>
      <c r="AD8" s="142">
        <f>ROUND(AVERAGE(I8:I$36)/100,4)</f>
        <v>0.0179</v>
      </c>
      <c r="AE8" s="142">
        <f>ROUND(AVERAGE(J8:J$36)/100,4)</f>
        <v>0.0112</v>
      </c>
      <c r="AF8" s="142">
        <f t="shared" ref="AF8" si="45">AE8</f>
        <v>0.0112</v>
      </c>
      <c r="AG8" s="142">
        <f>ROUND(AVERAGE(K8:K$36)/100,4)</f>
        <v>0.0197</v>
      </c>
      <c r="AH8" s="142">
        <f>ROUND(AVERAGE(L8:L$36)/100,4)</f>
        <v>0.0129</v>
      </c>
    </row>
    <row r="9" s="77" customFormat="1" ht="14.45" customHeight="1" spans="1:34">
      <c r="A9" s="102" t="s">
        <v>2349</v>
      </c>
      <c r="B9" s="103">
        <f t="shared" ref="B9" si="46">B10*(1+N9)</f>
        <v>493.144496890372</v>
      </c>
      <c r="C9" s="103">
        <f t="shared" ref="C9" si="47">C10*(1+O9)</f>
        <v>347.216190730206</v>
      </c>
      <c r="D9" s="103">
        <f t="shared" ref="D9" si="48">C9</f>
        <v>347.216190730206</v>
      </c>
      <c r="E9" s="103">
        <f t="shared" ref="E9" si="49">E10*(1+P9)</f>
        <v>710.559742787639</v>
      </c>
      <c r="F9" s="103">
        <f t="shared" ref="F9" si="50">F10*(1+Q9)</f>
        <v>327.945402353061</v>
      </c>
      <c r="G9" s="100">
        <v>2020</v>
      </c>
      <c r="H9" s="104">
        <v>4</v>
      </c>
      <c r="I9" s="104">
        <v>2.07</v>
      </c>
      <c r="J9" s="104">
        <v>0.37</v>
      </c>
      <c r="K9" s="104">
        <v>2.35</v>
      </c>
      <c r="L9" s="143">
        <v>2.69</v>
      </c>
      <c r="M9" s="140"/>
      <c r="N9" s="141">
        <f t="shared" ref="N9" si="51">I9/100</f>
        <v>0.0207</v>
      </c>
      <c r="O9" s="142">
        <f t="shared" ref="O9" si="52">J9/100</f>
        <v>0.0037</v>
      </c>
      <c r="P9" s="142">
        <f t="shared" ref="P9" si="53">K9/100</f>
        <v>0.0235</v>
      </c>
      <c r="Q9" s="142">
        <f t="shared" ref="Q9" si="54">L9/100</f>
        <v>0.0269</v>
      </c>
      <c r="R9" s="140"/>
      <c r="S9" s="141"/>
      <c r="T9" s="142"/>
      <c r="U9" s="142"/>
      <c r="V9" s="142"/>
      <c r="W9" s="140"/>
      <c r="X9" s="140">
        <f>ROUND(SUMPRODUCT(PRODUCT(1+N9:N$35)),4)</f>
        <v>1.6035</v>
      </c>
      <c r="Y9" s="140">
        <f>ROUND(SUMPRODUCT(PRODUCT(1+O9:O$35)),4)</f>
        <v>1.3469</v>
      </c>
      <c r="Z9" s="140">
        <f t="shared" ref="Z9" si="55">Y9</f>
        <v>1.3469</v>
      </c>
      <c r="AA9" s="140">
        <f>ROUND(SUMPRODUCT(PRODUCT(1+P9:P$35)),4)</f>
        <v>1.6802</v>
      </c>
      <c r="AB9" s="140">
        <f>ROUND(SUMPRODUCT(PRODUCT(1+Q9:Q$35)),4)</f>
        <v>1.4264</v>
      </c>
      <c r="AC9" s="140"/>
      <c r="AD9" s="142">
        <f>ROUND(AVERAGE(I9:I$36)/100,4)</f>
        <v>0.0182</v>
      </c>
      <c r="AE9" s="142">
        <f>ROUND(AVERAGE(J9:J$36)/100,4)</f>
        <v>0.0116</v>
      </c>
      <c r="AF9" s="142">
        <f t="shared" ref="AF9" si="56">AE9</f>
        <v>0.0116</v>
      </c>
      <c r="AG9" s="142">
        <f>ROUND(AVERAGE(K9:K$36)/100,4)</f>
        <v>0.02</v>
      </c>
      <c r="AH9" s="142">
        <f>ROUND(AVERAGE(L9:L$36)/100,4)</f>
        <v>0.0133</v>
      </c>
    </row>
    <row r="10" s="77" customFormat="1" ht="14.45" customHeight="1" spans="1:34">
      <c r="A10" s="102" t="s">
        <v>2350</v>
      </c>
      <c r="B10" s="103">
        <f t="shared" ref="B10" si="57">B11*(1+N10)</f>
        <v>483.143427932176</v>
      </c>
      <c r="C10" s="103">
        <f t="shared" ref="C10" si="58">C11*(1+O10)</f>
        <v>345.936226691448</v>
      </c>
      <c r="D10" s="103">
        <f t="shared" ref="D10" si="59">C10</f>
        <v>345.936226691448</v>
      </c>
      <c r="E10" s="103">
        <f t="shared" ref="E10" si="60">E11*(1+P10)</f>
        <v>694.244985625441</v>
      </c>
      <c r="F10" s="103">
        <f t="shared" ref="F10" si="61">F11*(1+Q10)</f>
        <v>319.354759327161</v>
      </c>
      <c r="G10" s="100">
        <v>2020</v>
      </c>
      <c r="H10" s="104">
        <v>3</v>
      </c>
      <c r="I10" s="104">
        <v>0.36</v>
      </c>
      <c r="J10" s="104">
        <v>-0.39</v>
      </c>
      <c r="K10" s="104">
        <v>0.49</v>
      </c>
      <c r="L10" s="143">
        <v>0.07</v>
      </c>
      <c r="M10" s="140"/>
      <c r="N10" s="141">
        <f t="shared" ref="N10" si="62">I10/100</f>
        <v>0.0036</v>
      </c>
      <c r="O10" s="142">
        <f t="shared" ref="O10" si="63">J10/100</f>
        <v>-0.0039</v>
      </c>
      <c r="P10" s="142">
        <f t="shared" ref="P10" si="64">K10/100</f>
        <v>0.0049</v>
      </c>
      <c r="Q10" s="142">
        <f t="shared" ref="Q10" si="65">L10/100</f>
        <v>0.0007</v>
      </c>
      <c r="R10" s="140"/>
      <c r="S10" s="141"/>
      <c r="T10" s="142"/>
      <c r="U10" s="142"/>
      <c r="V10" s="142"/>
      <c r="W10" s="140"/>
      <c r="X10" s="140">
        <f>ROUND(SUMPRODUCT(PRODUCT(1+N10:N$35)),4)</f>
        <v>1.571</v>
      </c>
      <c r="Y10" s="140">
        <f>ROUND(SUMPRODUCT(PRODUCT(1+O10:O$35)),4)</f>
        <v>1.342</v>
      </c>
      <c r="Z10" s="140">
        <f t="shared" ref="Z10" si="66">Y10</f>
        <v>1.342</v>
      </c>
      <c r="AA10" s="140">
        <f>ROUND(SUMPRODUCT(PRODUCT(1+P10:P$35)),4)</f>
        <v>1.6416</v>
      </c>
      <c r="AB10" s="140">
        <f>ROUND(SUMPRODUCT(PRODUCT(1+Q10:Q$35)),4)</f>
        <v>1.389</v>
      </c>
      <c r="AC10" s="140"/>
      <c r="AD10" s="142">
        <f>ROUND(AVERAGE(I10:I$36)/100,4)</f>
        <v>0.0181</v>
      </c>
      <c r="AE10" s="142">
        <f>ROUND(AVERAGE(J10:J$36)/100,4)</f>
        <v>0.0119</v>
      </c>
      <c r="AF10" s="142">
        <f t="shared" ref="AF10" si="67">AE10</f>
        <v>0.0119</v>
      </c>
      <c r="AG10" s="142">
        <f>ROUND(AVERAGE(K10:K$36)/100,4)</f>
        <v>0.0199</v>
      </c>
      <c r="AH10" s="142">
        <f>ROUND(AVERAGE(L10:L$36)/100,4)</f>
        <v>0.0128</v>
      </c>
    </row>
    <row r="11" s="77" customFormat="1" ht="14.45" customHeight="1" spans="1:34">
      <c r="A11" s="102" t="s">
        <v>2351</v>
      </c>
      <c r="B11" s="103">
        <f t="shared" ref="B11" si="68">B12*(1+N11)</f>
        <v>481.410350669764</v>
      </c>
      <c r="C11" s="103">
        <f t="shared" ref="C11" si="69">C12*(1+O11)</f>
        <v>347.290660266487</v>
      </c>
      <c r="D11" s="103">
        <f t="shared" ref="D11" si="70">C11</f>
        <v>347.290660266487</v>
      </c>
      <c r="E11" s="103">
        <f t="shared" ref="E11" si="71">E12*(1+P11)</f>
        <v>690.85977273902</v>
      </c>
      <c r="F11" s="103">
        <f t="shared" ref="F11" si="72">F12*(1+Q11)</f>
        <v>319.131367370002</v>
      </c>
      <c r="G11" s="100">
        <v>2020</v>
      </c>
      <c r="H11" s="104">
        <v>2</v>
      </c>
      <c r="I11" s="104">
        <v>0.31</v>
      </c>
      <c r="J11" s="104">
        <v>-0.78</v>
      </c>
      <c r="K11" s="104">
        <v>0.5</v>
      </c>
      <c r="L11" s="143">
        <v>0.47</v>
      </c>
      <c r="M11" s="140"/>
      <c r="N11" s="141">
        <f t="shared" ref="N11" si="73">I11/100</f>
        <v>0.0031</v>
      </c>
      <c r="O11" s="142">
        <f t="shared" ref="O11" si="74">J11/100</f>
        <v>-0.0078</v>
      </c>
      <c r="P11" s="142">
        <f t="shared" ref="P11" si="75">K11/100</f>
        <v>0.005</v>
      </c>
      <c r="Q11" s="142">
        <f t="shared" ref="Q11" si="76">L11/100</f>
        <v>0.0047</v>
      </c>
      <c r="R11" s="140"/>
      <c r="S11" s="141"/>
      <c r="T11" s="142"/>
      <c r="U11" s="142"/>
      <c r="V11" s="142"/>
      <c r="W11" s="140"/>
      <c r="X11" s="140">
        <f>ROUND(SUMPRODUCT(PRODUCT(1+N11:N$35)),4)</f>
        <v>1.5653</v>
      </c>
      <c r="Y11" s="140">
        <f>ROUND(SUMPRODUCT(PRODUCT(1+O11:O$35)),4)</f>
        <v>1.3472</v>
      </c>
      <c r="Z11" s="140">
        <f t="shared" ref="Z11" si="77">Y11</f>
        <v>1.3472</v>
      </c>
      <c r="AA11" s="140">
        <f>ROUND(SUMPRODUCT(PRODUCT(1+P11:P$35)),4)</f>
        <v>1.6336</v>
      </c>
      <c r="AB11" s="140">
        <f>ROUND(SUMPRODUCT(PRODUCT(1+Q11:Q$35)),4)</f>
        <v>1.3881</v>
      </c>
      <c r="AC11" s="140"/>
      <c r="AD11" s="142">
        <f>ROUND(AVERAGE(I11:I$36)/100,4)</f>
        <v>0.0186</v>
      </c>
      <c r="AE11" s="142">
        <f>ROUND(AVERAGE(J11:J$36)/100,4)</f>
        <v>0.0125</v>
      </c>
      <c r="AF11" s="142">
        <f t="shared" ref="AF11" si="78">AE11</f>
        <v>0.0125</v>
      </c>
      <c r="AG11" s="142">
        <f>ROUND(AVERAGE(K11:K$36)/100,4)</f>
        <v>0.0204</v>
      </c>
      <c r="AH11" s="142">
        <f>ROUND(AVERAGE(L11:L$36)/100,4)</f>
        <v>0.0132</v>
      </c>
    </row>
    <row r="12" s="77" customFormat="1" ht="14.45" customHeight="1" spans="1:34">
      <c r="A12" s="102" t="s">
        <v>2352</v>
      </c>
      <c r="B12" s="103">
        <f t="shared" ref="B12" si="79">B13*(1+N12)</f>
        <v>479.922590638784</v>
      </c>
      <c r="C12" s="103">
        <f t="shared" ref="C12" si="80">C13*(1+O12)</f>
        <v>350.020822683418</v>
      </c>
      <c r="D12" s="103">
        <f t="shared" ref="D12" si="81">C12</f>
        <v>350.020822683418</v>
      </c>
      <c r="E12" s="103">
        <f t="shared" ref="E12" si="82">E13*(1+P12)</f>
        <v>687.422659441811</v>
      </c>
      <c r="F12" s="103">
        <f t="shared" ref="F12" si="83">F13*(1+Q12)</f>
        <v>317.63846657709</v>
      </c>
      <c r="G12" s="100">
        <v>2020</v>
      </c>
      <c r="H12" s="104">
        <v>1</v>
      </c>
      <c r="I12" s="104">
        <v>0.12</v>
      </c>
      <c r="J12" s="104">
        <v>-0.4</v>
      </c>
      <c r="K12" s="104">
        <v>0.21</v>
      </c>
      <c r="L12" s="143">
        <v>0.27</v>
      </c>
      <c r="M12" s="140"/>
      <c r="N12" s="141">
        <f t="shared" ref="N12" si="84">I12/100</f>
        <v>0.0012</v>
      </c>
      <c r="O12" s="142">
        <f t="shared" ref="O12" si="85">J12/100</f>
        <v>-0.004</v>
      </c>
      <c r="P12" s="142">
        <f t="shared" ref="P12" si="86">K12/100</f>
        <v>0.0021</v>
      </c>
      <c r="Q12" s="142">
        <f t="shared" ref="Q12" si="87">L12/100</f>
        <v>0.0027</v>
      </c>
      <c r="R12" s="140"/>
      <c r="S12" s="141">
        <f>B12/B13-1</f>
        <v>0.00120000000000009</v>
      </c>
      <c r="T12" s="142">
        <f>C12/C13-1</f>
        <v>-0.004</v>
      </c>
      <c r="U12" s="142">
        <f>E12/E13-1</f>
        <v>0.00209999999999999</v>
      </c>
      <c r="V12" s="142">
        <f>F12/F13-1</f>
        <v>0.00269999999999992</v>
      </c>
      <c r="W12" s="140"/>
      <c r="X12" s="140">
        <f>ROUND(SUMPRODUCT(PRODUCT(1+N12:N$35)),4)</f>
        <v>1.5605</v>
      </c>
      <c r="Y12" s="140">
        <f>ROUND(SUMPRODUCT(PRODUCT(1+O12:O$35)),4)</f>
        <v>1.3578</v>
      </c>
      <c r="Z12" s="140">
        <f t="shared" ref="Z12" si="88">Y12</f>
        <v>1.3578</v>
      </c>
      <c r="AA12" s="140">
        <f>ROUND(SUMPRODUCT(PRODUCT(1+P12:P$35)),4)</f>
        <v>1.6255</v>
      </c>
      <c r="AB12" s="140">
        <f>ROUND(SUMPRODUCT(PRODUCT(1+Q12:Q$35)),4)</f>
        <v>1.3816</v>
      </c>
      <c r="AC12" s="140"/>
      <c r="AD12" s="142">
        <f>ROUND(AVERAGE(I12:I$36)/100,4)</f>
        <v>0.0192</v>
      </c>
      <c r="AE12" s="142">
        <f>ROUND(AVERAGE(J12:J$36)/100,4)</f>
        <v>0.0133</v>
      </c>
      <c r="AF12" s="142">
        <f t="shared" ref="AF12" si="89">AE12</f>
        <v>0.0133</v>
      </c>
      <c r="AG12" s="142">
        <f>ROUND(AVERAGE(K12:K$36)/100,4)</f>
        <v>0.0211</v>
      </c>
      <c r="AH12" s="142">
        <f>ROUND(AVERAGE(L12:L$36)/100,4)</f>
        <v>0.0136</v>
      </c>
    </row>
    <row r="13" s="77" customFormat="1" ht="14.45" customHeight="1" spans="1:34">
      <c r="A13" s="102" t="s">
        <v>2353</v>
      </c>
      <c r="B13" s="103">
        <f t="shared" ref="B13:B18" si="90">B14*(1+N13)</f>
        <v>479.347373790236</v>
      </c>
      <c r="C13" s="103">
        <f t="shared" ref="C13" si="91">C14*(1+O13)</f>
        <v>351.426528798612</v>
      </c>
      <c r="D13" s="103">
        <f t="shared" ref="D13" si="92">C13</f>
        <v>351.426528798612</v>
      </c>
      <c r="E13" s="103">
        <f t="shared" ref="E13" si="93">E14*(1+P13)</f>
        <v>685.982097038031</v>
      </c>
      <c r="F13" s="103">
        <f t="shared" ref="F13" si="94">F14*(1+Q13)</f>
        <v>316.78315206651</v>
      </c>
      <c r="G13" s="100">
        <v>2019</v>
      </c>
      <c r="H13" s="104">
        <v>4</v>
      </c>
      <c r="I13" s="104">
        <v>0.45</v>
      </c>
      <c r="J13" s="104">
        <v>-0.12</v>
      </c>
      <c r="K13" s="104">
        <v>0.54</v>
      </c>
      <c r="L13" s="143">
        <v>0.48</v>
      </c>
      <c r="M13" s="140"/>
      <c r="N13" s="141">
        <f t="shared" ref="N13:N18" si="95">I13/100</f>
        <v>0.0045</v>
      </c>
      <c r="O13" s="142">
        <f t="shared" ref="O13" si="96">J13/100</f>
        <v>-0.0012</v>
      </c>
      <c r="P13" s="142">
        <f t="shared" ref="P13" si="97">K13/100</f>
        <v>0.0054</v>
      </c>
      <c r="Q13" s="142">
        <f t="shared" ref="Q13" si="98">L13/100</f>
        <v>0.0048</v>
      </c>
      <c r="R13" s="140"/>
      <c r="S13" s="141"/>
      <c r="T13" s="142"/>
      <c r="U13" s="142"/>
      <c r="V13" s="142"/>
      <c r="W13" s="140"/>
      <c r="X13" s="140">
        <f>ROUND(SUMPRODUCT(PRODUCT(1+N13:N$35)),4)</f>
        <v>1.5586</v>
      </c>
      <c r="Y13" s="140">
        <f>ROUND(SUMPRODUCT(PRODUCT(1+O13:O$35)),4)</f>
        <v>1.3633</v>
      </c>
      <c r="Z13" s="140">
        <f t="shared" ref="Z13" si="99">Y13</f>
        <v>1.3633</v>
      </c>
      <c r="AA13" s="140">
        <f>ROUND(SUMPRODUCT(PRODUCT(1+P13:P$35)),4)</f>
        <v>1.6221</v>
      </c>
      <c r="AB13" s="140">
        <f>ROUND(SUMPRODUCT(PRODUCT(1+Q13:Q$35)),4)</f>
        <v>1.3778</v>
      </c>
      <c r="AC13" s="140"/>
      <c r="AD13" s="142">
        <f>ROUND(AVERAGE(I13:I$36)/100,4)</f>
        <v>0.02</v>
      </c>
      <c r="AE13" s="142">
        <f>ROUND(AVERAGE(J13:J$36)/100,4)</f>
        <v>0.014</v>
      </c>
      <c r="AF13" s="142">
        <f t="shared" ref="AF13" si="100">AE13</f>
        <v>0.014</v>
      </c>
      <c r="AG13" s="142">
        <f>ROUND(AVERAGE(K13:K$36)/100,4)</f>
        <v>0.0219</v>
      </c>
      <c r="AH13" s="142">
        <f>ROUND(AVERAGE(L13:L$36)/100,4)</f>
        <v>0.014</v>
      </c>
    </row>
    <row r="14" s="77" customFormat="1" ht="14.45" customHeight="1" spans="1:34">
      <c r="A14" s="102" t="s">
        <v>2354</v>
      </c>
      <c r="B14" s="103">
        <f t="shared" si="90"/>
        <v>477.199973907651</v>
      </c>
      <c r="C14" s="103">
        <f t="shared" ref="C14" si="101">C15*(1+O14)</f>
        <v>351.848747295367</v>
      </c>
      <c r="D14" s="103">
        <f t="shared" ref="D14" si="102">C14</f>
        <v>351.848747295367</v>
      </c>
      <c r="E14" s="103">
        <f t="shared" ref="E14" si="103">E15*(1+P14)</f>
        <v>682.297689514652</v>
      </c>
      <c r="F14" s="103">
        <f t="shared" ref="F14" si="104">F15*(1+Q14)</f>
        <v>315.26985675409</v>
      </c>
      <c r="G14" s="100">
        <v>2019</v>
      </c>
      <c r="H14" s="104">
        <v>3</v>
      </c>
      <c r="I14" s="104">
        <v>0.61</v>
      </c>
      <c r="J14" s="104">
        <v>0.67</v>
      </c>
      <c r="K14" s="104">
        <v>0.6</v>
      </c>
      <c r="L14" s="143">
        <v>1.03</v>
      </c>
      <c r="M14" s="140"/>
      <c r="N14" s="141">
        <f t="shared" si="95"/>
        <v>0.0061</v>
      </c>
      <c r="O14" s="142">
        <f t="shared" ref="O14" si="105">J14/100</f>
        <v>0.0067</v>
      </c>
      <c r="P14" s="142">
        <f t="shared" ref="P14" si="106">K14/100</f>
        <v>0.006</v>
      </c>
      <c r="Q14" s="142">
        <f t="shared" ref="Q14" si="107">L14/100</f>
        <v>0.0103</v>
      </c>
      <c r="R14" s="140"/>
      <c r="S14" s="141"/>
      <c r="T14" s="142"/>
      <c r="U14" s="142"/>
      <c r="V14" s="142"/>
      <c r="W14" s="140"/>
      <c r="X14" s="140">
        <f>ROUND(SUMPRODUCT(PRODUCT(1+N14:N$35)),4)</f>
        <v>1.5516</v>
      </c>
      <c r="Y14" s="140">
        <f>ROUND(SUMPRODUCT(PRODUCT(1+O14:O$35)),4)</f>
        <v>1.3649</v>
      </c>
      <c r="Z14" s="140">
        <f t="shared" ref="Z14" si="108">Y14</f>
        <v>1.3649</v>
      </c>
      <c r="AA14" s="140">
        <f>ROUND(SUMPRODUCT(PRODUCT(1+P14:P$35)),4)</f>
        <v>1.6134</v>
      </c>
      <c r="AB14" s="140">
        <f>ROUND(SUMPRODUCT(PRODUCT(1+Q14:Q$35)),4)</f>
        <v>1.3713</v>
      </c>
      <c r="AC14" s="140"/>
      <c r="AD14" s="142">
        <f>ROUND(AVERAGE(I14:I$36)/100,4)</f>
        <v>0.0207</v>
      </c>
      <c r="AE14" s="142">
        <f>ROUND(AVERAGE(J14:J$36)/100,4)</f>
        <v>0.0147</v>
      </c>
      <c r="AF14" s="142">
        <f t="shared" ref="AF14" si="109">AE14</f>
        <v>0.0147</v>
      </c>
      <c r="AG14" s="142">
        <f>ROUND(AVERAGE(K14:K$36)/100,4)</f>
        <v>0.0226</v>
      </c>
      <c r="AH14" s="142">
        <f>ROUND(AVERAGE(L14:L$36)/100,4)</f>
        <v>0.0144</v>
      </c>
    </row>
    <row r="15" s="77" customFormat="1" ht="14.45" customHeight="1" spans="1:34">
      <c r="A15" s="102" t="s">
        <v>2355</v>
      </c>
      <c r="B15" s="103">
        <f t="shared" si="90"/>
        <v>474.306703019234</v>
      </c>
      <c r="C15" s="103">
        <f t="shared" ref="C15" si="110">C16*(1+O15)</f>
        <v>349.507050059965</v>
      </c>
      <c r="D15" s="103">
        <f t="shared" ref="D15" si="111">C15</f>
        <v>349.507050059965</v>
      </c>
      <c r="E15" s="103">
        <f t="shared" ref="E15" si="112">E16*(1+P15)</f>
        <v>678.22831959707</v>
      </c>
      <c r="F15" s="103">
        <f t="shared" ref="F15" si="113">F16*(1+Q15)</f>
        <v>312.055683216956</v>
      </c>
      <c r="G15" s="100">
        <v>2019</v>
      </c>
      <c r="H15" s="105">
        <v>2</v>
      </c>
      <c r="I15" s="105">
        <v>1.53</v>
      </c>
      <c r="J15" s="105">
        <v>1.01</v>
      </c>
      <c r="K15" s="105">
        <v>1.62</v>
      </c>
      <c r="L15" s="144">
        <v>1.25</v>
      </c>
      <c r="M15" s="140"/>
      <c r="N15" s="141">
        <f t="shared" si="95"/>
        <v>0.0153</v>
      </c>
      <c r="O15" s="142">
        <f t="shared" ref="O15" si="114">J15/100</f>
        <v>0.0101</v>
      </c>
      <c r="P15" s="142">
        <f t="shared" ref="P15" si="115">K15/100</f>
        <v>0.0162</v>
      </c>
      <c r="Q15" s="142">
        <f t="shared" ref="Q15" si="116">L15/100</f>
        <v>0.0125</v>
      </c>
      <c r="R15" s="140"/>
      <c r="S15" s="141"/>
      <c r="T15" s="142"/>
      <c r="U15" s="142"/>
      <c r="V15" s="142"/>
      <c r="W15" s="140"/>
      <c r="X15" s="140">
        <f>ROUND(SUMPRODUCT(PRODUCT(1+N15:N$35)),4)</f>
        <v>1.5422</v>
      </c>
      <c r="Y15" s="140">
        <f>ROUND(SUMPRODUCT(PRODUCT(1+O15:O$35)),4)</f>
        <v>1.3558</v>
      </c>
      <c r="Z15" s="140">
        <f t="shared" ref="Z15" si="117">Y15</f>
        <v>1.3558</v>
      </c>
      <c r="AA15" s="140">
        <f>ROUND(SUMPRODUCT(PRODUCT(1+P15:P$35)),4)</f>
        <v>1.6037</v>
      </c>
      <c r="AB15" s="140">
        <f>ROUND(SUMPRODUCT(PRODUCT(1+Q15:Q$35)),4)</f>
        <v>1.3573</v>
      </c>
      <c r="AC15" s="140"/>
      <c r="AD15" s="142">
        <f>ROUND(AVERAGE(I15:I$36)/100,4)</f>
        <v>0.0213</v>
      </c>
      <c r="AE15" s="142">
        <f>ROUND(AVERAGE(J15:J$36)/100,4)</f>
        <v>0.015</v>
      </c>
      <c r="AF15" s="142">
        <f t="shared" ref="AF15" si="118">AE15</f>
        <v>0.015</v>
      </c>
      <c r="AG15" s="142">
        <f>ROUND(AVERAGE(K15:K$36)/100,4)</f>
        <v>0.0233</v>
      </c>
      <c r="AH15" s="142">
        <f>ROUND(AVERAGE(L15:L$36)/100,4)</f>
        <v>0.0146</v>
      </c>
    </row>
    <row r="16" s="77" customFormat="1" ht="14.45" customHeight="1" spans="1:34">
      <c r="A16" s="102" t="s">
        <v>2356</v>
      </c>
      <c r="B16" s="103">
        <f t="shared" si="90"/>
        <v>467.159167752619</v>
      </c>
      <c r="C16" s="103">
        <f t="shared" ref="C16" si="119">C17*(1+O16)</f>
        <v>346.012325571691</v>
      </c>
      <c r="D16" s="103">
        <f t="shared" ref="D16" si="120">C16</f>
        <v>346.012325571691</v>
      </c>
      <c r="E16" s="103">
        <f t="shared" ref="E16" si="121">E17*(1+P16)</f>
        <v>667.416177521226</v>
      </c>
      <c r="F16" s="103">
        <f t="shared" ref="F16" si="122">F17*(1+Q16)</f>
        <v>308.203143917981</v>
      </c>
      <c r="G16" s="100">
        <v>2019</v>
      </c>
      <c r="H16" s="104">
        <v>1</v>
      </c>
      <c r="I16" s="104">
        <v>0.6</v>
      </c>
      <c r="J16" s="104">
        <v>0.37</v>
      </c>
      <c r="K16" s="104">
        <v>0.63</v>
      </c>
      <c r="L16" s="143">
        <v>1.13</v>
      </c>
      <c r="M16" s="140"/>
      <c r="N16" s="141">
        <f t="shared" si="95"/>
        <v>0.006</v>
      </c>
      <c r="O16" s="142">
        <f t="shared" ref="O16" si="123">J16/100</f>
        <v>0.0037</v>
      </c>
      <c r="P16" s="142">
        <f t="shared" ref="P16" si="124">K16/100</f>
        <v>0.0063</v>
      </c>
      <c r="Q16" s="142">
        <f t="shared" ref="Q16" si="125">L16/100</f>
        <v>0.0113</v>
      </c>
      <c r="R16" s="140"/>
      <c r="S16" s="141">
        <f>B16/B17-1</f>
        <v>0.00600000000000001</v>
      </c>
      <c r="T16" s="142">
        <f>C16/C17-1</f>
        <v>0.00370000000000004</v>
      </c>
      <c r="U16" s="142">
        <f>E16/E17-1</f>
        <v>0.00629999999999997</v>
      </c>
      <c r="V16" s="142">
        <f>F16/F17-1</f>
        <v>0.0113000000000001</v>
      </c>
      <c r="W16" s="140"/>
      <c r="X16" s="140">
        <f>ROUND(SUMPRODUCT(PRODUCT(1+N16:N$35)),4)</f>
        <v>1.519</v>
      </c>
      <c r="Y16" s="140">
        <f>ROUND(SUMPRODUCT(PRODUCT(1+O16:O$35)),4)</f>
        <v>1.3423</v>
      </c>
      <c r="Z16" s="140">
        <f t="shared" ref="Z16" si="126">Y16</f>
        <v>1.3423</v>
      </c>
      <c r="AA16" s="140">
        <f>ROUND(SUMPRODUCT(PRODUCT(1+P16:P$35)),4)</f>
        <v>1.5782</v>
      </c>
      <c r="AB16" s="140">
        <f>ROUND(SUMPRODUCT(PRODUCT(1+Q16:Q$35)),4)</f>
        <v>1.3405</v>
      </c>
      <c r="AC16" s="140"/>
      <c r="AD16" s="142">
        <f>ROUND(AVERAGE(I16:I$36)/100,4)</f>
        <v>0.0216</v>
      </c>
      <c r="AE16" s="142">
        <f>ROUND(AVERAGE(J16:J$36)/100,4)</f>
        <v>0.0153</v>
      </c>
      <c r="AF16" s="142">
        <f t="shared" ref="AF16" si="127">AE16</f>
        <v>0.0153</v>
      </c>
      <c r="AG16" s="142">
        <f>ROUND(AVERAGE(K16:K$36)/100,4)</f>
        <v>0.0237</v>
      </c>
      <c r="AH16" s="142">
        <f>ROUND(AVERAGE(L16:L$36)/100,4)</f>
        <v>0.0147</v>
      </c>
    </row>
    <row r="17" spans="1:34">
      <c r="A17" s="102" t="s">
        <v>2357</v>
      </c>
      <c r="B17" s="106">
        <f t="shared" si="90"/>
        <v>464.372930171589</v>
      </c>
      <c r="C17" s="106">
        <f t="shared" ref="C17" si="128">C18*(1+O17)</f>
        <v>344.73679941386</v>
      </c>
      <c r="D17" s="106">
        <f t="shared" ref="D17" si="129">C17</f>
        <v>344.73679941386</v>
      </c>
      <c r="E17" s="106">
        <f t="shared" ref="E17" si="130">E18*(1+P17)</f>
        <v>663.237779510311</v>
      </c>
      <c r="F17" s="107">
        <f t="shared" ref="F17" si="131">F18*(1+Q17)</f>
        <v>304.759363114784</v>
      </c>
      <c r="G17" s="100">
        <v>2018</v>
      </c>
      <c r="H17" s="105">
        <v>4</v>
      </c>
      <c r="I17" s="105">
        <v>0.96</v>
      </c>
      <c r="J17" s="105">
        <v>1.03</v>
      </c>
      <c r="K17" s="105">
        <v>0.92</v>
      </c>
      <c r="L17" s="144">
        <v>1.29</v>
      </c>
      <c r="N17" s="145">
        <f t="shared" si="95"/>
        <v>0.0096</v>
      </c>
      <c r="O17" s="146">
        <f t="shared" ref="O17" si="132">J17/100</f>
        <v>0.0103</v>
      </c>
      <c r="P17" s="146">
        <f t="shared" ref="P17" si="133">K17/100</f>
        <v>0.0092</v>
      </c>
      <c r="Q17" s="146">
        <f t="shared" ref="Q17" si="134">L17/100</f>
        <v>0.0129</v>
      </c>
      <c r="R17" s="173"/>
      <c r="S17" s="174"/>
      <c r="T17" s="175"/>
      <c r="U17" s="175"/>
      <c r="V17" s="175"/>
      <c r="X17" s="82">
        <f>ROUND(SUMPRODUCT(PRODUCT(1+N17:N$35)),4)</f>
        <v>1.5099</v>
      </c>
      <c r="Y17" s="82">
        <f>ROUND(SUMPRODUCT(PRODUCT(1+O17:O$35)),4)</f>
        <v>1.3373</v>
      </c>
      <c r="Z17" s="82">
        <f t="shared" ref="Z17" si="135">Y17</f>
        <v>1.3373</v>
      </c>
      <c r="AA17" s="82">
        <f>ROUND(SUMPRODUCT(PRODUCT(1+P17:P$35)),4)</f>
        <v>1.5683</v>
      </c>
      <c r="AB17" s="82">
        <f>ROUND(SUMPRODUCT(PRODUCT(1+Q17:Q$35)),4)</f>
        <v>1.3256</v>
      </c>
      <c r="AD17" s="148">
        <f>ROUND(AVERAGE(I17:I$36)/100,4)</f>
        <v>0.0224</v>
      </c>
      <c r="AE17" s="148">
        <f>ROUND(AVERAGE(J17:J$36)/100,4)</f>
        <v>0.0158</v>
      </c>
      <c r="AF17" s="148">
        <f t="shared" ref="AF17" si="136">AE17</f>
        <v>0.0158</v>
      </c>
      <c r="AG17" s="148">
        <f>ROUND(AVERAGE(K17:K$36)/100,4)</f>
        <v>0.0245</v>
      </c>
      <c r="AH17" s="148">
        <f>ROUND(AVERAGE(L17:L$36)/100,4)</f>
        <v>0.0149</v>
      </c>
    </row>
    <row r="18" s="78" customFormat="1" ht="14.45" customHeight="1" spans="1:34">
      <c r="A18" s="102" t="s">
        <v>2358</v>
      </c>
      <c r="B18" s="108">
        <f t="shared" si="90"/>
        <v>459.95733971037</v>
      </c>
      <c r="C18" s="108">
        <f t="shared" ref="C18" si="137">C19*(1+O18)</f>
        <v>341.222210644224</v>
      </c>
      <c r="D18" s="108">
        <f t="shared" ref="D18" si="138">C18</f>
        <v>341.222210644224</v>
      </c>
      <c r="E18" s="108">
        <f t="shared" ref="E18" si="139">E19*(1+P18)</f>
        <v>657.191616637248</v>
      </c>
      <c r="F18" s="108">
        <f t="shared" ref="F18" si="140">F19*(1+Q18)</f>
        <v>300.878036444648</v>
      </c>
      <c r="G18" s="100"/>
      <c r="H18" s="104">
        <v>3</v>
      </c>
      <c r="I18" s="104">
        <v>1.51</v>
      </c>
      <c r="J18" s="104">
        <v>1.41</v>
      </c>
      <c r="K18" s="104">
        <v>1.52</v>
      </c>
      <c r="L18" s="143">
        <v>1.74</v>
      </c>
      <c r="M18" s="82"/>
      <c r="N18" s="147">
        <f t="shared" si="95"/>
        <v>0.0151</v>
      </c>
      <c r="O18" s="148">
        <f t="shared" ref="O18" si="141">J18/100</f>
        <v>0.0141</v>
      </c>
      <c r="P18" s="148">
        <f t="shared" ref="P18" si="142">K18/100</f>
        <v>0.0152</v>
      </c>
      <c r="Q18" s="148">
        <f t="shared" ref="Q18" si="143">L18/100</f>
        <v>0.0174</v>
      </c>
      <c r="R18" s="82"/>
      <c r="S18" s="147"/>
      <c r="T18" s="148"/>
      <c r="U18" s="148"/>
      <c r="V18" s="148"/>
      <c r="W18" s="82"/>
      <c r="X18" s="82">
        <f>ROUND(SUMPRODUCT(PRODUCT(1+N18:N$35)),4)</f>
        <v>1.4956</v>
      </c>
      <c r="Y18" s="82">
        <f>ROUND(SUMPRODUCT(PRODUCT(1+O18:O$35)),4)</f>
        <v>1.3237</v>
      </c>
      <c r="Z18" s="82">
        <f t="shared" ref="Z18" si="144">Y18</f>
        <v>1.3237</v>
      </c>
      <c r="AA18" s="82">
        <f>ROUND(SUMPRODUCT(PRODUCT(1+P18:P$35)),4)</f>
        <v>1.554</v>
      </c>
      <c r="AB18" s="82">
        <f>ROUND(SUMPRODUCT(PRODUCT(1+Q18:Q$35)),4)</f>
        <v>1.3087</v>
      </c>
      <c r="AC18" s="82"/>
      <c r="AD18" s="148">
        <f>ROUND(AVERAGE(I18:I$36)/100,4)</f>
        <v>0.0231</v>
      </c>
      <c r="AE18" s="148">
        <f>ROUND(AVERAGE(J18:J$36)/100,4)</f>
        <v>0.0161</v>
      </c>
      <c r="AF18" s="148">
        <f t="shared" ref="AF18" si="145">AE18</f>
        <v>0.0161</v>
      </c>
      <c r="AG18" s="148">
        <f>ROUND(AVERAGE(K18:K$36)/100,4)</f>
        <v>0.0253</v>
      </c>
      <c r="AH18" s="148">
        <f>ROUND(AVERAGE(L18:L$36)/100,4)</f>
        <v>0.015</v>
      </c>
    </row>
    <row r="19" s="78" customFormat="1" ht="14.45" customHeight="1" spans="1:34">
      <c r="A19" s="102" t="s">
        <v>2359</v>
      </c>
      <c r="B19" s="108">
        <f t="shared" ref="B19:B24" si="146">B20*(1+N19)</f>
        <v>453.1152987</v>
      </c>
      <c r="C19" s="108">
        <f t="shared" ref="C19" si="147">C20*(1+O19)</f>
        <v>336.47787264</v>
      </c>
      <c r="D19" s="108">
        <f t="shared" ref="D19" si="148">C19</f>
        <v>336.47787264</v>
      </c>
      <c r="E19" s="108">
        <f t="shared" ref="E19" si="149">E20*(1+P19)</f>
        <v>647.35186824</v>
      </c>
      <c r="F19" s="108">
        <f t="shared" ref="F19" si="150">F20*(1+Q19)</f>
        <v>295.73229452</v>
      </c>
      <c r="G19" s="100"/>
      <c r="H19" s="109">
        <v>2</v>
      </c>
      <c r="I19" s="109">
        <v>1.49</v>
      </c>
      <c r="J19" s="109">
        <v>0.96</v>
      </c>
      <c r="K19" s="109">
        <v>1.58</v>
      </c>
      <c r="L19" s="149">
        <v>2.44</v>
      </c>
      <c r="M19" s="82"/>
      <c r="N19" s="147">
        <f t="shared" ref="N19" si="151">I19/100</f>
        <v>0.0149</v>
      </c>
      <c r="O19" s="148">
        <f t="shared" ref="O19" si="152">J19/100</f>
        <v>0.0096</v>
      </c>
      <c r="P19" s="148">
        <f t="shared" ref="P19" si="153">K19/100</f>
        <v>0.0158</v>
      </c>
      <c r="Q19" s="148">
        <f t="shared" ref="Q19" si="154">L19/100</f>
        <v>0.0244</v>
      </c>
      <c r="R19" s="82"/>
      <c r="S19" s="147"/>
      <c r="T19" s="148"/>
      <c r="U19" s="148"/>
      <c r="V19" s="148"/>
      <c r="W19" s="82"/>
      <c r="X19" s="82">
        <f>ROUND(SUMPRODUCT(PRODUCT(1+N19:N$35)),4)</f>
        <v>1.4733</v>
      </c>
      <c r="Y19" s="82">
        <f>ROUND(SUMPRODUCT(PRODUCT(1+O19:O$35)),4)</f>
        <v>1.3053</v>
      </c>
      <c r="Z19" s="82">
        <f t="shared" ref="Z19" si="155">Y19</f>
        <v>1.3053</v>
      </c>
      <c r="AA19" s="82">
        <f>ROUND(SUMPRODUCT(PRODUCT(1+P19:P$35)),4)</f>
        <v>1.5307</v>
      </c>
      <c r="AB19" s="82">
        <f>ROUND(SUMPRODUCT(PRODUCT(1+Q19:Q$35)),4)</f>
        <v>1.2863</v>
      </c>
      <c r="AC19" s="82"/>
      <c r="AD19" s="148">
        <f>ROUND(AVERAGE(I19:I$36)/100,4)</f>
        <v>0.0235</v>
      </c>
      <c r="AE19" s="148">
        <f>ROUND(AVERAGE(J19:J$36)/100,4)</f>
        <v>0.0162</v>
      </c>
      <c r="AF19" s="148">
        <f t="shared" ref="AF19" si="156">AE19</f>
        <v>0.0162</v>
      </c>
      <c r="AG19" s="148">
        <f>ROUND(AVERAGE(K19:K$36)/100,4)</f>
        <v>0.0259</v>
      </c>
      <c r="AH19" s="148">
        <f>ROUND(AVERAGE(L19:L$36)/100,4)</f>
        <v>0.0149</v>
      </c>
    </row>
    <row r="20" s="78" customFormat="1" ht="15" customHeight="1" spans="1:34">
      <c r="A20" s="102" t="s">
        <v>2360</v>
      </c>
      <c r="B20" s="108">
        <f t="shared" si="146"/>
        <v>446.463</v>
      </c>
      <c r="C20" s="108">
        <f t="shared" ref="C20" si="157">C21*(1+O20)</f>
        <v>333.2784</v>
      </c>
      <c r="D20" s="108">
        <f t="shared" ref="D20:D25" si="158">C20</f>
        <v>333.2784</v>
      </c>
      <c r="E20" s="108">
        <f t="shared" ref="E20" si="159">E21*(1+P20)</f>
        <v>637.2828</v>
      </c>
      <c r="F20" s="108">
        <f t="shared" ref="F20" si="160">F21*(1+Q20)</f>
        <v>288.6883</v>
      </c>
      <c r="G20" s="110"/>
      <c r="H20" s="104">
        <v>1</v>
      </c>
      <c r="I20" s="104">
        <v>1.7</v>
      </c>
      <c r="J20" s="104">
        <v>1.92</v>
      </c>
      <c r="K20" s="104">
        <v>1.64</v>
      </c>
      <c r="L20" s="143">
        <v>2.01</v>
      </c>
      <c r="M20" s="82"/>
      <c r="N20" s="147">
        <f t="shared" ref="N20:N25" si="161">I20/100</f>
        <v>0.017</v>
      </c>
      <c r="O20" s="148">
        <f t="shared" ref="O20" si="162">J20/100</f>
        <v>0.0192</v>
      </c>
      <c r="P20" s="148">
        <f t="shared" ref="P20" si="163">K20/100</f>
        <v>0.0164</v>
      </c>
      <c r="Q20" s="148">
        <f t="shared" ref="Q20" si="164">L20/100</f>
        <v>0.0201</v>
      </c>
      <c r="R20" s="82"/>
      <c r="S20" s="151">
        <f>B20/B21-1</f>
        <v>0.0169999999999999</v>
      </c>
      <c r="T20" s="152">
        <f>C20/C21-1</f>
        <v>0.0192000000000001</v>
      </c>
      <c r="U20" s="152">
        <f>E20/E21-1</f>
        <v>0.0164</v>
      </c>
      <c r="V20" s="152">
        <f>F20/F21-1</f>
        <v>0.0201</v>
      </c>
      <c r="W20" s="82"/>
      <c r="X20" s="82">
        <f>ROUND(SUMPRODUCT(PRODUCT(1+N20:N$35)),4)</f>
        <v>1.4517</v>
      </c>
      <c r="Y20" s="82">
        <f>ROUND(SUMPRODUCT(PRODUCT(1+O20:O$35)),4)</f>
        <v>1.2929</v>
      </c>
      <c r="Z20" s="82">
        <f t="shared" ref="Z20" si="165">Y20</f>
        <v>1.2929</v>
      </c>
      <c r="AA20" s="82">
        <f>ROUND(SUMPRODUCT(PRODUCT(1+P20:P$35)),4)</f>
        <v>1.5069</v>
      </c>
      <c r="AB20" s="82">
        <f>ROUND(SUMPRODUCT(PRODUCT(1+Q20:Q$35)),4)</f>
        <v>1.2557</v>
      </c>
      <c r="AC20" s="82"/>
      <c r="AD20" s="148">
        <f>ROUND(AVERAGE(I20:I$36)/100,4)</f>
        <v>0.024</v>
      </c>
      <c r="AE20" s="148">
        <f>ROUND(AVERAGE(J20:J$36)/100,4)</f>
        <v>0.0166</v>
      </c>
      <c r="AF20" s="148">
        <f t="shared" ref="AF20" si="166">AE20</f>
        <v>0.0166</v>
      </c>
      <c r="AG20" s="148">
        <f>ROUND(AVERAGE(K20:K$36)/100,4)</f>
        <v>0.0265</v>
      </c>
      <c r="AH20" s="148">
        <f>ROUND(AVERAGE(L20:L$36)/100,4)</f>
        <v>0.0143</v>
      </c>
    </row>
    <row r="21" spans="1:34">
      <c r="A21" s="102" t="s">
        <v>2361</v>
      </c>
      <c r="B21" s="106">
        <v>439</v>
      </c>
      <c r="C21" s="106">
        <v>327</v>
      </c>
      <c r="D21" s="106">
        <f t="shared" si="158"/>
        <v>327</v>
      </c>
      <c r="E21" s="106">
        <v>627</v>
      </c>
      <c r="F21" s="107">
        <v>283</v>
      </c>
      <c r="G21" s="111">
        <v>2017</v>
      </c>
      <c r="H21" s="105">
        <v>4</v>
      </c>
      <c r="I21" s="105">
        <v>1.71</v>
      </c>
      <c r="J21" s="105">
        <v>1.78</v>
      </c>
      <c r="K21" s="105">
        <v>1.71</v>
      </c>
      <c r="L21" s="144">
        <v>1.43</v>
      </c>
      <c r="N21" s="145">
        <f t="shared" si="161"/>
        <v>0.0171</v>
      </c>
      <c r="O21" s="146">
        <f t="shared" ref="O21" si="167">J21/100</f>
        <v>0.0178</v>
      </c>
      <c r="P21" s="146">
        <f t="shared" ref="P21" si="168">K21/100</f>
        <v>0.0171</v>
      </c>
      <c r="Q21" s="146">
        <f t="shared" ref="Q21" si="169">L21/100</f>
        <v>0.0143</v>
      </c>
      <c r="R21" s="173"/>
      <c r="S21" s="174"/>
      <c r="T21" s="175"/>
      <c r="U21" s="175"/>
      <c r="V21" s="175"/>
      <c r="X21" s="82">
        <f>ROUND(SUMPRODUCT(PRODUCT(1+N21:N$35)),4)</f>
        <v>1.4274</v>
      </c>
      <c r="Y21" s="82">
        <f>ROUND(SUMPRODUCT(PRODUCT(1+O21:O$35)),4)</f>
        <v>1.2685</v>
      </c>
      <c r="Z21" s="82">
        <f t="shared" si="0"/>
        <v>1.2685</v>
      </c>
      <c r="AA21" s="82">
        <f>ROUND(SUMPRODUCT(PRODUCT(1+P21:P$35)),4)</f>
        <v>1.4826</v>
      </c>
      <c r="AB21" s="82">
        <f>ROUND(SUMPRODUCT(PRODUCT(1+Q21:Q$35)),4)</f>
        <v>1.2309</v>
      </c>
      <c r="AD21" s="148">
        <f>ROUND(AVERAGE(I21:I$36)/100,4)</f>
        <v>0.0245</v>
      </c>
      <c r="AE21" s="148">
        <f>ROUND(AVERAGE(J21:J$36)/100,4)</f>
        <v>0.0165</v>
      </c>
      <c r="AF21" s="148">
        <f t="shared" si="1"/>
        <v>0.0165</v>
      </c>
      <c r="AG21" s="148">
        <f>ROUND(AVERAGE(K21:K$36)/100,4)</f>
        <v>0.0271</v>
      </c>
      <c r="AH21" s="148">
        <f>ROUND(AVERAGE(L21:L$36)/100,4)</f>
        <v>0.0139</v>
      </c>
    </row>
    <row r="22" s="78" customFormat="1" ht="14.45" customHeight="1" spans="1:34">
      <c r="A22" s="102" t="s">
        <v>2362</v>
      </c>
      <c r="B22" s="108">
        <f t="shared" si="146"/>
        <v>431.8073081168</v>
      </c>
      <c r="C22" s="108">
        <f t="shared" ref="C22" si="170">C23*(1+O22)</f>
        <v>320.5788051648</v>
      </c>
      <c r="D22" s="108">
        <f t="shared" si="158"/>
        <v>320.5788051648</v>
      </c>
      <c r="E22" s="108">
        <f t="shared" ref="E22:F24" si="171">E23*(1+P22)</f>
        <v>615.961105531968</v>
      </c>
      <c r="F22" s="108">
        <f t="shared" si="171"/>
        <v>279.467773001088</v>
      </c>
      <c r="G22" s="100"/>
      <c r="H22" s="104">
        <v>3</v>
      </c>
      <c r="I22" s="104">
        <v>2.98</v>
      </c>
      <c r="J22" s="104">
        <v>2.11</v>
      </c>
      <c r="K22" s="104">
        <v>3.24</v>
      </c>
      <c r="L22" s="143">
        <v>1.72</v>
      </c>
      <c r="M22" s="82"/>
      <c r="N22" s="147">
        <f t="shared" si="161"/>
        <v>0.0298</v>
      </c>
      <c r="O22" s="150">
        <f t="shared" ref="O22" si="172">J22/100</f>
        <v>0.0211</v>
      </c>
      <c r="P22" s="150">
        <f t="shared" ref="P22" si="173">K22/100</f>
        <v>0.0324</v>
      </c>
      <c r="Q22" s="150">
        <f t="shared" ref="Q22" si="174">L22/100</f>
        <v>0.0172</v>
      </c>
      <c r="R22" s="82"/>
      <c r="S22" s="147"/>
      <c r="T22" s="148"/>
      <c r="U22" s="148"/>
      <c r="V22" s="148"/>
      <c r="W22" s="82"/>
      <c r="X22" s="82">
        <f>ROUND(SUMPRODUCT(PRODUCT(1+N22:N$35)),4)</f>
        <v>1.4034</v>
      </c>
      <c r="Y22" s="82">
        <f>ROUND(SUMPRODUCT(PRODUCT(1+O22:O$35)),4)</f>
        <v>1.2463</v>
      </c>
      <c r="Z22" s="82">
        <f t="shared" si="0"/>
        <v>1.2463</v>
      </c>
      <c r="AA22" s="82">
        <f>ROUND(SUMPRODUCT(PRODUCT(1+P22:P$35)),4)</f>
        <v>1.4577</v>
      </c>
      <c r="AB22" s="82">
        <f>ROUND(SUMPRODUCT(PRODUCT(1+Q22:Q$35)),4)</f>
        <v>1.2136</v>
      </c>
      <c r="AC22" s="82"/>
      <c r="AD22" s="148">
        <f>ROUND(AVERAGE(I22:I$36)/100,4)</f>
        <v>0.0249</v>
      </c>
      <c r="AE22" s="148">
        <f>ROUND(AVERAGE(J22:J$36)/100,4)</f>
        <v>0.0164</v>
      </c>
      <c r="AF22" s="148">
        <f t="shared" si="1"/>
        <v>0.0164</v>
      </c>
      <c r="AG22" s="148">
        <f>ROUND(AVERAGE(K22:K$36)/100,4)</f>
        <v>0.0278</v>
      </c>
      <c r="AH22" s="148">
        <f>ROUND(AVERAGE(L22:L$36)/100,4)</f>
        <v>0.0139</v>
      </c>
    </row>
    <row r="23" s="76" customFormat="1" ht="14.45" customHeight="1" spans="1:34">
      <c r="A23" s="102" t="s">
        <v>2363</v>
      </c>
      <c r="B23" s="108">
        <f t="shared" si="146"/>
        <v>419.311816</v>
      </c>
      <c r="C23" s="108">
        <f t="shared" ref="C23" si="175">C24*(1+O23)</f>
        <v>313.954368</v>
      </c>
      <c r="D23" s="108">
        <f t="shared" si="158"/>
        <v>313.954368</v>
      </c>
      <c r="E23" s="108">
        <f t="shared" si="171"/>
        <v>596.63028432</v>
      </c>
      <c r="F23" s="108">
        <f t="shared" si="171"/>
        <v>274.74220704</v>
      </c>
      <c r="G23" s="100"/>
      <c r="H23" s="109">
        <v>2</v>
      </c>
      <c r="I23" s="109">
        <v>3.4</v>
      </c>
      <c r="J23" s="109">
        <v>2</v>
      </c>
      <c r="K23" s="109">
        <v>3.82</v>
      </c>
      <c r="L23" s="149">
        <v>1.68</v>
      </c>
      <c r="M23" s="82"/>
      <c r="N23" s="147">
        <f t="shared" si="161"/>
        <v>0.034</v>
      </c>
      <c r="O23" s="150">
        <f t="shared" ref="O23" si="176">J23/100</f>
        <v>0.02</v>
      </c>
      <c r="P23" s="150">
        <f t="shared" ref="P23" si="177">K23/100</f>
        <v>0.0382</v>
      </c>
      <c r="Q23" s="150">
        <f t="shared" ref="Q23" si="178">L23/100</f>
        <v>0.0168</v>
      </c>
      <c r="R23" s="82"/>
      <c r="S23" s="147"/>
      <c r="T23" s="148"/>
      <c r="U23" s="148"/>
      <c r="V23" s="148"/>
      <c r="W23" s="82"/>
      <c r="X23" s="176">
        <f>ROUND(SUMPRODUCT(PRODUCT(1+N23:N$35)),4)</f>
        <v>1.3628</v>
      </c>
      <c r="Y23" s="176">
        <f>ROUND(SUMPRODUCT(PRODUCT(1+O23:O$35)),4)</f>
        <v>1.2206</v>
      </c>
      <c r="Z23" s="176">
        <f t="shared" si="0"/>
        <v>1.2206</v>
      </c>
      <c r="AA23" s="176">
        <f>ROUND(SUMPRODUCT(PRODUCT(1+P23:P$35)),4)</f>
        <v>1.4119</v>
      </c>
      <c r="AB23" s="176">
        <f>ROUND(SUMPRODUCT(PRODUCT(1+Q23:Q$35)),4)</f>
        <v>1.193</v>
      </c>
      <c r="AC23" s="75"/>
      <c r="AD23" s="188">
        <f>ROUND(AVERAGE(I23:I$36)/100,4)</f>
        <v>0.0246</v>
      </c>
      <c r="AE23" s="188">
        <f>ROUND(AVERAGE(J23:J$36)/100,4)</f>
        <v>0.016</v>
      </c>
      <c r="AF23" s="188">
        <f t="shared" si="1"/>
        <v>0.016</v>
      </c>
      <c r="AG23" s="188">
        <f>ROUND(AVERAGE(K23:K$36)/100,4)</f>
        <v>0.0275</v>
      </c>
      <c r="AH23" s="188">
        <f>ROUND(AVERAGE(L23:L$36)/100,4)</f>
        <v>0.0137</v>
      </c>
    </row>
    <row r="24" s="78" customFormat="1" ht="15" customHeight="1" spans="1:34">
      <c r="A24" s="102" t="s">
        <v>2364</v>
      </c>
      <c r="B24" s="108">
        <f t="shared" si="146"/>
        <v>405.524</v>
      </c>
      <c r="C24" s="108">
        <f t="shared" ref="C24" si="179">C25*(1+O24)</f>
        <v>307.7984</v>
      </c>
      <c r="D24" s="108">
        <f t="shared" si="158"/>
        <v>307.7984</v>
      </c>
      <c r="E24" s="108">
        <f t="shared" si="171"/>
        <v>574.6776</v>
      </c>
      <c r="F24" s="108">
        <f t="shared" si="171"/>
        <v>270.2028</v>
      </c>
      <c r="G24" s="110"/>
      <c r="H24" s="104">
        <v>1</v>
      </c>
      <c r="I24" s="104">
        <v>3.45</v>
      </c>
      <c r="J24" s="104">
        <v>1.92</v>
      </c>
      <c r="K24" s="104">
        <v>3.92</v>
      </c>
      <c r="L24" s="143">
        <v>1.58</v>
      </c>
      <c r="M24" s="82"/>
      <c r="N24" s="151">
        <f t="shared" si="161"/>
        <v>0.0345</v>
      </c>
      <c r="O24" s="152">
        <f t="shared" ref="O24:Q39" si="180">J24/100</f>
        <v>0.0192</v>
      </c>
      <c r="P24" s="152">
        <f t="shared" si="180"/>
        <v>0.0392</v>
      </c>
      <c r="Q24" s="152">
        <f t="shared" si="180"/>
        <v>0.0158</v>
      </c>
      <c r="R24" s="82"/>
      <c r="S24" s="151">
        <f>B24/B25-1</f>
        <v>0.0345</v>
      </c>
      <c r="T24" s="152">
        <f>C24/C25-1</f>
        <v>0.0192000000000001</v>
      </c>
      <c r="U24" s="152">
        <f>E24/E25-1</f>
        <v>0.0391999999999999</v>
      </c>
      <c r="V24" s="152">
        <f>F24/F25-1</f>
        <v>0.0158</v>
      </c>
      <c r="W24" s="82"/>
      <c r="X24" s="82">
        <f>ROUND(SUMPRODUCT(PRODUCT(1+N24:N$35)),4)</f>
        <v>1.318</v>
      </c>
      <c r="Y24" s="82">
        <f>ROUND(SUMPRODUCT(PRODUCT(1+O24:O$35)),4)</f>
        <v>1.1966</v>
      </c>
      <c r="Z24" s="82">
        <f t="shared" si="0"/>
        <v>1.1966</v>
      </c>
      <c r="AA24" s="82">
        <f>ROUND(SUMPRODUCT(PRODUCT(1+P24:P$35)),4)</f>
        <v>1.36</v>
      </c>
      <c r="AB24" s="82">
        <f>ROUND(SUMPRODUCT(PRODUCT(1+Q24:Q$35)),4)</f>
        <v>1.1733</v>
      </c>
      <c r="AC24" s="82"/>
      <c r="AD24" s="148">
        <f>ROUND(AVERAGE(I24:I$36)/100,4)</f>
        <v>0.0239</v>
      </c>
      <c r="AE24" s="148">
        <f>ROUND(AVERAGE(J24:J$36)/100,4)</f>
        <v>0.0157</v>
      </c>
      <c r="AF24" s="148">
        <f t="shared" si="1"/>
        <v>0.0157</v>
      </c>
      <c r="AG24" s="148">
        <f>ROUND(AVERAGE(K24:K$36)/100,4)</f>
        <v>0.0266</v>
      </c>
      <c r="AH24" s="148">
        <f>ROUND(AVERAGE(L24:L$36)/100,4)</f>
        <v>0.0134</v>
      </c>
    </row>
    <row r="25" spans="1:34">
      <c r="A25" s="102" t="s">
        <v>2365</v>
      </c>
      <c r="B25" s="106">
        <v>392</v>
      </c>
      <c r="C25" s="106">
        <v>302</v>
      </c>
      <c r="D25" s="106">
        <f t="shared" si="158"/>
        <v>302</v>
      </c>
      <c r="E25" s="106">
        <v>553</v>
      </c>
      <c r="F25" s="107">
        <v>266</v>
      </c>
      <c r="G25" s="111">
        <v>2016</v>
      </c>
      <c r="H25" s="105">
        <v>4</v>
      </c>
      <c r="I25" s="105">
        <v>4.56</v>
      </c>
      <c r="J25" s="105">
        <v>2.15</v>
      </c>
      <c r="K25" s="105">
        <v>5.32</v>
      </c>
      <c r="L25" s="144">
        <v>1.57</v>
      </c>
      <c r="N25" s="147">
        <f t="shared" si="161"/>
        <v>0.0456</v>
      </c>
      <c r="O25" s="148">
        <f t="shared" si="180"/>
        <v>0.0215</v>
      </c>
      <c r="P25" s="148">
        <f t="shared" si="180"/>
        <v>0.0532</v>
      </c>
      <c r="Q25" s="148">
        <f t="shared" si="180"/>
        <v>0.0157</v>
      </c>
      <c r="R25" s="173"/>
      <c r="S25" s="174"/>
      <c r="T25" s="175"/>
      <c r="U25" s="175"/>
      <c r="V25" s="175"/>
      <c r="X25" s="82">
        <f>ROUND(SUMPRODUCT(PRODUCT(1+N25:N$35)),4)</f>
        <v>1.274</v>
      </c>
      <c r="Y25" s="82">
        <f>ROUND(SUMPRODUCT(PRODUCT(1+O25:O$35)),4)</f>
        <v>1.1741</v>
      </c>
      <c r="Z25" s="82">
        <f t="shared" si="0"/>
        <v>1.1741</v>
      </c>
      <c r="AA25" s="82">
        <f>ROUND(SUMPRODUCT(PRODUCT(1+P25:P$35)),4)</f>
        <v>1.3087</v>
      </c>
      <c r="AB25" s="82">
        <f>ROUND(SUMPRODUCT(PRODUCT(1+Q25:Q$35)),4)</f>
        <v>1.1551</v>
      </c>
      <c r="AD25" s="148">
        <f>ROUND(AVERAGE(I25:I$36)/100,4)</f>
        <v>0.023</v>
      </c>
      <c r="AE25" s="148">
        <f>ROUND(AVERAGE(J25:J$36)/100,4)</f>
        <v>0.0155</v>
      </c>
      <c r="AF25" s="148">
        <f t="shared" ref="AF25:AF34" si="181">AE25</f>
        <v>0.0155</v>
      </c>
      <c r="AG25" s="148">
        <f>ROUND(AVERAGE(K25:K$36)/100,4)</f>
        <v>0.0256</v>
      </c>
      <c r="AH25" s="148">
        <f>ROUND(AVERAGE(L25:L$36)/100,4)</f>
        <v>0.0132</v>
      </c>
    </row>
    <row r="26" spans="1:34">
      <c r="A26" s="102" t="s">
        <v>2366</v>
      </c>
      <c r="B26" s="108">
        <f t="shared" ref="B26:C28" si="182">B25/(1+N25)</f>
        <v>374.904361132364</v>
      </c>
      <c r="C26" s="108">
        <f t="shared" si="182"/>
        <v>295.643661282428</v>
      </c>
      <c r="D26" s="108">
        <f t="shared" ref="D26:D85" si="183">C26</f>
        <v>295.643661282428</v>
      </c>
      <c r="E26" s="108">
        <f t="shared" ref="E26:F28" si="184">E25/(1+P25)</f>
        <v>525.066464109381</v>
      </c>
      <c r="F26" s="108">
        <f t="shared" si="184"/>
        <v>261.888352860096</v>
      </c>
      <c r="G26" s="100"/>
      <c r="H26" s="104">
        <v>3</v>
      </c>
      <c r="I26" s="104">
        <v>4.12</v>
      </c>
      <c r="J26" s="104">
        <v>2</v>
      </c>
      <c r="K26" s="104">
        <v>4.79</v>
      </c>
      <c r="L26" s="143">
        <v>1.97</v>
      </c>
      <c r="N26" s="147">
        <f t="shared" ref="N26:Q60" si="185">I26/100</f>
        <v>0.0412</v>
      </c>
      <c r="O26" s="148">
        <f t="shared" si="180"/>
        <v>0.02</v>
      </c>
      <c r="P26" s="148">
        <f t="shared" si="180"/>
        <v>0.0479</v>
      </c>
      <c r="Q26" s="148">
        <f t="shared" si="180"/>
        <v>0.0197</v>
      </c>
      <c r="R26" s="173"/>
      <c r="S26" s="147"/>
      <c r="T26" s="148"/>
      <c r="U26" s="148"/>
      <c r="V26" s="148"/>
      <c r="X26" s="82">
        <f>ROUND(SUMPRODUCT(PRODUCT(1+N26:N$35)),4)</f>
        <v>1.2185</v>
      </c>
      <c r="Y26" s="82">
        <f>ROUND(SUMPRODUCT(PRODUCT(1+O26:O$35)),4)</f>
        <v>1.1494</v>
      </c>
      <c r="Z26" s="82">
        <f t="shared" si="0"/>
        <v>1.1494</v>
      </c>
      <c r="AA26" s="82">
        <f>ROUND(SUMPRODUCT(PRODUCT(1+P26:P$35)),4)</f>
        <v>1.2426</v>
      </c>
      <c r="AB26" s="82">
        <f>ROUND(SUMPRODUCT(PRODUCT(1+Q26:Q$35)),4)</f>
        <v>1.1372</v>
      </c>
      <c r="AD26" s="148">
        <f>ROUND(AVERAGE(I26:I$36)/100,4)</f>
        <v>0.0209</v>
      </c>
      <c r="AE26" s="148">
        <f>ROUND(AVERAGE(J26:J$36)/100,4)</f>
        <v>0.0149</v>
      </c>
      <c r="AF26" s="148">
        <f t="shared" si="181"/>
        <v>0.0149</v>
      </c>
      <c r="AG26" s="148">
        <f>ROUND(AVERAGE(K26:K$36)/100,4)</f>
        <v>0.0231</v>
      </c>
      <c r="AH26" s="148">
        <f>ROUND(AVERAGE(L26:L$36)/100,4)</f>
        <v>0.013</v>
      </c>
    </row>
    <row r="27" spans="1:34">
      <c r="A27" s="102" t="s">
        <v>2367</v>
      </c>
      <c r="B27" s="108">
        <f t="shared" si="182"/>
        <v>360.069497822094</v>
      </c>
      <c r="C27" s="108">
        <f t="shared" si="182"/>
        <v>289.846726747478</v>
      </c>
      <c r="D27" s="108">
        <f t="shared" si="183"/>
        <v>289.846726747478</v>
      </c>
      <c r="E27" s="108">
        <f t="shared" si="184"/>
        <v>501.065430011815</v>
      </c>
      <c r="F27" s="108">
        <f t="shared" si="184"/>
        <v>256.82882500745</v>
      </c>
      <c r="G27" s="100"/>
      <c r="H27" s="109">
        <v>2</v>
      </c>
      <c r="I27" s="109">
        <v>3.85</v>
      </c>
      <c r="J27" s="109">
        <v>1.95</v>
      </c>
      <c r="K27" s="109">
        <v>4.48</v>
      </c>
      <c r="L27" s="149">
        <v>1.41</v>
      </c>
      <c r="N27" s="147">
        <f t="shared" si="185"/>
        <v>0.0385</v>
      </c>
      <c r="O27" s="148">
        <f t="shared" si="180"/>
        <v>0.0195</v>
      </c>
      <c r="P27" s="148">
        <f t="shared" si="180"/>
        <v>0.0448</v>
      </c>
      <c r="Q27" s="148">
        <f t="shared" si="180"/>
        <v>0.0141</v>
      </c>
      <c r="R27" s="173"/>
      <c r="S27" s="147"/>
      <c r="T27" s="148"/>
      <c r="U27" s="148"/>
      <c r="V27" s="148"/>
      <c r="X27" s="82">
        <f>ROUND(SUMPRODUCT(PRODUCT(1+N27:N$35)),4)</f>
        <v>1.1703</v>
      </c>
      <c r="Y27" s="82">
        <f>ROUND(SUMPRODUCT(PRODUCT(1+O27:O$35)),4)</f>
        <v>1.1269</v>
      </c>
      <c r="Z27" s="82">
        <f t="shared" si="0"/>
        <v>1.1269</v>
      </c>
      <c r="AA27" s="82">
        <f>ROUND(SUMPRODUCT(PRODUCT(1+P27:P$35)),4)</f>
        <v>1.1858</v>
      </c>
      <c r="AB27" s="82">
        <f>ROUND(SUMPRODUCT(PRODUCT(1+Q27:Q$35)),4)</f>
        <v>1.1152</v>
      </c>
      <c r="AD27" s="148">
        <f>ROUND(AVERAGE(I27:I$36)/100,4)</f>
        <v>0.0189</v>
      </c>
      <c r="AE27" s="148">
        <f>ROUND(AVERAGE(J27:J$36)/100,4)</f>
        <v>0.0144</v>
      </c>
      <c r="AF27" s="148">
        <f t="shared" si="181"/>
        <v>0.0144</v>
      </c>
      <c r="AG27" s="148">
        <f>ROUND(AVERAGE(K27:K$36)/100,4)</f>
        <v>0.0206</v>
      </c>
      <c r="AH27" s="148">
        <f>ROUND(AVERAGE(L27:L$36)/100,4)</f>
        <v>0.0123</v>
      </c>
    </row>
    <row r="28" ht="13.5" spans="1:34">
      <c r="A28" s="102" t="s">
        <v>2368</v>
      </c>
      <c r="B28" s="108">
        <f t="shared" si="182"/>
        <v>346.720748986128</v>
      </c>
      <c r="C28" s="108">
        <f t="shared" si="182"/>
        <v>284.302821723863</v>
      </c>
      <c r="D28" s="108">
        <f t="shared" si="183"/>
        <v>284.302821723863</v>
      </c>
      <c r="E28" s="108">
        <f t="shared" si="184"/>
        <v>479.580235463069</v>
      </c>
      <c r="F28" s="108">
        <f t="shared" si="184"/>
        <v>253.257888775712</v>
      </c>
      <c r="G28" s="112"/>
      <c r="H28" s="104">
        <v>1</v>
      </c>
      <c r="I28" s="104">
        <v>4.09</v>
      </c>
      <c r="J28" s="104">
        <v>2.93</v>
      </c>
      <c r="K28" s="104">
        <v>4.54</v>
      </c>
      <c r="L28" s="143">
        <v>1.48</v>
      </c>
      <c r="N28" s="147">
        <f t="shared" si="185"/>
        <v>0.0409</v>
      </c>
      <c r="O28" s="148">
        <f t="shared" si="180"/>
        <v>0.0293</v>
      </c>
      <c r="P28" s="148">
        <f t="shared" si="180"/>
        <v>0.0454</v>
      </c>
      <c r="Q28" s="148">
        <f t="shared" si="180"/>
        <v>0.0148</v>
      </c>
      <c r="R28" s="173"/>
      <c r="S28" s="151">
        <f>B28/B29-1</f>
        <v>0.0412034504087928</v>
      </c>
      <c r="T28" s="152">
        <f>C28/C29-1</f>
        <v>0.0263639773424651</v>
      </c>
      <c r="U28" s="152">
        <f>E28/E29-1</f>
        <v>0.0448371142986264</v>
      </c>
      <c r="V28" s="152">
        <f>F28/F29-1</f>
        <v>0.0170999549225386</v>
      </c>
      <c r="X28" s="82">
        <f>ROUND(SUMPRODUCT(PRODUCT(1+N28:N$35)),4)</f>
        <v>1.1269</v>
      </c>
      <c r="Y28" s="82">
        <f>ROUND(SUMPRODUCT(PRODUCT(1+O28:O$35)),4)</f>
        <v>1.1053</v>
      </c>
      <c r="Z28" s="82">
        <f t="shared" si="0"/>
        <v>1.1053</v>
      </c>
      <c r="AA28" s="82">
        <f>ROUND(SUMPRODUCT(PRODUCT(1+P28:P$35)),4)</f>
        <v>1.1349</v>
      </c>
      <c r="AB28" s="82">
        <f>ROUND(SUMPRODUCT(PRODUCT(1+Q28:Q$35)),4)</f>
        <v>1.0997</v>
      </c>
      <c r="AD28" s="148">
        <f>ROUND(AVERAGE(I28:I$36)/100,4)</f>
        <v>0.0167</v>
      </c>
      <c r="AE28" s="148">
        <f>ROUND(AVERAGE(J28:J$36)/100,4)</f>
        <v>0.0138</v>
      </c>
      <c r="AF28" s="148">
        <f t="shared" si="181"/>
        <v>0.0138</v>
      </c>
      <c r="AG28" s="148">
        <f>ROUND(AVERAGE(K28:K$36)/100,4)</f>
        <v>0.0179</v>
      </c>
      <c r="AH28" s="148">
        <f>ROUND(AVERAGE(L28:L$36)/100,4)</f>
        <v>0.0121</v>
      </c>
    </row>
    <row r="29" ht="13.5" spans="1:34">
      <c r="A29" s="102" t="s">
        <v>2369</v>
      </c>
      <c r="B29" s="106">
        <v>333</v>
      </c>
      <c r="C29" s="106">
        <v>277</v>
      </c>
      <c r="D29" s="106">
        <f t="shared" si="183"/>
        <v>277</v>
      </c>
      <c r="E29" s="106">
        <v>459</v>
      </c>
      <c r="F29" s="107">
        <v>249</v>
      </c>
      <c r="G29" s="113">
        <v>2015</v>
      </c>
      <c r="H29" s="114">
        <v>4</v>
      </c>
      <c r="I29" s="114">
        <v>1.63</v>
      </c>
      <c r="J29" s="114">
        <v>1.11</v>
      </c>
      <c r="K29" s="114">
        <v>1.77</v>
      </c>
      <c r="L29" s="153">
        <v>1.89</v>
      </c>
      <c r="N29" s="145">
        <f t="shared" si="185"/>
        <v>0.0163</v>
      </c>
      <c r="O29" s="146">
        <f t="shared" si="180"/>
        <v>0.0111</v>
      </c>
      <c r="P29" s="146">
        <f t="shared" si="180"/>
        <v>0.0177</v>
      </c>
      <c r="Q29" s="146">
        <f t="shared" si="180"/>
        <v>0.0189</v>
      </c>
      <c r="R29" s="173"/>
      <c r="X29" s="82">
        <f>ROUND(SUMPRODUCT(PRODUCT(1+N29:N$35)),4)</f>
        <v>1.0826</v>
      </c>
      <c r="Y29" s="82">
        <f>ROUND(SUMPRODUCT(PRODUCT(1+O29:O$35)),4)</f>
        <v>1.0738</v>
      </c>
      <c r="Z29" s="82">
        <f t="shared" si="0"/>
        <v>1.0738</v>
      </c>
      <c r="AA29" s="82">
        <f>ROUND(SUMPRODUCT(PRODUCT(1+P29:P$35)),4)</f>
        <v>1.0856</v>
      </c>
      <c r="AB29" s="82">
        <f>ROUND(SUMPRODUCT(PRODUCT(1+Q29:Q$35)),4)</f>
        <v>1.0837</v>
      </c>
      <c r="AD29" s="148">
        <f>ROUND(AVERAGE(I29:I$36)/100,4)</f>
        <v>0.0137</v>
      </c>
      <c r="AE29" s="148">
        <f>ROUND(AVERAGE(J29:J$36)/100,4)</f>
        <v>0.0119</v>
      </c>
      <c r="AF29" s="148">
        <f t="shared" si="181"/>
        <v>0.0119</v>
      </c>
      <c r="AG29" s="148">
        <f>ROUND(AVERAGE(K29:K$36)/100,4)</f>
        <v>0.0145</v>
      </c>
      <c r="AH29" s="148">
        <f>ROUND(AVERAGE(L29:L$36)/100,4)</f>
        <v>0.0118</v>
      </c>
    </row>
    <row r="30" spans="1:34">
      <c r="A30" s="102" t="s">
        <v>2370</v>
      </c>
      <c r="B30" s="108">
        <f t="shared" ref="B30:C32" si="186">B29/(1+N29)</f>
        <v>327.659155761094</v>
      </c>
      <c r="C30" s="108">
        <f t="shared" si="186"/>
        <v>273.959054495104</v>
      </c>
      <c r="D30" s="108">
        <f t="shared" si="183"/>
        <v>273.959054495104</v>
      </c>
      <c r="E30" s="108">
        <f t="shared" ref="E30:F32" si="187">E29/(1+P29)</f>
        <v>451.016999115653</v>
      </c>
      <c r="F30" s="108">
        <f t="shared" si="187"/>
        <v>244.381195406811</v>
      </c>
      <c r="G30" s="100"/>
      <c r="H30" s="115">
        <v>3</v>
      </c>
      <c r="I30" s="115">
        <v>1.65</v>
      </c>
      <c r="J30" s="115">
        <v>0.92</v>
      </c>
      <c r="K30" s="115">
        <v>1.88</v>
      </c>
      <c r="L30" s="154">
        <v>1.26</v>
      </c>
      <c r="N30" s="147">
        <f t="shared" si="185"/>
        <v>0.0165</v>
      </c>
      <c r="O30" s="150">
        <f t="shared" si="180"/>
        <v>0.0092</v>
      </c>
      <c r="P30" s="150">
        <f t="shared" si="180"/>
        <v>0.0188</v>
      </c>
      <c r="Q30" s="150">
        <f t="shared" si="180"/>
        <v>0.0126</v>
      </c>
      <c r="R30" s="173"/>
      <c r="S30" s="147"/>
      <c r="T30" s="148"/>
      <c r="U30" s="148"/>
      <c r="V30" s="148"/>
      <c r="X30" s="82">
        <f>ROUND(SUMPRODUCT(PRODUCT(1+N30:N$35)),4)</f>
        <v>1.0652</v>
      </c>
      <c r="Y30" s="82">
        <f>ROUND(SUMPRODUCT(PRODUCT(1+O30:O$35)),4)</f>
        <v>1.0621</v>
      </c>
      <c r="Z30" s="82">
        <f t="shared" si="0"/>
        <v>1.0621</v>
      </c>
      <c r="AA30" s="82">
        <f>ROUND(SUMPRODUCT(PRODUCT(1+P30:P$35)),4)</f>
        <v>1.0668</v>
      </c>
      <c r="AB30" s="82">
        <f>ROUND(SUMPRODUCT(PRODUCT(1+Q30:Q$35)),4)</f>
        <v>1.0636</v>
      </c>
      <c r="AD30" s="148">
        <f>ROUND(AVERAGE(I30:I$36)/100,4)</f>
        <v>0.0133</v>
      </c>
      <c r="AE30" s="148">
        <f>ROUND(AVERAGE(J30:J$36)/100,4)</f>
        <v>0.012</v>
      </c>
      <c r="AF30" s="148">
        <f t="shared" si="181"/>
        <v>0.012</v>
      </c>
      <c r="AG30" s="148">
        <f>ROUND(AVERAGE(K30:K$36)/100,4)</f>
        <v>0.014</v>
      </c>
      <c r="AH30" s="148">
        <f>ROUND(AVERAGE(L30:L$36)/100,4)</f>
        <v>0.0108</v>
      </c>
    </row>
    <row r="31" spans="1:34">
      <c r="A31" s="102" t="s">
        <v>2371</v>
      </c>
      <c r="B31" s="108">
        <f t="shared" si="186"/>
        <v>322.340536902208</v>
      </c>
      <c r="C31" s="108">
        <f t="shared" si="186"/>
        <v>271.461607704225</v>
      </c>
      <c r="D31" s="108">
        <f t="shared" si="183"/>
        <v>271.461607704225</v>
      </c>
      <c r="E31" s="108">
        <f t="shared" si="187"/>
        <v>442.694345421725</v>
      </c>
      <c r="F31" s="108">
        <f t="shared" si="187"/>
        <v>241.340307531909</v>
      </c>
      <c r="G31" s="100"/>
      <c r="H31" s="109">
        <v>2</v>
      </c>
      <c r="I31" s="109">
        <v>0.77</v>
      </c>
      <c r="J31" s="109">
        <v>0.69</v>
      </c>
      <c r="K31" s="109">
        <v>0.8</v>
      </c>
      <c r="L31" s="149">
        <v>0.88</v>
      </c>
      <c r="N31" s="147">
        <f t="shared" si="185"/>
        <v>0.0077</v>
      </c>
      <c r="O31" s="150">
        <f t="shared" si="180"/>
        <v>0.0069</v>
      </c>
      <c r="P31" s="150">
        <f t="shared" si="180"/>
        <v>0.008</v>
      </c>
      <c r="Q31" s="150">
        <f t="shared" si="180"/>
        <v>0.0088</v>
      </c>
      <c r="R31" s="173"/>
      <c r="S31" s="147"/>
      <c r="T31" s="148"/>
      <c r="U31" s="148"/>
      <c r="V31" s="148"/>
      <c r="X31" s="82">
        <f>ROUND(SUMPRODUCT(PRODUCT(1+N31:N$35)),4)</f>
        <v>1.048</v>
      </c>
      <c r="Y31" s="82">
        <f>ROUND(SUMPRODUCT(PRODUCT(1+O31:O$35)),4)</f>
        <v>1.0524</v>
      </c>
      <c r="Z31" s="82">
        <f t="shared" si="0"/>
        <v>1.0524</v>
      </c>
      <c r="AA31" s="82">
        <f>ROUND(SUMPRODUCT(PRODUCT(1+P31:P$35)),4)</f>
        <v>1.0471</v>
      </c>
      <c r="AB31" s="82">
        <f>ROUND(SUMPRODUCT(PRODUCT(1+Q31:Q$35)),4)</f>
        <v>1.0504</v>
      </c>
      <c r="AD31" s="148">
        <f>ROUND(AVERAGE(I31:I$36)/100,4)</f>
        <v>0.0128</v>
      </c>
      <c r="AE31" s="148">
        <f>ROUND(AVERAGE(J31:J$36)/100,4)</f>
        <v>0.0125</v>
      </c>
      <c r="AF31" s="148">
        <f t="shared" si="181"/>
        <v>0.0125</v>
      </c>
      <c r="AG31" s="148">
        <f>ROUND(AVERAGE(K31:K$36)/100,4)</f>
        <v>0.0132</v>
      </c>
      <c r="AH31" s="148">
        <f>ROUND(AVERAGE(L31:L$36)/100,4)</f>
        <v>0.0105</v>
      </c>
    </row>
    <row r="32" spans="1:34">
      <c r="A32" s="102" t="s">
        <v>2372</v>
      </c>
      <c r="B32" s="108">
        <f t="shared" si="186"/>
        <v>319.877480303868</v>
      </c>
      <c r="C32" s="108">
        <f t="shared" si="186"/>
        <v>269.601358331736</v>
      </c>
      <c r="D32" s="108">
        <f t="shared" si="183"/>
        <v>269.601358331736</v>
      </c>
      <c r="E32" s="108">
        <f t="shared" si="187"/>
        <v>439.180898235838</v>
      </c>
      <c r="F32" s="108">
        <f t="shared" si="187"/>
        <v>239.235039187063</v>
      </c>
      <c r="G32" s="112"/>
      <c r="H32" s="104">
        <v>1</v>
      </c>
      <c r="I32" s="104">
        <v>0.51</v>
      </c>
      <c r="J32" s="104">
        <v>0.54</v>
      </c>
      <c r="K32" s="104">
        <v>0.48</v>
      </c>
      <c r="L32" s="143">
        <v>0.93</v>
      </c>
      <c r="N32" s="151">
        <f t="shared" si="185"/>
        <v>0.0051</v>
      </c>
      <c r="O32" s="152">
        <f t="shared" si="180"/>
        <v>0.0054</v>
      </c>
      <c r="P32" s="152">
        <f t="shared" si="180"/>
        <v>0.0048</v>
      </c>
      <c r="Q32" s="152">
        <f t="shared" si="180"/>
        <v>0.0093</v>
      </c>
      <c r="R32" s="173"/>
      <c r="S32" s="151">
        <f>B32/B33-1</f>
        <v>0.00590402611279228</v>
      </c>
      <c r="T32" s="152">
        <f>C32/C33-1</f>
        <v>0.00597521765573328</v>
      </c>
      <c r="U32" s="152">
        <f>E32/E33-1</f>
        <v>0.00499061381198596</v>
      </c>
      <c r="V32" s="152">
        <f>F32/F33-1</f>
        <v>0.00943054509309338</v>
      </c>
      <c r="X32" s="82">
        <f>ROUND(SUMPRODUCT(PRODUCT(1+N32:N$35)),4)</f>
        <v>1.0399</v>
      </c>
      <c r="Y32" s="82">
        <f>ROUND(SUMPRODUCT(PRODUCT(1+O32:O$35)),4)</f>
        <v>1.0452</v>
      </c>
      <c r="Z32" s="82">
        <f t="shared" si="0"/>
        <v>1.0452</v>
      </c>
      <c r="AA32" s="82">
        <f>ROUND(SUMPRODUCT(PRODUCT(1+P32:P$35)),4)</f>
        <v>1.0388</v>
      </c>
      <c r="AB32" s="82">
        <f>ROUND(SUMPRODUCT(PRODUCT(1+Q32:Q$35)),4)</f>
        <v>1.0412</v>
      </c>
      <c r="AD32" s="148">
        <f>ROUND(AVERAGE(I32:I$36)/100,4)</f>
        <v>0.0138</v>
      </c>
      <c r="AE32" s="148">
        <f>ROUND(AVERAGE(J32:J$36)/100,4)</f>
        <v>0.0136</v>
      </c>
      <c r="AF32" s="148">
        <f t="shared" si="181"/>
        <v>0.0136</v>
      </c>
      <c r="AG32" s="148">
        <f>ROUND(AVERAGE(K32:K$36)/100,4)</f>
        <v>0.0142</v>
      </c>
      <c r="AH32" s="148">
        <f>ROUND(AVERAGE(L32:L$36)/100,4)</f>
        <v>0.0108</v>
      </c>
    </row>
    <row r="33" ht="13.5" spans="1:34">
      <c r="A33" s="102" t="s">
        <v>2373</v>
      </c>
      <c r="B33" s="116">
        <v>318</v>
      </c>
      <c r="C33" s="116">
        <v>268</v>
      </c>
      <c r="D33" s="116">
        <f t="shared" si="183"/>
        <v>268</v>
      </c>
      <c r="E33" s="116">
        <v>437</v>
      </c>
      <c r="F33" s="117">
        <v>237</v>
      </c>
      <c r="G33" s="113">
        <v>2014</v>
      </c>
      <c r="H33" s="114">
        <v>4</v>
      </c>
      <c r="I33" s="114">
        <v>0.21</v>
      </c>
      <c r="J33" s="114">
        <v>0.41</v>
      </c>
      <c r="K33" s="114">
        <v>0.12</v>
      </c>
      <c r="L33" s="153">
        <v>0.89</v>
      </c>
      <c r="N33" s="147">
        <f t="shared" si="185"/>
        <v>0.0021</v>
      </c>
      <c r="O33" s="148">
        <f t="shared" si="180"/>
        <v>0.0041</v>
      </c>
      <c r="P33" s="148">
        <f t="shared" si="180"/>
        <v>0.0012</v>
      </c>
      <c r="Q33" s="148">
        <f t="shared" si="180"/>
        <v>0.0089</v>
      </c>
      <c r="R33" s="173"/>
      <c r="S33" s="174"/>
      <c r="T33" s="175"/>
      <c r="U33" s="175"/>
      <c r="V33" s="175"/>
      <c r="X33" s="82">
        <f>ROUND(SUMPRODUCT(PRODUCT(1+N33:N$35)),4)</f>
        <v>1.0347</v>
      </c>
      <c r="Y33" s="82">
        <f>ROUND(SUMPRODUCT(PRODUCT(1+O33:O$35)),4)</f>
        <v>1.0395</v>
      </c>
      <c r="Z33" s="82">
        <f t="shared" si="0"/>
        <v>1.0395</v>
      </c>
      <c r="AA33" s="82">
        <f>ROUND(SUMPRODUCT(PRODUCT(1+P33:P$35)),4)</f>
        <v>1.0338</v>
      </c>
      <c r="AB33" s="82">
        <f>ROUND(SUMPRODUCT(PRODUCT(1+Q33:Q$35)),4)</f>
        <v>1.0316</v>
      </c>
      <c r="AD33" s="148">
        <f>ROUND(AVERAGE(I33:I$36)/100,4)</f>
        <v>0.016</v>
      </c>
      <c r="AE33" s="148">
        <f>ROUND(AVERAGE(J33:J$36)/100,4)</f>
        <v>0.0156</v>
      </c>
      <c r="AF33" s="148">
        <f t="shared" si="181"/>
        <v>0.0156</v>
      </c>
      <c r="AG33" s="148">
        <f>ROUND(AVERAGE(K33:K$36)/100,4)</f>
        <v>0.0166</v>
      </c>
      <c r="AH33" s="148">
        <f>ROUND(AVERAGE(L33:L$36)/100,4)</f>
        <v>0.0112</v>
      </c>
    </row>
    <row r="34" spans="1:34">
      <c r="A34" s="102" t="s">
        <v>2374</v>
      </c>
      <c r="B34" s="108">
        <f t="shared" ref="B34:C36" si="188">B33/(1+N33)</f>
        <v>317.333599441174</v>
      </c>
      <c r="C34" s="108">
        <f t="shared" si="188"/>
        <v>266.905686684593</v>
      </c>
      <c r="D34" s="108">
        <f t="shared" si="183"/>
        <v>266.905686684593</v>
      </c>
      <c r="E34" s="108">
        <f t="shared" ref="E34:F36" si="189">E33/(1+P33)</f>
        <v>436.476228525769</v>
      </c>
      <c r="F34" s="108">
        <f t="shared" si="189"/>
        <v>234.909307166221</v>
      </c>
      <c r="G34" s="100"/>
      <c r="H34" s="118">
        <v>3</v>
      </c>
      <c r="I34" s="118">
        <v>0.83</v>
      </c>
      <c r="J34" s="118">
        <v>1.47</v>
      </c>
      <c r="K34" s="118">
        <v>0.65</v>
      </c>
      <c r="L34" s="155">
        <v>0.72</v>
      </c>
      <c r="N34" s="147">
        <f t="shared" si="185"/>
        <v>0.0083</v>
      </c>
      <c r="O34" s="148">
        <f t="shared" si="180"/>
        <v>0.0147</v>
      </c>
      <c r="P34" s="148">
        <f t="shared" si="180"/>
        <v>0.0065</v>
      </c>
      <c r="Q34" s="148">
        <f t="shared" si="180"/>
        <v>0.0072</v>
      </c>
      <c r="R34" s="173"/>
      <c r="S34" s="147"/>
      <c r="T34" s="148"/>
      <c r="U34" s="148"/>
      <c r="V34" s="148"/>
      <c r="X34" s="82">
        <f>ROUND(SUMPRODUCT(PRODUCT(1+N34:N$35)),4)</f>
        <v>1.0325</v>
      </c>
      <c r="Y34" s="82">
        <f>ROUND(SUMPRODUCT(PRODUCT(1+O34:O$35)),4)</f>
        <v>1.0353</v>
      </c>
      <c r="Z34" s="82">
        <f t="shared" ref="Z34:Z35" si="190">Y34</f>
        <v>1.0353</v>
      </c>
      <c r="AA34" s="82">
        <f>ROUND(SUMPRODUCT(PRODUCT(1+P34:P$35)),4)</f>
        <v>1.0326</v>
      </c>
      <c r="AB34" s="82">
        <f>ROUND(SUMPRODUCT(PRODUCT(1+Q34:Q$35)),4)</f>
        <v>1.0225</v>
      </c>
      <c r="AD34" s="148">
        <f>ROUND(AVERAGE(I34:I$36)/100,4)</f>
        <v>0.0207</v>
      </c>
      <c r="AE34" s="148">
        <f>ROUND(AVERAGE(J34:J$36)/100,4)</f>
        <v>0.0195</v>
      </c>
      <c r="AF34" s="148">
        <f t="shared" si="181"/>
        <v>0.0195</v>
      </c>
      <c r="AG34" s="148">
        <f>ROUND(AVERAGE(K34:K$36)/100,4)</f>
        <v>0.0217</v>
      </c>
      <c r="AH34" s="148">
        <f>ROUND(AVERAGE(L34:L$36)/100,4)</f>
        <v>0.012</v>
      </c>
    </row>
    <row r="35" ht="13.5" spans="1:34">
      <c r="A35" s="102" t="s">
        <v>2375</v>
      </c>
      <c r="B35" s="108">
        <f t="shared" si="188"/>
        <v>314.721411723865</v>
      </c>
      <c r="C35" s="108">
        <f t="shared" si="188"/>
        <v>263.03901319069</v>
      </c>
      <c r="D35" s="108">
        <f t="shared" si="183"/>
        <v>263.03901319069</v>
      </c>
      <c r="E35" s="108">
        <f t="shared" si="189"/>
        <v>433.657455067828</v>
      </c>
      <c r="F35" s="108">
        <f t="shared" si="189"/>
        <v>233.230050800457</v>
      </c>
      <c r="G35" s="100"/>
      <c r="H35" s="114">
        <v>2</v>
      </c>
      <c r="I35" s="114">
        <v>2.4</v>
      </c>
      <c r="J35" s="114">
        <v>2.03</v>
      </c>
      <c r="K35" s="114">
        <v>2.59</v>
      </c>
      <c r="L35" s="153">
        <v>1.52</v>
      </c>
      <c r="N35" s="147">
        <f t="shared" si="185"/>
        <v>0.024</v>
      </c>
      <c r="O35" s="148">
        <f t="shared" si="180"/>
        <v>0.0203</v>
      </c>
      <c r="P35" s="148">
        <f t="shared" si="180"/>
        <v>0.0259</v>
      </c>
      <c r="Q35" s="148">
        <f t="shared" si="180"/>
        <v>0.0152</v>
      </c>
      <c r="R35" s="173"/>
      <c r="S35" s="147"/>
      <c r="T35" s="148"/>
      <c r="U35" s="148"/>
      <c r="V35" s="148"/>
      <c r="X35" s="82">
        <f>1+N35</f>
        <v>1.024</v>
      </c>
      <c r="Y35" s="82">
        <f>1+O35</f>
        <v>1.0203</v>
      </c>
      <c r="Z35" s="82">
        <f t="shared" si="190"/>
        <v>1.0203</v>
      </c>
      <c r="AA35" s="82">
        <f>1+P35</f>
        <v>1.0259</v>
      </c>
      <c r="AB35" s="82">
        <f>1+Q35</f>
        <v>1.0152</v>
      </c>
      <c r="AD35" s="148">
        <f>ROUND(AVERAGE(I35:I$36)/100,4)</f>
        <v>0.0269</v>
      </c>
      <c r="AE35" s="148">
        <f>ROUND(AVERAGE(J35:J$36)/100,4)</f>
        <v>0.0219</v>
      </c>
      <c r="AF35" s="148">
        <f t="shared" ref="AF35:AF36" si="191">AE35</f>
        <v>0.0219</v>
      </c>
      <c r="AG35" s="148">
        <f>ROUND(AVERAGE(K35:K$36)/100,4)</f>
        <v>0.0294</v>
      </c>
      <c r="AH35" s="148">
        <f>ROUND(AVERAGE(L35:L$36)/100,4)</f>
        <v>0.0144</v>
      </c>
    </row>
    <row r="36" s="79" customFormat="1" ht="13.5" spans="1:34">
      <c r="A36" s="119" t="s">
        <v>2376</v>
      </c>
      <c r="B36" s="120">
        <f t="shared" si="188"/>
        <v>307.345128636587</v>
      </c>
      <c r="C36" s="120">
        <f t="shared" si="188"/>
        <v>257.80556031627</v>
      </c>
      <c r="D36" s="120">
        <f t="shared" si="183"/>
        <v>257.80556031627</v>
      </c>
      <c r="E36" s="120">
        <f t="shared" si="189"/>
        <v>422.709284596772</v>
      </c>
      <c r="F36" s="120">
        <f t="shared" si="189"/>
        <v>229.738032703366</v>
      </c>
      <c r="G36" s="112"/>
      <c r="H36" s="121">
        <v>1</v>
      </c>
      <c r="I36" s="121">
        <v>2.97</v>
      </c>
      <c r="J36" s="121">
        <v>2.34</v>
      </c>
      <c r="K36" s="121">
        <v>3.28</v>
      </c>
      <c r="L36" s="156">
        <v>1.36</v>
      </c>
      <c r="N36" s="157">
        <f t="shared" si="185"/>
        <v>0.0297</v>
      </c>
      <c r="O36" s="158">
        <f t="shared" si="180"/>
        <v>0.0234</v>
      </c>
      <c r="P36" s="158">
        <f t="shared" si="180"/>
        <v>0.0328</v>
      </c>
      <c r="Q36" s="158">
        <f t="shared" si="180"/>
        <v>0.0136</v>
      </c>
      <c r="R36" s="177"/>
      <c r="S36" s="178">
        <f>B36/B37-1</f>
        <v>0.0279101292193555</v>
      </c>
      <c r="T36" s="179">
        <f>C36/C37-1</f>
        <v>0.0230379377629752</v>
      </c>
      <c r="U36" s="179">
        <f>E36/E37-1</f>
        <v>0.0335190332439408</v>
      </c>
      <c r="V36" s="179">
        <f>F36/F37-1</f>
        <v>0.0120618180765029</v>
      </c>
      <c r="W36" s="180" t="s">
        <v>2377</v>
      </c>
      <c r="X36" s="181">
        <v>1</v>
      </c>
      <c r="Y36" s="181">
        <v>1</v>
      </c>
      <c r="Z36" s="181">
        <v>1</v>
      </c>
      <c r="AA36" s="181">
        <v>1</v>
      </c>
      <c r="AB36" s="181">
        <v>1</v>
      </c>
      <c r="AD36" s="158">
        <f>I36/100</f>
        <v>0.0297</v>
      </c>
      <c r="AE36" s="158">
        <f>J36/100</f>
        <v>0.0234</v>
      </c>
      <c r="AF36" s="158">
        <f t="shared" si="191"/>
        <v>0.0234</v>
      </c>
      <c r="AG36" s="158">
        <f>K36/100</f>
        <v>0.0328</v>
      </c>
      <c r="AH36" s="158">
        <f>L36/100</f>
        <v>0.0136</v>
      </c>
    </row>
    <row r="37" ht="13.5" spans="1:26">
      <c r="A37" s="102" t="s">
        <v>2378</v>
      </c>
      <c r="B37" s="106">
        <v>299</v>
      </c>
      <c r="C37" s="106">
        <v>252</v>
      </c>
      <c r="D37" s="106">
        <f t="shared" si="183"/>
        <v>252</v>
      </c>
      <c r="E37" s="106">
        <v>409</v>
      </c>
      <c r="F37" s="107">
        <v>227</v>
      </c>
      <c r="G37" s="122">
        <v>2013</v>
      </c>
      <c r="H37" s="123">
        <v>4</v>
      </c>
      <c r="I37" s="123">
        <v>1.83</v>
      </c>
      <c r="J37" s="123">
        <v>1.68</v>
      </c>
      <c r="K37" s="123">
        <v>1.97</v>
      </c>
      <c r="L37" s="159">
        <v>0.87</v>
      </c>
      <c r="N37" s="145">
        <f t="shared" si="185"/>
        <v>0.0183</v>
      </c>
      <c r="O37" s="146">
        <f t="shared" si="180"/>
        <v>0.0168</v>
      </c>
      <c r="P37" s="146">
        <f t="shared" si="180"/>
        <v>0.0197</v>
      </c>
      <c r="Q37" s="146">
        <f t="shared" si="180"/>
        <v>0.0087</v>
      </c>
      <c r="R37" s="173"/>
      <c r="S37" s="174"/>
      <c r="T37" s="175"/>
      <c r="U37" s="175"/>
      <c r="V37" s="175"/>
      <c r="X37" s="175"/>
      <c r="Y37" s="175"/>
      <c r="Z37" s="175"/>
    </row>
    <row r="38" spans="1:22">
      <c r="A38" s="102" t="s">
        <v>2379</v>
      </c>
      <c r="B38" s="108">
        <f t="shared" ref="B38:C40" si="192">B37/(1+N37)</f>
        <v>293.626632622999</v>
      </c>
      <c r="C38" s="108">
        <f t="shared" si="192"/>
        <v>247.836349331235</v>
      </c>
      <c r="D38" s="108">
        <f t="shared" si="183"/>
        <v>247.836349331235</v>
      </c>
      <c r="E38" s="108">
        <f t="shared" ref="E38:F40" si="193">E37/(1+P37)</f>
        <v>401.098362263411</v>
      </c>
      <c r="F38" s="108">
        <f t="shared" si="193"/>
        <v>225.04213343908</v>
      </c>
      <c r="G38" s="124"/>
      <c r="H38" s="115">
        <v>3</v>
      </c>
      <c r="I38" s="115">
        <v>1.86</v>
      </c>
      <c r="J38" s="115">
        <v>1.72</v>
      </c>
      <c r="K38" s="115">
        <v>1.98</v>
      </c>
      <c r="L38" s="154">
        <v>0.88</v>
      </c>
      <c r="N38" s="147">
        <f t="shared" si="185"/>
        <v>0.0186</v>
      </c>
      <c r="O38" s="150">
        <f t="shared" si="180"/>
        <v>0.0172</v>
      </c>
      <c r="P38" s="150">
        <f t="shared" si="180"/>
        <v>0.0198</v>
      </c>
      <c r="Q38" s="150">
        <f t="shared" si="180"/>
        <v>0.0088</v>
      </c>
      <c r="R38" s="173"/>
      <c r="S38" s="147"/>
      <c r="T38" s="148"/>
      <c r="U38" s="148"/>
      <c r="V38" s="148"/>
    </row>
    <row r="39" spans="1:25">
      <c r="A39" s="102" t="s">
        <v>2380</v>
      </c>
      <c r="B39" s="108">
        <f t="shared" si="192"/>
        <v>288.264905382878</v>
      </c>
      <c r="C39" s="108">
        <f t="shared" si="192"/>
        <v>243.645644250133</v>
      </c>
      <c r="D39" s="108">
        <f t="shared" si="183"/>
        <v>243.645644250133</v>
      </c>
      <c r="E39" s="108">
        <f t="shared" si="193"/>
        <v>393.310808259865</v>
      </c>
      <c r="F39" s="108">
        <f t="shared" si="193"/>
        <v>223.079037905512</v>
      </c>
      <c r="G39" s="124"/>
      <c r="H39" s="109">
        <v>2</v>
      </c>
      <c r="I39" s="109">
        <v>2.04</v>
      </c>
      <c r="J39" s="109">
        <v>2.33</v>
      </c>
      <c r="K39" s="109">
        <v>2.07</v>
      </c>
      <c r="L39" s="149">
        <v>0.69</v>
      </c>
      <c r="N39" s="147">
        <f t="shared" si="185"/>
        <v>0.0204</v>
      </c>
      <c r="O39" s="150">
        <f t="shared" si="180"/>
        <v>0.0233</v>
      </c>
      <c r="P39" s="150">
        <f t="shared" si="180"/>
        <v>0.0207</v>
      </c>
      <c r="Q39" s="150">
        <f t="shared" si="180"/>
        <v>0.0069</v>
      </c>
      <c r="R39" s="173"/>
      <c r="S39" s="147"/>
      <c r="T39" s="148"/>
      <c r="U39" s="148"/>
      <c r="V39" s="148"/>
      <c r="X39" s="182"/>
      <c r="Y39" s="189"/>
    </row>
    <row r="40" spans="1:26">
      <c r="A40" s="102" t="s">
        <v>2381</v>
      </c>
      <c r="B40" s="108">
        <f t="shared" si="192"/>
        <v>282.501867290158</v>
      </c>
      <c r="C40" s="108">
        <f t="shared" si="192"/>
        <v>238.097961741555</v>
      </c>
      <c r="D40" s="108">
        <f t="shared" si="183"/>
        <v>238.097961741555</v>
      </c>
      <c r="E40" s="108">
        <f t="shared" si="193"/>
        <v>385.334386460141</v>
      </c>
      <c r="F40" s="108">
        <f t="shared" si="193"/>
        <v>221.550340555677</v>
      </c>
      <c r="G40" s="125"/>
      <c r="H40" s="104">
        <v>1</v>
      </c>
      <c r="I40" s="104">
        <v>1.67</v>
      </c>
      <c r="J40" s="104">
        <v>1.31</v>
      </c>
      <c r="K40" s="104">
        <v>1.85</v>
      </c>
      <c r="L40" s="143">
        <v>0.96</v>
      </c>
      <c r="N40" s="151">
        <f t="shared" si="185"/>
        <v>0.0167</v>
      </c>
      <c r="O40" s="152">
        <f t="shared" si="185"/>
        <v>0.0131</v>
      </c>
      <c r="P40" s="152">
        <f t="shared" si="185"/>
        <v>0.0185</v>
      </c>
      <c r="Q40" s="152">
        <f t="shared" si="185"/>
        <v>0.0096</v>
      </c>
      <c r="R40" s="173"/>
      <c r="S40" s="151">
        <f>B40/B41-1</f>
        <v>0.0161937672307855</v>
      </c>
      <c r="T40" s="152">
        <f>C40/C41-1</f>
        <v>0.0175126570151909</v>
      </c>
      <c r="U40" s="152">
        <f>E40/E41-1</f>
        <v>0.016713420739157</v>
      </c>
      <c r="V40" s="152">
        <f>F40/F41-1</f>
        <v>0.00704700252580626</v>
      </c>
      <c r="X40" s="183"/>
      <c r="Y40" s="148"/>
      <c r="Z40" s="148"/>
    </row>
    <row r="41" ht="13.5" spans="1:26">
      <c r="A41" s="102" t="s">
        <v>2382</v>
      </c>
      <c r="B41" s="126">
        <v>278</v>
      </c>
      <c r="C41" s="126">
        <v>234</v>
      </c>
      <c r="D41" s="126">
        <f t="shared" si="183"/>
        <v>234</v>
      </c>
      <c r="E41" s="126">
        <v>379</v>
      </c>
      <c r="F41" s="127">
        <v>220</v>
      </c>
      <c r="G41" s="113">
        <v>2012</v>
      </c>
      <c r="H41" s="114">
        <v>4</v>
      </c>
      <c r="I41" s="114">
        <v>0.91</v>
      </c>
      <c r="J41" s="114">
        <v>0.68</v>
      </c>
      <c r="K41" s="114">
        <v>0.98</v>
      </c>
      <c r="L41" s="153">
        <v>0.9</v>
      </c>
      <c r="N41" s="147">
        <f t="shared" si="185"/>
        <v>0.0091</v>
      </c>
      <c r="O41" s="148">
        <f t="shared" si="185"/>
        <v>0.0068</v>
      </c>
      <c r="P41" s="148">
        <f t="shared" si="185"/>
        <v>0.0098</v>
      </c>
      <c r="Q41" s="148">
        <f t="shared" si="185"/>
        <v>0.009</v>
      </c>
      <c r="R41" s="173"/>
      <c r="S41" s="174"/>
      <c r="T41" s="175"/>
      <c r="U41" s="175"/>
      <c r="V41" s="175"/>
      <c r="X41" s="175"/>
      <c r="Y41" s="175"/>
      <c r="Z41" s="175"/>
    </row>
    <row r="42" spans="1:22">
      <c r="A42" s="102" t="s">
        <v>2383</v>
      </c>
      <c r="B42" s="108">
        <f>B41/(1+N41)</f>
        <v>275.493013576454</v>
      </c>
      <c r="C42" s="108">
        <f>C41/(1+O41)</f>
        <v>232.419547079857</v>
      </c>
      <c r="D42" s="108">
        <f t="shared" si="183"/>
        <v>232.419547079857</v>
      </c>
      <c r="E42" s="108">
        <f t="shared" ref="E42:F44" si="194">E41/(1+P41)</f>
        <v>375.321845910081</v>
      </c>
      <c r="F42" s="108">
        <f t="shared" si="194"/>
        <v>218.037661050545</v>
      </c>
      <c r="G42" s="100"/>
      <c r="H42" s="115">
        <v>3</v>
      </c>
      <c r="I42" s="115">
        <v>0.09</v>
      </c>
      <c r="J42" s="115">
        <v>0.29</v>
      </c>
      <c r="K42" s="115">
        <v>-0.01</v>
      </c>
      <c r="L42" s="154">
        <v>0.58</v>
      </c>
      <c r="N42" s="147">
        <f t="shared" si="185"/>
        <v>0.0009</v>
      </c>
      <c r="O42" s="148">
        <f t="shared" si="185"/>
        <v>0.0029</v>
      </c>
      <c r="P42" s="148">
        <f t="shared" si="185"/>
        <v>-0.0001</v>
      </c>
      <c r="Q42" s="148">
        <f t="shared" si="185"/>
        <v>0.0058</v>
      </c>
      <c r="R42" s="173"/>
      <c r="S42" s="147"/>
      <c r="T42" s="148"/>
      <c r="U42" s="148"/>
      <c r="V42" s="148"/>
    </row>
    <row r="43" spans="1:22">
      <c r="A43" s="102" t="s">
        <v>2384</v>
      </c>
      <c r="B43" s="108">
        <f>B42/(1+N42)</f>
        <v>275.245292812923</v>
      </c>
      <c r="C43" s="108">
        <f>C42/(1+O42)</f>
        <v>231.747479389627</v>
      </c>
      <c r="D43" s="108">
        <f t="shared" si="183"/>
        <v>231.747479389627</v>
      </c>
      <c r="E43" s="108">
        <f t="shared" si="194"/>
        <v>375.359381848266</v>
      </c>
      <c r="F43" s="108">
        <f t="shared" si="194"/>
        <v>216.780335106925</v>
      </c>
      <c r="G43" s="100"/>
      <c r="H43" s="109">
        <v>2</v>
      </c>
      <c r="I43" s="109">
        <v>0.02</v>
      </c>
      <c r="J43" s="109">
        <v>0.12</v>
      </c>
      <c r="K43" s="109">
        <v>-0.08</v>
      </c>
      <c r="L43" s="149">
        <v>1.24</v>
      </c>
      <c r="N43" s="147">
        <f t="shared" si="185"/>
        <v>0.0002</v>
      </c>
      <c r="O43" s="148">
        <f t="shared" si="185"/>
        <v>0.0012</v>
      </c>
      <c r="P43" s="148">
        <f t="shared" si="185"/>
        <v>-0.0008</v>
      </c>
      <c r="Q43" s="148">
        <f t="shared" si="185"/>
        <v>0.0124</v>
      </c>
      <c r="R43" s="173"/>
      <c r="S43" s="147"/>
      <c r="T43" s="148"/>
      <c r="U43" s="148"/>
      <c r="V43" s="148"/>
    </row>
    <row r="44" ht="13.5" spans="1:26">
      <c r="A44" s="102" t="s">
        <v>2385</v>
      </c>
      <c r="B44" s="108">
        <f>B43/(1+N43)</f>
        <v>275.19025476197</v>
      </c>
      <c r="C44" s="128">
        <v>232</v>
      </c>
      <c r="D44" s="128">
        <f t="shared" si="183"/>
        <v>232</v>
      </c>
      <c r="E44" s="108">
        <f t="shared" si="194"/>
        <v>375.659909776087</v>
      </c>
      <c r="F44" s="108">
        <f t="shared" si="194"/>
        <v>214.125182839713</v>
      </c>
      <c r="G44" s="112"/>
      <c r="H44" s="104">
        <v>1</v>
      </c>
      <c r="I44" s="104">
        <v>0.02</v>
      </c>
      <c r="J44" s="104">
        <v>0.13</v>
      </c>
      <c r="K44" s="104">
        <v>-0.04</v>
      </c>
      <c r="L44" s="143">
        <v>0.46</v>
      </c>
      <c r="N44" s="147">
        <f t="shared" si="185"/>
        <v>0.0002</v>
      </c>
      <c r="O44" s="148">
        <f t="shared" si="185"/>
        <v>0.0013</v>
      </c>
      <c r="P44" s="148">
        <f t="shared" si="185"/>
        <v>-0.0004</v>
      </c>
      <c r="Q44" s="148">
        <f t="shared" si="185"/>
        <v>0.0046</v>
      </c>
      <c r="R44" s="173"/>
      <c r="S44" s="151">
        <f>B44/B45-1</f>
        <v>0.000691835498073612</v>
      </c>
      <c r="T44" s="152">
        <f>C44/C45-1</f>
        <v>0</v>
      </c>
      <c r="U44" s="152">
        <f>E44/E45-1</f>
        <v>-0.000904495276364603</v>
      </c>
      <c r="V44" s="152">
        <f>F44/F45-1</f>
        <v>0.00528254854325128</v>
      </c>
      <c r="X44" s="148"/>
      <c r="Y44" s="148"/>
      <c r="Z44" s="148"/>
    </row>
    <row r="45" ht="13.5" spans="1:26">
      <c r="A45" s="102" t="s">
        <v>2386</v>
      </c>
      <c r="B45" s="106">
        <v>275</v>
      </c>
      <c r="C45" s="106">
        <v>232</v>
      </c>
      <c r="D45" s="106">
        <f t="shared" si="183"/>
        <v>232</v>
      </c>
      <c r="E45" s="106">
        <v>376</v>
      </c>
      <c r="F45" s="107">
        <v>213</v>
      </c>
      <c r="G45" s="113">
        <v>2011</v>
      </c>
      <c r="H45" s="114">
        <v>4</v>
      </c>
      <c r="I45" s="114">
        <v>-0.2</v>
      </c>
      <c r="J45" s="114">
        <v>0.04</v>
      </c>
      <c r="K45" s="114">
        <v>-0.34</v>
      </c>
      <c r="L45" s="153">
        <v>0.46</v>
      </c>
      <c r="N45" s="145">
        <f t="shared" si="185"/>
        <v>-0.002</v>
      </c>
      <c r="O45" s="146">
        <f t="shared" si="185"/>
        <v>0.0004</v>
      </c>
      <c r="P45" s="146">
        <f t="shared" si="185"/>
        <v>-0.0034</v>
      </c>
      <c r="Q45" s="146">
        <f t="shared" si="185"/>
        <v>0.0046</v>
      </c>
      <c r="R45" s="173"/>
      <c r="S45" s="174"/>
      <c r="T45" s="175"/>
      <c r="U45" s="175"/>
      <c r="V45" s="175"/>
      <c r="X45" s="175"/>
      <c r="Y45" s="175"/>
      <c r="Z45" s="175"/>
    </row>
    <row r="46" spans="1:22">
      <c r="A46" s="102" t="s">
        <v>2387</v>
      </c>
      <c r="B46" s="108">
        <f t="shared" ref="B46:C48" si="195">B45/(1+N45)</f>
        <v>275.551102204409</v>
      </c>
      <c r="C46" s="108">
        <f t="shared" si="195"/>
        <v>231.907237105158</v>
      </c>
      <c r="D46" s="108">
        <f t="shared" si="183"/>
        <v>231.907237105158</v>
      </c>
      <c r="E46" s="108">
        <f t="shared" ref="E46:F48" si="196">E45/(1+P45)</f>
        <v>377.282761388722</v>
      </c>
      <c r="F46" s="108">
        <f t="shared" si="196"/>
        <v>212.024686442365</v>
      </c>
      <c r="G46" s="100">
        <v>2011</v>
      </c>
      <c r="H46" s="115">
        <v>3</v>
      </c>
      <c r="I46" s="115">
        <v>0.13</v>
      </c>
      <c r="J46" s="115">
        <v>0.75</v>
      </c>
      <c r="K46" s="115">
        <v>-0.08</v>
      </c>
      <c r="L46" s="154">
        <v>0.53</v>
      </c>
      <c r="N46" s="147">
        <f t="shared" si="185"/>
        <v>0.0013</v>
      </c>
      <c r="O46" s="150">
        <f t="shared" si="185"/>
        <v>0.0075</v>
      </c>
      <c r="P46" s="150">
        <f t="shared" si="185"/>
        <v>-0.0008</v>
      </c>
      <c r="Q46" s="150">
        <f t="shared" si="185"/>
        <v>0.0053</v>
      </c>
      <c r="R46" s="173"/>
      <c r="S46" s="147"/>
      <c r="T46" s="148"/>
      <c r="U46" s="148"/>
      <c r="V46" s="148"/>
    </row>
    <row r="47" spans="1:22">
      <c r="A47" s="102" t="s">
        <v>2388</v>
      </c>
      <c r="B47" s="108">
        <f t="shared" si="195"/>
        <v>275.193350848306</v>
      </c>
      <c r="C47" s="108">
        <f t="shared" si="195"/>
        <v>230.180880501397</v>
      </c>
      <c r="D47" s="108">
        <f t="shared" si="183"/>
        <v>230.180880501397</v>
      </c>
      <c r="E47" s="108">
        <f t="shared" si="196"/>
        <v>377.584829252123</v>
      </c>
      <c r="F47" s="108">
        <f t="shared" si="196"/>
        <v>210.906879978479</v>
      </c>
      <c r="G47" s="100">
        <v>2011</v>
      </c>
      <c r="H47" s="109">
        <v>2</v>
      </c>
      <c r="I47" s="109">
        <v>-0.4</v>
      </c>
      <c r="J47" s="109">
        <v>0.17</v>
      </c>
      <c r="K47" s="109">
        <v>-0.58</v>
      </c>
      <c r="L47" s="149">
        <v>-0.2</v>
      </c>
      <c r="N47" s="147">
        <f t="shared" si="185"/>
        <v>-0.004</v>
      </c>
      <c r="O47" s="150">
        <f t="shared" si="185"/>
        <v>0.0017</v>
      </c>
      <c r="P47" s="150">
        <f t="shared" si="185"/>
        <v>-0.0058</v>
      </c>
      <c r="Q47" s="150">
        <f t="shared" si="185"/>
        <v>-0.002</v>
      </c>
      <c r="R47" s="173"/>
      <c r="S47" s="147"/>
      <c r="T47" s="148"/>
      <c r="U47" s="148"/>
      <c r="V47" s="148"/>
    </row>
    <row r="48" ht="13.5" spans="1:26">
      <c r="A48" s="102" t="s">
        <v>2389</v>
      </c>
      <c r="B48" s="108">
        <f t="shared" si="195"/>
        <v>276.29854502842</v>
      </c>
      <c r="C48" s="108">
        <f t="shared" si="195"/>
        <v>229.79023709833</v>
      </c>
      <c r="D48" s="108">
        <f t="shared" si="183"/>
        <v>229.79023709833</v>
      </c>
      <c r="E48" s="108">
        <f t="shared" si="196"/>
        <v>379.787597316559</v>
      </c>
      <c r="F48" s="108">
        <f t="shared" si="196"/>
        <v>211.329539056592</v>
      </c>
      <c r="G48" s="112">
        <v>2011</v>
      </c>
      <c r="H48" s="104">
        <v>1</v>
      </c>
      <c r="I48" s="104">
        <v>2.65</v>
      </c>
      <c r="J48" s="104">
        <v>3.76</v>
      </c>
      <c r="K48" s="104">
        <v>1.89</v>
      </c>
      <c r="L48" s="143">
        <v>7.95</v>
      </c>
      <c r="N48" s="151">
        <f t="shared" si="185"/>
        <v>0.0265</v>
      </c>
      <c r="O48" s="152">
        <f t="shared" si="185"/>
        <v>0.0376</v>
      </c>
      <c r="P48" s="152">
        <f t="shared" si="185"/>
        <v>0.0189</v>
      </c>
      <c r="Q48" s="152">
        <f t="shared" si="185"/>
        <v>0.0795</v>
      </c>
      <c r="R48" s="173"/>
      <c r="S48" s="151">
        <f>B48/B49-1</f>
        <v>0.0271321376521179</v>
      </c>
      <c r="T48" s="152">
        <f>C48/C49-1</f>
        <v>0.0397748284992319</v>
      </c>
      <c r="U48" s="152">
        <f>E48/E49-1</f>
        <v>0.0181973118406418</v>
      </c>
      <c r="V48" s="152">
        <f>F48/F49-1</f>
        <v>0.0782119339622058</v>
      </c>
      <c r="X48" s="148"/>
      <c r="Y48" s="148"/>
      <c r="Z48" s="148"/>
    </row>
    <row r="49" ht="13.5" spans="1:26">
      <c r="A49" s="102" t="s">
        <v>2390</v>
      </c>
      <c r="B49" s="106">
        <v>269</v>
      </c>
      <c r="C49" s="106">
        <v>221</v>
      </c>
      <c r="D49" s="106">
        <f t="shared" si="183"/>
        <v>221</v>
      </c>
      <c r="E49" s="106">
        <v>373</v>
      </c>
      <c r="F49" s="107">
        <v>196</v>
      </c>
      <c r="G49" s="113">
        <v>2010</v>
      </c>
      <c r="H49" s="114">
        <v>4</v>
      </c>
      <c r="I49" s="114">
        <v>5.72</v>
      </c>
      <c r="J49" s="114">
        <v>6.57</v>
      </c>
      <c r="K49" s="114">
        <v>5.72</v>
      </c>
      <c r="L49" s="153">
        <v>2.72</v>
      </c>
      <c r="N49" s="147">
        <f t="shared" si="185"/>
        <v>0.0572</v>
      </c>
      <c r="O49" s="148">
        <f t="shared" si="185"/>
        <v>0.0657</v>
      </c>
      <c r="P49" s="148">
        <f t="shared" si="185"/>
        <v>0.0572</v>
      </c>
      <c r="Q49" s="148">
        <f t="shared" si="185"/>
        <v>0.0272</v>
      </c>
      <c r="R49" s="173"/>
      <c r="S49" s="174"/>
      <c r="T49" s="175"/>
      <c r="U49" s="175"/>
      <c r="V49" s="175"/>
      <c r="X49" s="175"/>
      <c r="Y49" s="175"/>
      <c r="Z49" s="175"/>
    </row>
    <row r="50" spans="1:22">
      <c r="A50" s="102" t="s">
        <v>2391</v>
      </c>
      <c r="B50" s="108">
        <f t="shared" ref="B50:C52" si="197">B49/(1+N49)</f>
        <v>254.445705637533</v>
      </c>
      <c r="C50" s="108">
        <f t="shared" si="197"/>
        <v>207.375433987051</v>
      </c>
      <c r="D50" s="108">
        <f t="shared" si="183"/>
        <v>207.375433987051</v>
      </c>
      <c r="E50" s="108">
        <f t="shared" ref="E50:F52" si="198">E49/(1+P49)</f>
        <v>352.818766553159</v>
      </c>
      <c r="F50" s="108">
        <f t="shared" si="198"/>
        <v>190.809968847352</v>
      </c>
      <c r="G50" s="100">
        <v>2010</v>
      </c>
      <c r="H50" s="115">
        <v>3</v>
      </c>
      <c r="I50" s="115">
        <v>4.73</v>
      </c>
      <c r="J50" s="115">
        <v>3.9</v>
      </c>
      <c r="K50" s="115">
        <v>5.03</v>
      </c>
      <c r="L50" s="154">
        <v>4.21</v>
      </c>
      <c r="N50" s="147">
        <f t="shared" si="185"/>
        <v>0.0473</v>
      </c>
      <c r="O50" s="148">
        <f t="shared" si="185"/>
        <v>0.039</v>
      </c>
      <c r="P50" s="148">
        <f t="shared" si="185"/>
        <v>0.0503</v>
      </c>
      <c r="Q50" s="148">
        <f t="shared" si="185"/>
        <v>0.0421</v>
      </c>
      <c r="R50" s="173"/>
      <c r="S50" s="147"/>
      <c r="T50" s="148"/>
      <c r="U50" s="148"/>
      <c r="V50" s="148"/>
    </row>
    <row r="51" spans="1:22">
      <c r="A51" s="102" t="s">
        <v>2392</v>
      </c>
      <c r="B51" s="108">
        <f t="shared" si="197"/>
        <v>242.953982275884</v>
      </c>
      <c r="C51" s="108">
        <f t="shared" si="197"/>
        <v>199.591370536141</v>
      </c>
      <c r="D51" s="108">
        <f t="shared" si="183"/>
        <v>199.591370536141</v>
      </c>
      <c r="E51" s="108">
        <f t="shared" si="198"/>
        <v>335.921895223421</v>
      </c>
      <c r="F51" s="108">
        <f t="shared" si="198"/>
        <v>183.101399911095</v>
      </c>
      <c r="G51" s="100">
        <v>2010</v>
      </c>
      <c r="H51" s="109">
        <v>2</v>
      </c>
      <c r="I51" s="109">
        <v>4.69</v>
      </c>
      <c r="J51" s="109">
        <v>3.55</v>
      </c>
      <c r="K51" s="109">
        <v>5.07</v>
      </c>
      <c r="L51" s="149">
        <v>4.23</v>
      </c>
      <c r="N51" s="147">
        <f t="shared" si="185"/>
        <v>0.0469</v>
      </c>
      <c r="O51" s="148">
        <f t="shared" si="185"/>
        <v>0.0355</v>
      </c>
      <c r="P51" s="148">
        <f t="shared" si="185"/>
        <v>0.0507</v>
      </c>
      <c r="Q51" s="148">
        <f t="shared" si="185"/>
        <v>0.0423</v>
      </c>
      <c r="R51" s="173"/>
      <c r="S51" s="147"/>
      <c r="T51" s="148"/>
      <c r="U51" s="148"/>
      <c r="V51" s="148"/>
    </row>
    <row r="52" ht="13.5" spans="1:26">
      <c r="A52" s="102" t="s">
        <v>2393</v>
      </c>
      <c r="B52" s="108">
        <f t="shared" si="197"/>
        <v>232.069903788216</v>
      </c>
      <c r="C52" s="108">
        <f t="shared" si="197"/>
        <v>192.748788542869</v>
      </c>
      <c r="D52" s="108">
        <f t="shared" si="183"/>
        <v>192.748788542869</v>
      </c>
      <c r="E52" s="108">
        <f t="shared" si="198"/>
        <v>319.71247284993</v>
      </c>
      <c r="F52" s="108">
        <f t="shared" si="198"/>
        <v>175.670536228624</v>
      </c>
      <c r="G52" s="112">
        <v>2010</v>
      </c>
      <c r="H52" s="104">
        <v>1</v>
      </c>
      <c r="I52" s="104">
        <v>5.4</v>
      </c>
      <c r="J52" s="104">
        <v>3.2</v>
      </c>
      <c r="K52" s="104">
        <v>6.16</v>
      </c>
      <c r="L52" s="143">
        <v>4.51</v>
      </c>
      <c r="N52" s="147">
        <f t="shared" si="185"/>
        <v>0.054</v>
      </c>
      <c r="O52" s="148">
        <f t="shared" si="185"/>
        <v>0.032</v>
      </c>
      <c r="P52" s="148">
        <f t="shared" si="185"/>
        <v>0.0616</v>
      </c>
      <c r="Q52" s="148">
        <f t="shared" si="185"/>
        <v>0.0451</v>
      </c>
      <c r="R52" s="173"/>
      <c r="S52" s="151">
        <f>B52/B53-1</f>
        <v>0.0548631990373476</v>
      </c>
      <c r="T52" s="152">
        <f>C52/C53-1</f>
        <v>0.0307421847212266</v>
      </c>
      <c r="U52" s="152">
        <f>E52/E53-1</f>
        <v>0.0621676838868102</v>
      </c>
      <c r="V52" s="152">
        <f>F52/F53-1</f>
        <v>0.04565795374181</v>
      </c>
      <c r="X52" s="148"/>
      <c r="Y52" s="148"/>
      <c r="Z52" s="148"/>
    </row>
    <row r="53" ht="13.5" spans="1:26">
      <c r="A53" s="102" t="s">
        <v>2394</v>
      </c>
      <c r="B53" s="106">
        <v>220</v>
      </c>
      <c r="C53" s="106">
        <v>187</v>
      </c>
      <c r="D53" s="106">
        <f t="shared" si="183"/>
        <v>187</v>
      </c>
      <c r="E53" s="106">
        <v>301</v>
      </c>
      <c r="F53" s="107">
        <v>168</v>
      </c>
      <c r="G53" s="113">
        <v>2009</v>
      </c>
      <c r="H53" s="114">
        <v>4</v>
      </c>
      <c r="I53" s="114">
        <v>2.3</v>
      </c>
      <c r="J53" s="114">
        <v>1.04</v>
      </c>
      <c r="K53" s="114">
        <v>2.84</v>
      </c>
      <c r="L53" s="153">
        <v>0.67</v>
      </c>
      <c r="N53" s="145">
        <f t="shared" si="185"/>
        <v>0.023</v>
      </c>
      <c r="O53" s="146">
        <f t="shared" si="185"/>
        <v>0.0104</v>
      </c>
      <c r="P53" s="146">
        <f t="shared" si="185"/>
        <v>0.0284</v>
      </c>
      <c r="Q53" s="146">
        <f t="shared" si="185"/>
        <v>0.0067</v>
      </c>
      <c r="R53" s="173"/>
      <c r="S53" s="174"/>
      <c r="T53" s="175"/>
      <c r="U53" s="175"/>
      <c r="V53" s="175"/>
      <c r="X53" s="175"/>
      <c r="Y53" s="175"/>
      <c r="Z53" s="175"/>
    </row>
    <row r="54" spans="1:22">
      <c r="A54" s="102" t="s">
        <v>2395</v>
      </c>
      <c r="B54" s="108">
        <f t="shared" ref="B54:C56" si="199">B53/(1+N53)</f>
        <v>215.05376344086</v>
      </c>
      <c r="C54" s="108">
        <f t="shared" si="199"/>
        <v>185.07521773555</v>
      </c>
      <c r="D54" s="108">
        <f t="shared" si="183"/>
        <v>185.07521773555</v>
      </c>
      <c r="E54" s="108">
        <f t="shared" ref="E54:F56" si="200">E53/(1+P53)</f>
        <v>292.68767016725</v>
      </c>
      <c r="F54" s="108">
        <f t="shared" si="200"/>
        <v>166.881891328102</v>
      </c>
      <c r="G54" s="100">
        <v>2009</v>
      </c>
      <c r="H54" s="115">
        <v>3</v>
      </c>
      <c r="I54" s="115">
        <v>2.1</v>
      </c>
      <c r="J54" s="115">
        <v>1.86</v>
      </c>
      <c r="K54" s="115">
        <v>2.29</v>
      </c>
      <c r="L54" s="154">
        <v>0.85</v>
      </c>
      <c r="N54" s="147">
        <f t="shared" si="185"/>
        <v>0.021</v>
      </c>
      <c r="O54" s="150">
        <f t="shared" si="185"/>
        <v>0.0186</v>
      </c>
      <c r="P54" s="150">
        <f t="shared" si="185"/>
        <v>0.0229</v>
      </c>
      <c r="Q54" s="150">
        <f t="shared" si="185"/>
        <v>0.0085</v>
      </c>
      <c r="R54" s="173"/>
      <c r="S54" s="147"/>
      <c r="T54" s="148"/>
      <c r="U54" s="148"/>
      <c r="V54" s="148"/>
    </row>
    <row r="55" spans="1:22">
      <c r="A55" s="102" t="s">
        <v>2396</v>
      </c>
      <c r="B55" s="108">
        <f t="shared" si="199"/>
        <v>210.630522469011</v>
      </c>
      <c r="C55" s="108">
        <f t="shared" si="199"/>
        <v>181.695678122472</v>
      </c>
      <c r="D55" s="108">
        <f t="shared" si="183"/>
        <v>181.695678122472</v>
      </c>
      <c r="E55" s="108">
        <f t="shared" si="200"/>
        <v>286.135174667367</v>
      </c>
      <c r="F55" s="108">
        <f t="shared" si="200"/>
        <v>165.475350845911</v>
      </c>
      <c r="G55" s="100">
        <v>2009</v>
      </c>
      <c r="H55" s="109">
        <v>2</v>
      </c>
      <c r="I55" s="109">
        <v>0.86</v>
      </c>
      <c r="J55" s="109">
        <v>-1.13</v>
      </c>
      <c r="K55" s="109">
        <v>1.79</v>
      </c>
      <c r="L55" s="149">
        <v>-2.07</v>
      </c>
      <c r="N55" s="147">
        <f t="shared" si="185"/>
        <v>0.0086</v>
      </c>
      <c r="O55" s="150">
        <f t="shared" si="185"/>
        <v>-0.0113</v>
      </c>
      <c r="P55" s="150">
        <f t="shared" si="185"/>
        <v>0.0179</v>
      </c>
      <c r="Q55" s="150">
        <f t="shared" si="185"/>
        <v>-0.0207</v>
      </c>
      <c r="R55" s="173"/>
      <c r="S55" s="147"/>
      <c r="T55" s="148"/>
      <c r="U55" s="148"/>
      <c r="V55" s="148"/>
    </row>
    <row r="56" spans="1:26">
      <c r="A56" s="102" t="s">
        <v>2397</v>
      </c>
      <c r="B56" s="108">
        <f t="shared" si="199"/>
        <v>208.834545378754</v>
      </c>
      <c r="C56" s="108">
        <f t="shared" si="199"/>
        <v>183.772305170904</v>
      </c>
      <c r="D56" s="108">
        <f t="shared" si="183"/>
        <v>183.772305170904</v>
      </c>
      <c r="E56" s="108">
        <f t="shared" si="200"/>
        <v>281.103423388709</v>
      </c>
      <c r="F56" s="108">
        <f t="shared" si="200"/>
        <v>168.973093889423</v>
      </c>
      <c r="G56" s="112">
        <v>2009</v>
      </c>
      <c r="H56" s="104">
        <v>1</v>
      </c>
      <c r="I56" s="104">
        <v>-2.64</v>
      </c>
      <c r="J56" s="104">
        <v>-2.53</v>
      </c>
      <c r="K56" s="104">
        <v>-3.02</v>
      </c>
      <c r="L56" s="143">
        <v>1.52</v>
      </c>
      <c r="N56" s="151">
        <f t="shared" si="185"/>
        <v>-0.0264</v>
      </c>
      <c r="O56" s="152">
        <f t="shared" si="185"/>
        <v>-0.0253</v>
      </c>
      <c r="P56" s="152">
        <f t="shared" si="185"/>
        <v>-0.0302</v>
      </c>
      <c r="Q56" s="152">
        <f t="shared" si="185"/>
        <v>0.0152</v>
      </c>
      <c r="R56" s="173"/>
      <c r="S56" s="151">
        <f>B56/B57-1</f>
        <v>-0.0241376384170388</v>
      </c>
      <c r="T56" s="152">
        <f>C56/C57-1</f>
        <v>-0.022487738452641</v>
      </c>
      <c r="U56" s="152">
        <f>E56/E57-1</f>
        <v>-0.0273237945027354</v>
      </c>
      <c r="V56" s="152">
        <f>F56/F57-1</f>
        <v>0.017910204153148</v>
      </c>
      <c r="X56" s="148"/>
      <c r="Y56" s="148"/>
      <c r="Z56" s="148"/>
    </row>
    <row r="57" ht="13.5" spans="1:26">
      <c r="A57" s="102" t="s">
        <v>2398</v>
      </c>
      <c r="B57" s="126">
        <v>214</v>
      </c>
      <c r="C57" s="126">
        <v>188</v>
      </c>
      <c r="D57" s="126">
        <f t="shared" si="183"/>
        <v>188</v>
      </c>
      <c r="E57" s="126">
        <v>289</v>
      </c>
      <c r="F57" s="127">
        <v>166</v>
      </c>
      <c r="G57" s="113">
        <v>2008</v>
      </c>
      <c r="H57" s="114">
        <v>4</v>
      </c>
      <c r="I57" s="114">
        <v>1.73</v>
      </c>
      <c r="J57" s="114">
        <v>0.03</v>
      </c>
      <c r="K57" s="114">
        <v>2.59</v>
      </c>
      <c r="L57" s="153">
        <v>-1.66</v>
      </c>
      <c r="N57" s="147">
        <f t="shared" si="185"/>
        <v>0.0173</v>
      </c>
      <c r="O57" s="148">
        <f t="shared" si="185"/>
        <v>0.0003</v>
      </c>
      <c r="P57" s="148">
        <f t="shared" si="185"/>
        <v>0.0259</v>
      </c>
      <c r="Q57" s="148">
        <f t="shared" si="185"/>
        <v>-0.0166</v>
      </c>
      <c r="R57" s="173"/>
      <c r="S57" s="174"/>
      <c r="T57" s="175"/>
      <c r="U57" s="175"/>
      <c r="V57" s="175"/>
      <c r="X57" s="175"/>
      <c r="Y57" s="175"/>
      <c r="Z57" s="175"/>
    </row>
    <row r="58" spans="1:22">
      <c r="A58" s="102" t="s">
        <v>2399</v>
      </c>
      <c r="B58" s="108">
        <f t="shared" ref="B58:C60" si="201">B57/(1+N57)</f>
        <v>210.360758871523</v>
      </c>
      <c r="C58" s="108">
        <f t="shared" si="201"/>
        <v>187.943616914926</v>
      </c>
      <c r="D58" s="108">
        <f t="shared" si="183"/>
        <v>187.943616914926</v>
      </c>
      <c r="E58" s="108">
        <f t="shared" ref="E58:F60" si="202">E57/(1+P57)</f>
        <v>281.703869772882</v>
      </c>
      <c r="F58" s="108">
        <f t="shared" si="202"/>
        <v>168.80211511084</v>
      </c>
      <c r="G58" s="100">
        <v>2008</v>
      </c>
      <c r="H58" s="115">
        <v>3</v>
      </c>
      <c r="I58" s="115">
        <v>1.96</v>
      </c>
      <c r="J58" s="115">
        <v>2.36</v>
      </c>
      <c r="K58" s="115">
        <v>1.82</v>
      </c>
      <c r="L58" s="154">
        <v>2.22</v>
      </c>
      <c r="N58" s="147">
        <f t="shared" si="185"/>
        <v>0.0196</v>
      </c>
      <c r="O58" s="148">
        <f t="shared" si="185"/>
        <v>0.0236</v>
      </c>
      <c r="P58" s="148">
        <f t="shared" si="185"/>
        <v>0.0182</v>
      </c>
      <c r="Q58" s="148">
        <f t="shared" si="185"/>
        <v>0.0222</v>
      </c>
      <c r="R58" s="173"/>
      <c r="S58" s="147"/>
      <c r="T58" s="148"/>
      <c r="U58" s="148"/>
      <c r="V58" s="148"/>
    </row>
    <row r="59" spans="1:22">
      <c r="A59" s="102" t="s">
        <v>2400</v>
      </c>
      <c r="B59" s="108">
        <f t="shared" si="201"/>
        <v>206.316946715891</v>
      </c>
      <c r="C59" s="108">
        <f t="shared" si="201"/>
        <v>183.610411210361</v>
      </c>
      <c r="D59" s="108">
        <f t="shared" si="183"/>
        <v>183.610411210361</v>
      </c>
      <c r="E59" s="108">
        <f t="shared" si="202"/>
        <v>276.668503017956</v>
      </c>
      <c r="F59" s="108">
        <f t="shared" si="202"/>
        <v>165.136093827861</v>
      </c>
      <c r="G59" s="100">
        <v>2008</v>
      </c>
      <c r="H59" s="109">
        <v>2</v>
      </c>
      <c r="I59" s="109">
        <v>4.93</v>
      </c>
      <c r="J59" s="109">
        <v>7.38</v>
      </c>
      <c r="K59" s="109">
        <v>3.98</v>
      </c>
      <c r="L59" s="149">
        <v>6.86</v>
      </c>
      <c r="N59" s="147">
        <f t="shared" si="185"/>
        <v>0.0493</v>
      </c>
      <c r="O59" s="148">
        <f t="shared" si="185"/>
        <v>0.0738</v>
      </c>
      <c r="P59" s="148">
        <f t="shared" si="185"/>
        <v>0.0398</v>
      </c>
      <c r="Q59" s="148">
        <f t="shared" si="185"/>
        <v>0.0686</v>
      </c>
      <c r="R59" s="173"/>
      <c r="S59" s="147"/>
      <c r="T59" s="148"/>
      <c r="U59" s="148"/>
      <c r="V59" s="148"/>
    </row>
    <row r="60" s="80" customFormat="1" ht="13.5" spans="1:26">
      <c r="A60" s="102" t="s">
        <v>2401</v>
      </c>
      <c r="B60" s="129">
        <f t="shared" si="201"/>
        <v>196.623412480598</v>
      </c>
      <c r="C60" s="129">
        <f t="shared" si="201"/>
        <v>170.99125648199</v>
      </c>
      <c r="D60" s="129">
        <f t="shared" si="183"/>
        <v>170.99125648199</v>
      </c>
      <c r="E60" s="129">
        <f t="shared" si="202"/>
        <v>266.078575704901</v>
      </c>
      <c r="F60" s="129">
        <f t="shared" si="202"/>
        <v>154.534993288285</v>
      </c>
      <c r="G60" s="112">
        <v>2008</v>
      </c>
      <c r="H60" s="130">
        <v>1</v>
      </c>
      <c r="I60" s="130">
        <v>4.14</v>
      </c>
      <c r="J60" s="130">
        <v>3.45</v>
      </c>
      <c r="K60" s="130">
        <v>4.95</v>
      </c>
      <c r="L60" s="160">
        <v>4.82</v>
      </c>
      <c r="N60" s="161">
        <f t="shared" si="185"/>
        <v>0.0414</v>
      </c>
      <c r="O60" s="162">
        <f t="shared" si="185"/>
        <v>0.0345</v>
      </c>
      <c r="P60" s="162">
        <f t="shared" si="185"/>
        <v>0.0495</v>
      </c>
      <c r="Q60" s="162">
        <f t="shared" si="185"/>
        <v>0.0482</v>
      </c>
      <c r="R60" s="184"/>
      <c r="S60" s="161">
        <f>B60/B61-1</f>
        <v>0.0458692153223283</v>
      </c>
      <c r="T60" s="162">
        <f>C60/C61-1</f>
        <v>0.0363106453453947</v>
      </c>
      <c r="U60" s="162">
        <f>E60/E61-1</f>
        <v>0.0475534476570887</v>
      </c>
      <c r="V60" s="162">
        <f>F60/F61-1</f>
        <v>0.0441553600559801</v>
      </c>
      <c r="X60" s="162"/>
      <c r="Y60" s="162"/>
      <c r="Z60" s="162"/>
    </row>
    <row r="61" ht="13.5" spans="1:26">
      <c r="A61" s="102" t="s">
        <v>2402</v>
      </c>
      <c r="B61" s="106">
        <v>188</v>
      </c>
      <c r="C61" s="106">
        <v>165</v>
      </c>
      <c r="D61" s="106">
        <f t="shared" si="183"/>
        <v>165</v>
      </c>
      <c r="E61" s="106">
        <v>254</v>
      </c>
      <c r="F61" s="107">
        <v>148</v>
      </c>
      <c r="G61" s="113">
        <v>2007</v>
      </c>
      <c r="H61" s="131">
        <v>4</v>
      </c>
      <c r="I61" s="131">
        <v>5.51</v>
      </c>
      <c r="J61" s="131">
        <v>4.89</v>
      </c>
      <c r="K61" s="131">
        <v>6.43</v>
      </c>
      <c r="L61" s="163">
        <v>5.36</v>
      </c>
      <c r="N61" s="164">
        <f t="shared" ref="N61:O64" si="203">B61/B62-1</f>
        <v>0.0413397183652455</v>
      </c>
      <c r="O61" s="165">
        <f t="shared" si="203"/>
        <v>0.040324492593776</v>
      </c>
      <c r="P61" s="165">
        <f t="shared" ref="P61:Q64" si="204">E61/E62-1</f>
        <v>0.061625555347991</v>
      </c>
      <c r="Q61" s="165">
        <f t="shared" si="204"/>
        <v>0.0467575692505906</v>
      </c>
      <c r="R61" s="173"/>
      <c r="S61" s="174"/>
      <c r="T61" s="175"/>
      <c r="U61" s="175"/>
      <c r="V61" s="175"/>
      <c r="X61" s="175"/>
      <c r="Y61" s="175"/>
      <c r="Z61" s="175"/>
    </row>
    <row r="62" spans="1:26">
      <c r="A62" s="102" t="s">
        <v>2403</v>
      </c>
      <c r="B62" s="108">
        <f t="shared" ref="B62:C64" si="205">B63+(B$61-B$65)*I62/SUM(I$61:I$64)</f>
        <v>180.536665109762</v>
      </c>
      <c r="C62" s="108">
        <f t="shared" si="205"/>
        <v>158.604359673025</v>
      </c>
      <c r="D62" s="108">
        <f t="shared" si="183"/>
        <v>158.604359673025</v>
      </c>
      <c r="E62" s="108">
        <f t="shared" ref="E62:F64" si="206">E63+(E$61-E$65)*K62/SUM(K$61:K$64)</f>
        <v>239.255732607851</v>
      </c>
      <c r="F62" s="108">
        <f t="shared" si="206"/>
        <v>141.3889943074</v>
      </c>
      <c r="G62" s="100">
        <v>2007</v>
      </c>
      <c r="H62" s="115">
        <v>3</v>
      </c>
      <c r="I62" s="115">
        <v>8.65</v>
      </c>
      <c r="J62" s="115">
        <v>8.06</v>
      </c>
      <c r="K62" s="115">
        <v>9.94</v>
      </c>
      <c r="L62" s="154">
        <v>5.8</v>
      </c>
      <c r="N62" s="164">
        <f t="shared" si="203"/>
        <v>0.0694021757174001</v>
      </c>
      <c r="O62" s="165">
        <f t="shared" si="203"/>
        <v>0.0711974824711534</v>
      </c>
      <c r="P62" s="165">
        <f t="shared" si="204"/>
        <v>0.105296799225796</v>
      </c>
      <c r="Q62" s="165">
        <f t="shared" si="204"/>
        <v>0.0532922450595121</v>
      </c>
      <c r="R62" s="173"/>
      <c r="S62" s="147"/>
      <c r="T62" s="148"/>
      <c r="U62" s="148"/>
      <c r="V62" s="148"/>
      <c r="X62" s="185"/>
      <c r="Y62" s="185"/>
      <c r="Z62" s="185"/>
    </row>
    <row r="63" spans="1:26">
      <c r="A63" s="102" t="s">
        <v>2404</v>
      </c>
      <c r="B63" s="108">
        <f t="shared" si="205"/>
        <v>168.820177487156</v>
      </c>
      <c r="C63" s="108">
        <f t="shared" si="205"/>
        <v>148.062670299728</v>
      </c>
      <c r="D63" s="108">
        <f t="shared" si="183"/>
        <v>148.062670299728</v>
      </c>
      <c r="E63" s="108">
        <f t="shared" si="206"/>
        <v>216.462883793237</v>
      </c>
      <c r="F63" s="108">
        <f t="shared" si="206"/>
        <v>134.235294117647</v>
      </c>
      <c r="G63" s="100">
        <v>2007</v>
      </c>
      <c r="H63" s="109">
        <v>2</v>
      </c>
      <c r="I63" s="109">
        <v>3.67</v>
      </c>
      <c r="J63" s="109">
        <v>2.32</v>
      </c>
      <c r="K63" s="109">
        <v>5.02</v>
      </c>
      <c r="L63" s="149">
        <v>6.71</v>
      </c>
      <c r="N63" s="164">
        <f t="shared" si="203"/>
        <v>0.030339138143848</v>
      </c>
      <c r="O63" s="165">
        <f t="shared" si="203"/>
        <v>0.0209223415887905</v>
      </c>
      <c r="P63" s="165">
        <f t="shared" si="204"/>
        <v>0.056164796592717</v>
      </c>
      <c r="Q63" s="165">
        <f t="shared" si="204"/>
        <v>0.0657045367238873</v>
      </c>
      <c r="R63" s="173"/>
      <c r="S63" s="147"/>
      <c r="T63" s="148"/>
      <c r="U63" s="148"/>
      <c r="V63" s="148"/>
      <c r="X63" s="185"/>
      <c r="Y63" s="185"/>
      <c r="Z63" s="185"/>
    </row>
    <row r="64" spans="1:26">
      <c r="A64" s="102" t="s">
        <v>2405</v>
      </c>
      <c r="B64" s="108">
        <f t="shared" si="205"/>
        <v>163.849135917795</v>
      </c>
      <c r="C64" s="108">
        <f t="shared" si="205"/>
        <v>145.028337874659</v>
      </c>
      <c r="D64" s="108">
        <f t="shared" si="183"/>
        <v>145.028337874659</v>
      </c>
      <c r="E64" s="108">
        <f t="shared" si="206"/>
        <v>204.951807228916</v>
      </c>
      <c r="F64" s="108">
        <f t="shared" si="206"/>
        <v>125.959203036053</v>
      </c>
      <c r="G64" s="112">
        <v>2007</v>
      </c>
      <c r="H64" s="104">
        <v>1</v>
      </c>
      <c r="I64" s="104">
        <v>3.58</v>
      </c>
      <c r="J64" s="104">
        <v>3.08</v>
      </c>
      <c r="K64" s="104">
        <v>4.34</v>
      </c>
      <c r="L64" s="143">
        <v>3.21</v>
      </c>
      <c r="N64" s="166">
        <f t="shared" si="203"/>
        <v>0.0304977101748141</v>
      </c>
      <c r="O64" s="167">
        <f t="shared" si="203"/>
        <v>0.028569772160705</v>
      </c>
      <c r="P64" s="167">
        <f t="shared" si="204"/>
        <v>0.0510349088662343</v>
      </c>
      <c r="Q64" s="167">
        <f t="shared" si="204"/>
        <v>0.0324524839020748</v>
      </c>
      <c r="R64" s="173"/>
      <c r="S64" s="151">
        <f>B64/B65-1</f>
        <v>0.0304977101748141</v>
      </c>
      <c r="T64" s="152">
        <f>C64/C65-1</f>
        <v>0.028569772160705</v>
      </c>
      <c r="U64" s="152">
        <f>E64/E65-1</f>
        <v>0.0510349088662343</v>
      </c>
      <c r="V64" s="152">
        <f>F64/F65-1</f>
        <v>0.0324524839020748</v>
      </c>
      <c r="X64" s="185"/>
      <c r="Y64" s="185"/>
      <c r="Z64" s="185"/>
    </row>
    <row r="65" ht="13.5" spans="1:26">
      <c r="A65" s="102" t="s">
        <v>2406</v>
      </c>
      <c r="B65" s="116">
        <v>159</v>
      </c>
      <c r="C65" s="116">
        <v>141</v>
      </c>
      <c r="D65" s="116">
        <f t="shared" si="183"/>
        <v>141</v>
      </c>
      <c r="E65" s="116">
        <v>195</v>
      </c>
      <c r="F65" s="117">
        <v>122</v>
      </c>
      <c r="G65" s="113">
        <v>2006</v>
      </c>
      <c r="H65" s="114">
        <v>4</v>
      </c>
      <c r="I65" s="114">
        <v>3.79</v>
      </c>
      <c r="J65" s="114">
        <v>2.21</v>
      </c>
      <c r="K65" s="114">
        <v>5.65</v>
      </c>
      <c r="L65" s="153">
        <v>5.41</v>
      </c>
      <c r="N65" s="164">
        <f t="shared" ref="N65:O68" si="207">I65/SUM(I$65:I$68)*(B$65/B$69-1)</f>
        <v>0.0724546646274853</v>
      </c>
      <c r="O65" s="165">
        <f t="shared" si="207"/>
        <v>0.0232372300380628</v>
      </c>
      <c r="P65" s="165">
        <f t="shared" ref="P65:Q68" si="208">K65/SUM(K$65:K$68)*(E$65/E$69-1)</f>
        <v>0.161468938663237</v>
      </c>
      <c r="Q65" s="165">
        <f t="shared" si="208"/>
        <v>0.0507552303217938</v>
      </c>
      <c r="R65" s="173"/>
      <c r="S65" s="174"/>
      <c r="T65" s="175"/>
      <c r="U65" s="175"/>
      <c r="V65" s="175"/>
      <c r="X65" s="185"/>
      <c r="Y65" s="185"/>
      <c r="Z65" s="185"/>
    </row>
    <row r="66" spans="1:26">
      <c r="A66" s="102" t="s">
        <v>2407</v>
      </c>
      <c r="B66" s="108">
        <f t="shared" ref="B66:C68" si="209">B67+(B$65-B$69)*I66/SUM(I$65:I$68)</f>
        <v>149.001256281407</v>
      </c>
      <c r="C66" s="108">
        <f t="shared" si="209"/>
        <v>137.955922865014</v>
      </c>
      <c r="D66" s="108">
        <f t="shared" si="183"/>
        <v>137.955922865014</v>
      </c>
      <c r="E66" s="108">
        <f t="shared" ref="E66:F68" si="210">E67+(E$65-E$69)*K66/SUM(K$65:K$68)</f>
        <v>169.972314507198</v>
      </c>
      <c r="F66" s="108">
        <f t="shared" si="210"/>
        <v>116.213903743316</v>
      </c>
      <c r="G66" s="100">
        <v>2006</v>
      </c>
      <c r="H66" s="115">
        <v>3</v>
      </c>
      <c r="I66" s="115">
        <v>0.92</v>
      </c>
      <c r="J66" s="115">
        <v>1.08</v>
      </c>
      <c r="K66" s="115">
        <v>0.73</v>
      </c>
      <c r="L66" s="154">
        <v>1.08</v>
      </c>
      <c r="N66" s="164">
        <f t="shared" si="207"/>
        <v>0.0175879396984925</v>
      </c>
      <c r="O66" s="165">
        <f t="shared" si="207"/>
        <v>0.0113557504258406</v>
      </c>
      <c r="P66" s="165">
        <f t="shared" si="208"/>
        <v>0.0208623584467545</v>
      </c>
      <c r="Q66" s="165">
        <f t="shared" si="208"/>
        <v>0.010132282578103</v>
      </c>
      <c r="R66" s="173"/>
      <c r="S66" s="147"/>
      <c r="T66" s="148"/>
      <c r="U66" s="148"/>
      <c r="V66" s="148"/>
      <c r="X66" s="185"/>
      <c r="Y66" s="185"/>
      <c r="Z66" s="185"/>
    </row>
    <row r="67" spans="1:26">
      <c r="A67" s="102" t="s">
        <v>2408</v>
      </c>
      <c r="B67" s="108">
        <f t="shared" si="209"/>
        <v>146.574120603015</v>
      </c>
      <c r="C67" s="108">
        <f t="shared" si="209"/>
        <v>136.468319559229</v>
      </c>
      <c r="D67" s="108">
        <f t="shared" si="183"/>
        <v>136.468319559229</v>
      </c>
      <c r="E67" s="108">
        <f t="shared" si="210"/>
        <v>166.738648947951</v>
      </c>
      <c r="F67" s="108">
        <f t="shared" si="210"/>
        <v>115.058823529412</v>
      </c>
      <c r="G67" s="100">
        <v>2006</v>
      </c>
      <c r="H67" s="109">
        <v>2</v>
      </c>
      <c r="I67" s="109">
        <v>0.96</v>
      </c>
      <c r="J67" s="109">
        <v>0.25</v>
      </c>
      <c r="K67" s="109">
        <v>1.9</v>
      </c>
      <c r="L67" s="149">
        <v>0.95</v>
      </c>
      <c r="N67" s="164">
        <f t="shared" si="207"/>
        <v>0.0183526327288617</v>
      </c>
      <c r="O67" s="165">
        <f t="shared" si="207"/>
        <v>0.00262864593190755</v>
      </c>
      <c r="P67" s="165">
        <f t="shared" si="208"/>
        <v>0.0542992891079913</v>
      </c>
      <c r="Q67" s="165">
        <f t="shared" si="208"/>
        <v>0.0089126559714795</v>
      </c>
      <c r="R67" s="173"/>
      <c r="S67" s="147"/>
      <c r="T67" s="148"/>
      <c r="U67" s="148"/>
      <c r="V67" s="148"/>
      <c r="X67" s="185"/>
      <c r="Y67" s="185"/>
      <c r="Z67" s="185"/>
    </row>
    <row r="68" spans="1:26">
      <c r="A68" s="102" t="s">
        <v>2409</v>
      </c>
      <c r="B68" s="108">
        <f t="shared" si="209"/>
        <v>144.041457286432</v>
      </c>
      <c r="C68" s="108">
        <f t="shared" si="209"/>
        <v>136.123966942149</v>
      </c>
      <c r="D68" s="108">
        <f t="shared" si="183"/>
        <v>136.123966942149</v>
      </c>
      <c r="E68" s="108">
        <f t="shared" si="210"/>
        <v>158.322259136213</v>
      </c>
      <c r="F68" s="108">
        <f t="shared" si="210"/>
        <v>114.042780748663</v>
      </c>
      <c r="G68" s="112">
        <v>2006</v>
      </c>
      <c r="H68" s="104">
        <v>1</v>
      </c>
      <c r="I68" s="104">
        <v>2.29</v>
      </c>
      <c r="J68" s="104">
        <v>3.72</v>
      </c>
      <c r="K68" s="104">
        <v>0.75</v>
      </c>
      <c r="L68" s="143">
        <v>0.04</v>
      </c>
      <c r="N68" s="166">
        <f t="shared" si="207"/>
        <v>0.0437786759886388</v>
      </c>
      <c r="O68" s="167">
        <f t="shared" si="207"/>
        <v>0.0391142514667844</v>
      </c>
      <c r="P68" s="167">
        <f t="shared" si="208"/>
        <v>0.0214339299110492</v>
      </c>
      <c r="Q68" s="167">
        <f t="shared" si="208"/>
        <v>0.000375269725114926</v>
      </c>
      <c r="R68" s="173"/>
      <c r="S68" s="151">
        <f>B68/B69-1</f>
        <v>0.0437786759886387</v>
      </c>
      <c r="T68" s="152">
        <f>C68/C69-1</f>
        <v>0.0391142514667846</v>
      </c>
      <c r="U68" s="152">
        <f>E68/E69-1</f>
        <v>0.0214339299110493</v>
      </c>
      <c r="V68" s="152">
        <f>F68/F69-1</f>
        <v>0.000375269725114924</v>
      </c>
      <c r="X68" s="185"/>
      <c r="Y68" s="185"/>
      <c r="Z68" s="185"/>
    </row>
    <row r="69" ht="13.5" spans="1:26">
      <c r="A69" s="102" t="s">
        <v>2410</v>
      </c>
      <c r="B69" s="116">
        <v>138</v>
      </c>
      <c r="C69" s="116">
        <v>131</v>
      </c>
      <c r="D69" s="116">
        <f t="shared" si="183"/>
        <v>131</v>
      </c>
      <c r="E69" s="116">
        <v>155</v>
      </c>
      <c r="F69" s="117">
        <v>114</v>
      </c>
      <c r="G69" s="113">
        <v>2005</v>
      </c>
      <c r="H69" s="114">
        <v>4</v>
      </c>
      <c r="I69" s="114">
        <v>3.29</v>
      </c>
      <c r="J69" s="114">
        <v>1.44</v>
      </c>
      <c r="K69" s="114">
        <v>0.66</v>
      </c>
      <c r="L69" s="153">
        <v>7.78</v>
      </c>
      <c r="N69" s="164">
        <f t="shared" ref="N69:O72" si="211">I69/SUM(I$69:I$72)*(B$69/B$73-1)</f>
        <v>0.0994046032169199</v>
      </c>
      <c r="O69" s="165">
        <f t="shared" si="211"/>
        <v>0.0476365507608616</v>
      </c>
      <c r="P69" s="165">
        <f t="shared" ref="P69:Q72" si="212">K69/SUM(K$69:K$72)*(E$69/E$73-1)</f>
        <v>0.083756345177665</v>
      </c>
      <c r="Q69" s="165">
        <f t="shared" si="212"/>
        <v>0.0521487666615596</v>
      </c>
      <c r="R69" s="173"/>
      <c r="S69" s="174"/>
      <c r="T69" s="175"/>
      <c r="U69" s="175"/>
      <c r="V69" s="175"/>
      <c r="X69" s="185"/>
      <c r="Y69" s="185"/>
      <c r="Z69" s="185"/>
    </row>
    <row r="70" spans="1:26">
      <c r="A70" s="102" t="s">
        <v>2411</v>
      </c>
      <c r="B70" s="108">
        <f t="shared" ref="B70:C72" si="213">B71+(B$69-B$73)*I70/SUM(I$69:I$72)</f>
        <v>125.972043010753</v>
      </c>
      <c r="C70" s="108">
        <f t="shared" si="213"/>
        <v>125.188340807175</v>
      </c>
      <c r="D70" s="108">
        <f t="shared" si="183"/>
        <v>125.188340807175</v>
      </c>
      <c r="E70" s="108">
        <f t="shared" ref="E70:F72" si="214">E71+(E$69-E$73)*K70/SUM(K$69:K$72)</f>
        <v>144.61421319797</v>
      </c>
      <c r="F70" s="108">
        <f t="shared" si="214"/>
        <v>108.420081967213</v>
      </c>
      <c r="G70" s="100">
        <v>2005</v>
      </c>
      <c r="H70" s="115">
        <v>3</v>
      </c>
      <c r="I70" s="115">
        <v>0.46</v>
      </c>
      <c r="J70" s="115">
        <v>0.32</v>
      </c>
      <c r="K70" s="115">
        <v>0.42</v>
      </c>
      <c r="L70" s="154">
        <v>0.64</v>
      </c>
      <c r="N70" s="164">
        <f t="shared" si="211"/>
        <v>0.0138985159513019</v>
      </c>
      <c r="O70" s="165">
        <f t="shared" si="211"/>
        <v>0.0105859001690803</v>
      </c>
      <c r="P70" s="165">
        <f t="shared" si="212"/>
        <v>0.0532994923857868</v>
      </c>
      <c r="Q70" s="165">
        <f t="shared" si="212"/>
        <v>0.00428987283591236</v>
      </c>
      <c r="R70" s="173"/>
      <c r="S70" s="147"/>
      <c r="T70" s="148"/>
      <c r="U70" s="148"/>
      <c r="V70" s="148"/>
      <c r="X70" s="185"/>
      <c r="Y70" s="185"/>
      <c r="Z70" s="185"/>
    </row>
    <row r="71" spans="1:26">
      <c r="A71" s="102" t="s">
        <v>2412</v>
      </c>
      <c r="B71" s="108">
        <f t="shared" si="213"/>
        <v>124.290322580645</v>
      </c>
      <c r="C71" s="108">
        <f t="shared" si="213"/>
        <v>123.896860986547</v>
      </c>
      <c r="D71" s="108">
        <f t="shared" si="183"/>
        <v>123.896860986547</v>
      </c>
      <c r="E71" s="108">
        <f t="shared" si="214"/>
        <v>138.005076142132</v>
      </c>
      <c r="F71" s="108">
        <f t="shared" si="214"/>
        <v>107.96106557377</v>
      </c>
      <c r="G71" s="100">
        <v>2005</v>
      </c>
      <c r="H71" s="109">
        <v>2</v>
      </c>
      <c r="I71" s="109">
        <v>0.47</v>
      </c>
      <c r="J71" s="109">
        <v>0.1</v>
      </c>
      <c r="K71" s="109">
        <v>0.52</v>
      </c>
      <c r="L71" s="149">
        <v>0.79</v>
      </c>
      <c r="N71" s="164">
        <f t="shared" si="211"/>
        <v>0.0142006576024171</v>
      </c>
      <c r="O71" s="165">
        <f t="shared" si="211"/>
        <v>0.00330809380283761</v>
      </c>
      <c r="P71" s="165">
        <f t="shared" si="212"/>
        <v>0.065989847715736</v>
      </c>
      <c r="Q71" s="165">
        <f t="shared" si="212"/>
        <v>0.00529531178182932</v>
      </c>
      <c r="R71" s="173"/>
      <c r="S71" s="147"/>
      <c r="T71" s="148"/>
      <c r="U71" s="148"/>
      <c r="V71" s="148"/>
      <c r="X71" s="185"/>
      <c r="Y71" s="185"/>
      <c r="Z71" s="185"/>
    </row>
    <row r="72" spans="1:26">
      <c r="A72" s="102" t="s">
        <v>2413</v>
      </c>
      <c r="B72" s="108">
        <f t="shared" si="213"/>
        <v>122.572043010753</v>
      </c>
      <c r="C72" s="108">
        <f t="shared" si="213"/>
        <v>123.493273542601</v>
      </c>
      <c r="D72" s="108">
        <f t="shared" si="183"/>
        <v>123.493273542601</v>
      </c>
      <c r="E72" s="108">
        <f t="shared" si="214"/>
        <v>129.822335025381</v>
      </c>
      <c r="F72" s="108">
        <f t="shared" si="214"/>
        <v>107.394467213115</v>
      </c>
      <c r="G72" s="112">
        <v>2005</v>
      </c>
      <c r="H72" s="104">
        <v>1</v>
      </c>
      <c r="I72" s="104">
        <v>0.43</v>
      </c>
      <c r="J72" s="104">
        <v>0.37</v>
      </c>
      <c r="K72" s="104">
        <v>0.37</v>
      </c>
      <c r="L72" s="143">
        <v>0.55</v>
      </c>
      <c r="N72" s="166">
        <f t="shared" si="211"/>
        <v>0.0129920909979561</v>
      </c>
      <c r="O72" s="167">
        <f t="shared" si="211"/>
        <v>0.0122399470704992</v>
      </c>
      <c r="P72" s="167">
        <f t="shared" si="212"/>
        <v>0.0469543147208122</v>
      </c>
      <c r="Q72" s="167">
        <f t="shared" si="212"/>
        <v>0.00368660946836218</v>
      </c>
      <c r="R72" s="173"/>
      <c r="S72" s="151">
        <f>B72/B73-1</f>
        <v>0.0129920909979562</v>
      </c>
      <c r="T72" s="152">
        <f>C72/C73-1</f>
        <v>0.0122399470704992</v>
      </c>
      <c r="U72" s="152">
        <f>E72/E73-1</f>
        <v>0.0469543147208122</v>
      </c>
      <c r="V72" s="152">
        <f>F72/F73-1</f>
        <v>0.00368660946836208</v>
      </c>
      <c r="X72" s="185"/>
      <c r="Y72" s="185"/>
      <c r="Z72" s="185"/>
    </row>
    <row r="73" ht="13.5" spans="1:26">
      <c r="A73" s="102" t="s">
        <v>2414</v>
      </c>
      <c r="B73" s="126">
        <v>121</v>
      </c>
      <c r="C73" s="126">
        <v>122</v>
      </c>
      <c r="D73" s="126">
        <f t="shared" si="183"/>
        <v>122</v>
      </c>
      <c r="E73" s="126">
        <v>124</v>
      </c>
      <c r="F73" s="127">
        <v>107</v>
      </c>
      <c r="G73" s="113">
        <v>2004</v>
      </c>
      <c r="H73" s="114">
        <v>4</v>
      </c>
      <c r="I73" s="114">
        <v>0.33</v>
      </c>
      <c r="J73" s="114">
        <v>0.5</v>
      </c>
      <c r="K73" s="114">
        <v>0.5</v>
      </c>
      <c r="L73" s="153">
        <v>0</v>
      </c>
      <c r="N73" s="164">
        <f t="shared" ref="N73:O76" si="215">I73/SUM(I$73:I$76)*(B$73/B$77-1)</f>
        <v>0.0133917701485269</v>
      </c>
      <c r="O73" s="165">
        <f t="shared" si="215"/>
        <v>0.0106326422115896</v>
      </c>
      <c r="P73" s="165">
        <f t="shared" ref="P73:Q76" si="216">K73/SUM(K$73:K$76)*(E$73/E$77-1)</f>
        <v>0.0222444666889111</v>
      </c>
      <c r="Q73" s="165">
        <f t="shared" si="216"/>
        <v>0</v>
      </c>
      <c r="R73" s="173"/>
      <c r="S73" s="174"/>
      <c r="T73" s="175"/>
      <c r="U73" s="175"/>
      <c r="V73" s="175"/>
      <c r="X73" s="185"/>
      <c r="Y73" s="185"/>
      <c r="Z73" s="185"/>
    </row>
    <row r="74" spans="1:26">
      <c r="A74" s="102" t="s">
        <v>2415</v>
      </c>
      <c r="B74" s="108">
        <f t="shared" ref="B74:C76" si="217">B75+(B$73-B$77)*I74/SUM(I$73:I$76)</f>
        <v>119.513513513514</v>
      </c>
      <c r="C74" s="108">
        <f t="shared" si="217"/>
        <v>120.787878787879</v>
      </c>
      <c r="D74" s="108">
        <f t="shared" si="183"/>
        <v>120.787878787879</v>
      </c>
      <c r="E74" s="108">
        <f t="shared" ref="E74:F76" si="218">E75+(E$73-E$77)*K74/SUM(K$73:K$76)</f>
        <v>121.597597597598</v>
      </c>
      <c r="F74" s="108">
        <f t="shared" si="218"/>
        <v>107</v>
      </c>
      <c r="G74" s="100">
        <v>2004</v>
      </c>
      <c r="H74" s="115">
        <v>3</v>
      </c>
      <c r="I74" s="115">
        <v>0.56</v>
      </c>
      <c r="J74" s="115">
        <v>0.8</v>
      </c>
      <c r="K74" s="115">
        <v>0.83</v>
      </c>
      <c r="L74" s="154">
        <v>0.06</v>
      </c>
      <c r="N74" s="164">
        <f t="shared" si="215"/>
        <v>0.0227254281308335</v>
      </c>
      <c r="O74" s="165">
        <f t="shared" si="215"/>
        <v>0.0170122275385433</v>
      </c>
      <c r="P74" s="165">
        <f t="shared" si="216"/>
        <v>0.0369258147035925</v>
      </c>
      <c r="Q74" s="165">
        <f t="shared" si="216"/>
        <v>0.0288461538461537</v>
      </c>
      <c r="R74" s="173"/>
      <c r="S74" s="147"/>
      <c r="T74" s="148"/>
      <c r="U74" s="148"/>
      <c r="V74" s="148"/>
      <c r="X74" s="185"/>
      <c r="Y74" s="185"/>
      <c r="Z74" s="185"/>
    </row>
    <row r="75" spans="1:26">
      <c r="A75" s="102" t="s">
        <v>2416</v>
      </c>
      <c r="B75" s="108">
        <f t="shared" si="217"/>
        <v>116.990990990991</v>
      </c>
      <c r="C75" s="108">
        <f t="shared" si="217"/>
        <v>118.848484848485</v>
      </c>
      <c r="D75" s="108">
        <f t="shared" si="183"/>
        <v>118.848484848485</v>
      </c>
      <c r="E75" s="108">
        <f t="shared" si="218"/>
        <v>117.60960960961</v>
      </c>
      <c r="F75" s="108">
        <f t="shared" si="218"/>
        <v>104</v>
      </c>
      <c r="G75" s="100">
        <v>2004</v>
      </c>
      <c r="H75" s="109">
        <v>2</v>
      </c>
      <c r="I75" s="109">
        <v>1</v>
      </c>
      <c r="J75" s="109">
        <v>1.5</v>
      </c>
      <c r="K75" s="109">
        <v>1.5</v>
      </c>
      <c r="L75" s="149">
        <v>0</v>
      </c>
      <c r="N75" s="164">
        <f t="shared" si="215"/>
        <v>0.0405811216622027</v>
      </c>
      <c r="O75" s="165">
        <f t="shared" si="215"/>
        <v>0.0318979266347687</v>
      </c>
      <c r="P75" s="165">
        <f t="shared" si="216"/>
        <v>0.0667334000667334</v>
      </c>
      <c r="Q75" s="165">
        <f t="shared" si="216"/>
        <v>0</v>
      </c>
      <c r="R75" s="173"/>
      <c r="S75" s="147"/>
      <c r="T75" s="148"/>
      <c r="U75" s="148"/>
      <c r="V75" s="148"/>
      <c r="X75" s="185"/>
      <c r="Y75" s="185"/>
      <c r="Z75" s="185"/>
    </row>
    <row r="76" s="80" customFormat="1" ht="13.5" spans="1:26">
      <c r="A76" s="102" t="s">
        <v>2417</v>
      </c>
      <c r="B76" s="129">
        <f t="shared" si="217"/>
        <v>112.486486486486</v>
      </c>
      <c r="C76" s="129">
        <f t="shared" si="217"/>
        <v>115.212121212121</v>
      </c>
      <c r="D76" s="129">
        <f t="shared" si="183"/>
        <v>115.212121212121</v>
      </c>
      <c r="E76" s="129">
        <f t="shared" si="218"/>
        <v>110.402402402402</v>
      </c>
      <c r="F76" s="129">
        <f t="shared" si="218"/>
        <v>104</v>
      </c>
      <c r="G76" s="112">
        <v>2004</v>
      </c>
      <c r="H76" s="130">
        <v>1</v>
      </c>
      <c r="I76" s="130">
        <v>0.33</v>
      </c>
      <c r="J76" s="130">
        <v>0.5</v>
      </c>
      <c r="K76" s="130">
        <v>0.5</v>
      </c>
      <c r="L76" s="160">
        <v>0</v>
      </c>
      <c r="N76" s="202">
        <f t="shared" si="215"/>
        <v>0.0133917701485269</v>
      </c>
      <c r="O76" s="203">
        <f t="shared" si="215"/>
        <v>0.0106326422115896</v>
      </c>
      <c r="P76" s="203">
        <f t="shared" si="216"/>
        <v>0.0222444666889111</v>
      </c>
      <c r="Q76" s="203">
        <f t="shared" si="216"/>
        <v>0</v>
      </c>
      <c r="R76" s="184"/>
      <c r="S76" s="161">
        <f>B76/B77-1</f>
        <v>0.0133917701485269</v>
      </c>
      <c r="T76" s="162">
        <f>C76/C77-1</f>
        <v>0.0106326422115897</v>
      </c>
      <c r="U76" s="162">
        <f>E76/E77-1</f>
        <v>0.0222444666889112</v>
      </c>
      <c r="V76" s="162">
        <f>F76/F77-1</f>
        <v>0</v>
      </c>
      <c r="X76" s="210"/>
      <c r="Y76" s="210"/>
      <c r="Z76" s="210"/>
    </row>
    <row r="77" ht="13.5" spans="1:26">
      <c r="A77" s="102" t="s">
        <v>2418</v>
      </c>
      <c r="B77" s="190">
        <v>111</v>
      </c>
      <c r="C77" s="190">
        <v>114</v>
      </c>
      <c r="D77" s="190">
        <f t="shared" si="183"/>
        <v>114</v>
      </c>
      <c r="E77" s="190">
        <v>108</v>
      </c>
      <c r="F77" s="191">
        <v>104</v>
      </c>
      <c r="G77" s="113">
        <v>2003</v>
      </c>
      <c r="H77" s="131">
        <v>4</v>
      </c>
      <c r="I77" s="204"/>
      <c r="J77" s="204"/>
      <c r="K77" s="204"/>
      <c r="L77" s="204"/>
      <c r="N77" s="205"/>
      <c r="O77" s="204"/>
      <c r="P77" s="204"/>
      <c r="Q77" s="204"/>
      <c r="S77" s="205"/>
      <c r="T77" s="204"/>
      <c r="U77" s="204"/>
      <c r="V77" s="204"/>
      <c r="X77" s="185"/>
      <c r="Y77" s="185"/>
      <c r="Z77" s="185"/>
    </row>
    <row r="78" spans="1:26">
      <c r="A78" s="102" t="s">
        <v>2419</v>
      </c>
      <c r="B78" s="192">
        <f t="shared" ref="B78:C80" si="219">B79+(B$77-B$81)/4</f>
        <v>109.75</v>
      </c>
      <c r="C78" s="192">
        <f t="shared" si="219"/>
        <v>112.25</v>
      </c>
      <c r="D78" s="192">
        <f t="shared" si="183"/>
        <v>112.25</v>
      </c>
      <c r="E78" s="192">
        <f t="shared" ref="E78:F80" si="220">E79+(E$77-E$81)/4</f>
        <v>107.25</v>
      </c>
      <c r="F78" s="192">
        <f t="shared" si="220"/>
        <v>103.5</v>
      </c>
      <c r="G78" s="100">
        <v>2003</v>
      </c>
      <c r="H78" s="115">
        <v>3</v>
      </c>
      <c r="I78" s="204"/>
      <c r="J78" s="204"/>
      <c r="K78" s="204"/>
      <c r="L78" s="204"/>
      <c r="X78" s="185"/>
      <c r="Y78" s="185"/>
      <c r="Z78" s="185"/>
    </row>
    <row r="79" spans="1:26">
      <c r="A79" s="102" t="s">
        <v>2420</v>
      </c>
      <c r="B79" s="192">
        <f t="shared" si="219"/>
        <v>108.5</v>
      </c>
      <c r="C79" s="192">
        <f t="shared" si="219"/>
        <v>110.5</v>
      </c>
      <c r="D79" s="192">
        <f t="shared" si="183"/>
        <v>110.5</v>
      </c>
      <c r="E79" s="192">
        <f t="shared" si="220"/>
        <v>106.5</v>
      </c>
      <c r="F79" s="192">
        <f t="shared" si="220"/>
        <v>103</v>
      </c>
      <c r="G79" s="100">
        <v>2003</v>
      </c>
      <c r="H79" s="109">
        <v>2</v>
      </c>
      <c r="I79" s="204"/>
      <c r="J79" s="204"/>
      <c r="K79" s="204"/>
      <c r="L79" s="204"/>
      <c r="X79" s="185"/>
      <c r="Y79" s="185"/>
      <c r="Z79" s="185"/>
    </row>
    <row r="80" ht="13.5" spans="1:26">
      <c r="A80" s="102" t="s">
        <v>2421</v>
      </c>
      <c r="B80" s="192">
        <f t="shared" si="219"/>
        <v>107.25</v>
      </c>
      <c r="C80" s="192">
        <f t="shared" si="219"/>
        <v>108.75</v>
      </c>
      <c r="D80" s="192">
        <f t="shared" si="183"/>
        <v>108.75</v>
      </c>
      <c r="E80" s="192">
        <f t="shared" si="220"/>
        <v>105.75</v>
      </c>
      <c r="F80" s="192">
        <f t="shared" si="220"/>
        <v>102.5</v>
      </c>
      <c r="G80" s="112">
        <v>2003</v>
      </c>
      <c r="H80" s="193">
        <v>1</v>
      </c>
      <c r="I80" s="204"/>
      <c r="J80" s="204"/>
      <c r="K80" s="204"/>
      <c r="L80" s="204"/>
      <c r="S80" s="147"/>
      <c r="T80" s="148"/>
      <c r="U80" s="148"/>
      <c r="X80" s="185"/>
      <c r="Y80" s="185"/>
      <c r="Z80" s="185"/>
    </row>
    <row r="81" ht="13.5" spans="1:26">
      <c r="A81" s="102" t="s">
        <v>2422</v>
      </c>
      <c r="B81" s="194">
        <v>106</v>
      </c>
      <c r="C81" s="194">
        <v>107</v>
      </c>
      <c r="D81" s="194">
        <f t="shared" si="183"/>
        <v>107</v>
      </c>
      <c r="E81" s="194">
        <v>105</v>
      </c>
      <c r="F81" s="195">
        <v>102</v>
      </c>
      <c r="G81" s="113">
        <v>2002</v>
      </c>
      <c r="H81" s="114">
        <v>4</v>
      </c>
      <c r="I81" s="204"/>
      <c r="J81" s="204"/>
      <c r="K81" s="204"/>
      <c r="L81" s="204"/>
      <c r="N81" s="205"/>
      <c r="O81" s="204"/>
      <c r="P81" s="204"/>
      <c r="Q81" s="204"/>
      <c r="S81" s="205"/>
      <c r="T81" s="204"/>
      <c r="U81" s="204"/>
      <c r="V81" s="204"/>
      <c r="X81" s="185"/>
      <c r="Y81" s="185"/>
      <c r="Z81" s="185"/>
    </row>
    <row r="82" spans="1:26">
      <c r="A82" s="102" t="s">
        <v>2423</v>
      </c>
      <c r="B82" s="192">
        <f t="shared" ref="B82:C84" si="221">B83+(B$81-B$85)/4</f>
        <v>105</v>
      </c>
      <c r="C82" s="192">
        <f t="shared" si="221"/>
        <v>106</v>
      </c>
      <c r="D82" s="192">
        <f t="shared" si="183"/>
        <v>106</v>
      </c>
      <c r="E82" s="192">
        <f t="shared" ref="E82:F84" si="222">E83+(E$81-E$85)/4</f>
        <v>104.5</v>
      </c>
      <c r="F82" s="192">
        <f t="shared" si="222"/>
        <v>101.5</v>
      </c>
      <c r="G82" s="100">
        <v>2002</v>
      </c>
      <c r="H82" s="115">
        <v>3</v>
      </c>
      <c r="I82" s="204"/>
      <c r="J82" s="204"/>
      <c r="K82" s="204"/>
      <c r="L82" s="204"/>
      <c r="X82" s="185"/>
      <c r="Y82" s="185"/>
      <c r="Z82" s="185"/>
    </row>
    <row r="83" spans="1:26">
      <c r="A83" s="102" t="s">
        <v>2424</v>
      </c>
      <c r="B83" s="192">
        <f t="shared" si="221"/>
        <v>104</v>
      </c>
      <c r="C83" s="192">
        <f t="shared" si="221"/>
        <v>105</v>
      </c>
      <c r="D83" s="192">
        <f t="shared" si="183"/>
        <v>105</v>
      </c>
      <c r="E83" s="192">
        <f t="shared" si="222"/>
        <v>104</v>
      </c>
      <c r="F83" s="192">
        <f t="shared" si="222"/>
        <v>101</v>
      </c>
      <c r="G83" s="100">
        <v>2002</v>
      </c>
      <c r="H83" s="109">
        <v>2</v>
      </c>
      <c r="I83" s="204"/>
      <c r="J83" s="204"/>
      <c r="K83" s="204"/>
      <c r="L83" s="204"/>
      <c r="X83" s="185"/>
      <c r="Y83" s="185"/>
      <c r="Z83" s="185"/>
    </row>
    <row r="84" s="79" customFormat="1" ht="13.5" spans="1:26">
      <c r="A84" s="119" t="s">
        <v>2425</v>
      </c>
      <c r="B84" s="177">
        <f t="shared" si="221"/>
        <v>103</v>
      </c>
      <c r="C84" s="177">
        <f t="shared" si="221"/>
        <v>104</v>
      </c>
      <c r="D84" s="177">
        <f t="shared" si="183"/>
        <v>104</v>
      </c>
      <c r="E84" s="177">
        <f t="shared" si="222"/>
        <v>103.5</v>
      </c>
      <c r="F84" s="177">
        <f t="shared" si="222"/>
        <v>100.5</v>
      </c>
      <c r="G84" s="112">
        <v>2002</v>
      </c>
      <c r="H84" s="196">
        <v>1</v>
      </c>
      <c r="I84" s="206"/>
      <c r="J84" s="206"/>
      <c r="K84" s="206"/>
      <c r="L84" s="206"/>
      <c r="N84" s="207"/>
      <c r="S84" s="207"/>
      <c r="X84" s="211"/>
      <c r="Y84" s="211"/>
      <c r="Z84" s="211"/>
    </row>
    <row r="85" ht="13.5" spans="2:26">
      <c r="B85" s="197">
        <v>102</v>
      </c>
      <c r="C85" s="198">
        <v>103</v>
      </c>
      <c r="D85" s="198">
        <f t="shared" si="183"/>
        <v>103</v>
      </c>
      <c r="E85" s="198">
        <v>103</v>
      </c>
      <c r="F85" s="199">
        <v>100</v>
      </c>
      <c r="I85" s="204"/>
      <c r="J85" s="204"/>
      <c r="K85" s="204"/>
      <c r="L85" s="204"/>
      <c r="N85" s="205"/>
      <c r="O85" s="204"/>
      <c r="P85" s="204"/>
      <c r="Q85" s="204"/>
      <c r="S85" s="205"/>
      <c r="T85" s="204"/>
      <c r="U85" s="204"/>
      <c r="V85" s="204"/>
      <c r="X85" s="175"/>
      <c r="Y85" s="175"/>
      <c r="Z85" s="175"/>
    </row>
    <row r="87" s="81" customFormat="1" spans="1:19">
      <c r="A87" s="200" t="s">
        <v>2426</v>
      </c>
      <c r="G87" s="201"/>
      <c r="N87" s="201"/>
      <c r="S87" s="201"/>
    </row>
    <row r="88" s="81" customFormat="1" spans="1:19">
      <c r="A88" s="81" t="s">
        <v>2427</v>
      </c>
      <c r="G88" s="201"/>
      <c r="N88" s="201"/>
      <c r="S88" s="201"/>
    </row>
    <row r="89" s="81" customFormat="1" spans="1:22">
      <c r="A89" s="81" t="s">
        <v>2428</v>
      </c>
      <c r="G89" s="201"/>
      <c r="I89" s="208"/>
      <c r="J89" s="208"/>
      <c r="K89" s="208"/>
      <c r="L89" s="208"/>
      <c r="N89" s="209"/>
      <c r="O89" s="208"/>
      <c r="P89" s="208"/>
      <c r="Q89" s="208"/>
      <c r="S89" s="209"/>
      <c r="T89" s="208"/>
      <c r="U89" s="208"/>
      <c r="V89" s="208"/>
    </row>
    <row r="90" s="81" customFormat="1" spans="1:19">
      <c r="A90" s="81" t="s">
        <v>2429</v>
      </c>
      <c r="G90" s="201"/>
      <c r="N90" s="201"/>
      <c r="S90" s="201"/>
    </row>
    <row r="97" ht="13.5"/>
    <row r="98" spans="7:22">
      <c r="G98" s="82"/>
      <c r="S98" s="212" t="s">
        <v>2430</v>
      </c>
      <c r="T98" s="213" t="s">
        <v>2431</v>
      </c>
      <c r="U98" s="213" t="s">
        <v>2432</v>
      </c>
      <c r="V98" s="213" t="s">
        <v>2433</v>
      </c>
    </row>
    <row r="99" spans="7:22">
      <c r="G99" s="82"/>
      <c r="N99" s="174"/>
      <c r="O99" s="175"/>
      <c r="P99" s="175"/>
      <c r="Q99" s="175"/>
      <c r="S99" s="214">
        <v>2006</v>
      </c>
      <c r="T99" s="215">
        <v>15.1</v>
      </c>
      <c r="U99" s="215">
        <v>7.43</v>
      </c>
      <c r="V99" s="215">
        <v>26.26</v>
      </c>
    </row>
    <row r="100" spans="7:22">
      <c r="G100" s="82"/>
      <c r="N100" s="174"/>
      <c r="O100" s="175"/>
      <c r="P100" s="175"/>
      <c r="Q100" s="175"/>
      <c r="S100" s="216">
        <v>2005</v>
      </c>
      <c r="T100" s="217">
        <v>13.9</v>
      </c>
      <c r="U100" s="217">
        <v>7.49</v>
      </c>
      <c r="V100" s="217">
        <v>24.92</v>
      </c>
    </row>
    <row r="101" spans="7:22">
      <c r="G101" s="82"/>
      <c r="N101" s="174"/>
      <c r="O101" s="175"/>
      <c r="P101" s="175"/>
      <c r="Q101" s="175"/>
      <c r="S101" s="214">
        <v>2004</v>
      </c>
      <c r="T101" s="215">
        <v>9.48</v>
      </c>
      <c r="U101" s="215">
        <v>7.2</v>
      </c>
      <c r="V101" s="215">
        <v>14.68</v>
      </c>
    </row>
    <row r="102" spans="7:22">
      <c r="G102" s="82"/>
      <c r="N102" s="174"/>
      <c r="O102" s="175"/>
      <c r="P102" s="175"/>
      <c r="Q102" s="175"/>
      <c r="S102" s="216">
        <v>2003</v>
      </c>
      <c r="T102" s="217">
        <v>4.5</v>
      </c>
      <c r="U102" s="217">
        <v>6.12</v>
      </c>
      <c r="V102" s="217">
        <v>2.34</v>
      </c>
    </row>
    <row r="103" ht="13.5" spans="7:22">
      <c r="G103" s="82"/>
      <c r="N103" s="174"/>
      <c r="O103" s="175"/>
      <c r="P103" s="175"/>
      <c r="Q103" s="175"/>
      <c r="S103" s="218">
        <v>2002</v>
      </c>
      <c r="T103" s="219">
        <v>3.59</v>
      </c>
      <c r="U103" s="219">
        <v>4.54</v>
      </c>
      <c r="V103" s="219">
        <v>2.55</v>
      </c>
    </row>
    <row r="104" spans="7:17">
      <c r="G104" s="82"/>
      <c r="N104" s="174"/>
      <c r="O104" s="175"/>
      <c r="P104" s="175"/>
      <c r="Q104" s="175"/>
    </row>
    <row r="105" spans="7:17">
      <c r="G105" s="82"/>
      <c r="N105" s="174"/>
      <c r="O105" s="175"/>
      <c r="P105" s="175"/>
      <c r="Q105" s="175"/>
    </row>
    <row r="106" spans="7:17">
      <c r="G106" s="82"/>
      <c r="N106" s="174"/>
      <c r="O106" s="175"/>
      <c r="P106" s="175"/>
      <c r="Q106" s="175"/>
    </row>
    <row r="107" spans="7:17">
      <c r="G107" s="82"/>
      <c r="N107" s="174"/>
      <c r="O107" s="175"/>
      <c r="P107" s="175"/>
      <c r="Q107" s="175"/>
    </row>
    <row r="108" spans="7:17">
      <c r="G108" s="82"/>
      <c r="N108" s="174"/>
      <c r="O108" s="175"/>
      <c r="P108" s="175"/>
      <c r="Q108" s="175"/>
    </row>
    <row r="109" spans="7:17">
      <c r="G109" s="82"/>
      <c r="N109" s="174"/>
      <c r="O109" s="175"/>
      <c r="P109" s="175"/>
      <c r="Q109" s="175"/>
    </row>
    <row r="110" spans="7:17">
      <c r="G110" s="82"/>
      <c r="N110" s="174"/>
      <c r="O110" s="175"/>
      <c r="P110" s="175"/>
      <c r="Q110" s="175"/>
    </row>
    <row r="111" spans="7:17">
      <c r="G111" s="82"/>
      <c r="N111" s="174"/>
      <c r="O111" s="175"/>
      <c r="P111" s="175"/>
      <c r="Q111" s="175"/>
    </row>
    <row r="112" spans="7:17">
      <c r="G112" s="82"/>
      <c r="N112" s="174"/>
      <c r="O112" s="175"/>
      <c r="P112" s="175"/>
      <c r="Q112" s="175"/>
    </row>
    <row r="113" spans="7:17">
      <c r="G113" s="82"/>
      <c r="N113" s="174"/>
      <c r="O113" s="175"/>
      <c r="P113" s="175"/>
      <c r="Q113" s="175"/>
    </row>
    <row r="114" spans="7:19">
      <c r="G114" s="82"/>
      <c r="N114" s="174"/>
      <c r="O114" s="175"/>
      <c r="P114" s="175"/>
      <c r="Q114" s="175"/>
      <c r="S114" s="82"/>
    </row>
    <row r="115" spans="7:19">
      <c r="G115" s="82"/>
      <c r="N115" s="174"/>
      <c r="O115" s="175"/>
      <c r="P115" s="175"/>
      <c r="Q115" s="175"/>
      <c r="S115" s="82"/>
    </row>
    <row r="116" spans="7:19">
      <c r="G116" s="82"/>
      <c r="N116" s="174"/>
      <c r="O116" s="175"/>
      <c r="P116" s="175"/>
      <c r="Q116" s="175"/>
      <c r="S116" s="82"/>
    </row>
    <row r="117" spans="7:19">
      <c r="G117" s="82"/>
      <c r="N117" s="174"/>
      <c r="O117" s="175"/>
      <c r="P117" s="175"/>
      <c r="Q117" s="175"/>
      <c r="S117" s="82"/>
    </row>
    <row r="118" spans="7:19">
      <c r="G118" s="82"/>
      <c r="N118" s="174"/>
      <c r="O118" s="175"/>
      <c r="P118" s="175"/>
      <c r="Q118" s="175"/>
      <c r="S118" s="82"/>
    </row>
    <row r="119" spans="7:19">
      <c r="G119" s="82"/>
      <c r="N119" s="174"/>
      <c r="O119" s="175"/>
      <c r="P119" s="175"/>
      <c r="Q119" s="175"/>
      <c r="S119" s="82"/>
    </row>
  </sheetData>
  <sheetProtection sheet="1" formatCells="0" objects="1" scenarios="1"/>
  <mergeCells count="23">
    <mergeCell ref="B1:F1"/>
    <mergeCell ref="G1:L1"/>
    <mergeCell ref="N1:Q1"/>
    <mergeCell ref="S1:V1"/>
    <mergeCell ref="X1:AB1"/>
    <mergeCell ref="AD1:AH1"/>
    <mergeCell ref="G17:G20"/>
    <mergeCell ref="G21:G24"/>
    <mergeCell ref="G25:G28"/>
    <mergeCell ref="G29:G32"/>
    <mergeCell ref="G33:G36"/>
    <mergeCell ref="G37:G40"/>
    <mergeCell ref="G41:G44"/>
    <mergeCell ref="G45:G48"/>
    <mergeCell ref="G49:G52"/>
    <mergeCell ref="G53:G56"/>
    <mergeCell ref="G57:G60"/>
    <mergeCell ref="G61:G64"/>
    <mergeCell ref="G65:G68"/>
    <mergeCell ref="G69:G72"/>
    <mergeCell ref="G73:G76"/>
    <mergeCell ref="G77:G80"/>
    <mergeCell ref="G81:G84"/>
  </mergeCells>
  <pageMargins left="0.7" right="0.7" top="0.75" bottom="0.75" header="0.3" footer="0.3"/>
  <headerFooter/>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W68"/>
  <sheetViews>
    <sheetView workbookViewId="0">
      <selection activeCell="C13" sqref="C13:H13"/>
    </sheetView>
  </sheetViews>
  <sheetFormatPr defaultColWidth="9" defaultRowHeight="13.5"/>
  <cols>
    <col min="1" max="1" width="4.875" style="3" customWidth="1"/>
    <col min="2" max="2" width="13.25" style="4" customWidth="1"/>
    <col min="3" max="3" width="15.625" style="4" customWidth="1"/>
    <col min="4" max="4" width="9.375" style="4" customWidth="1"/>
    <col min="5" max="5" width="13.5" style="4" customWidth="1"/>
    <col min="6" max="6" width="9" style="4"/>
    <col min="7" max="7" width="9.375" style="4" customWidth="1"/>
    <col min="8" max="8" width="11.5" style="4" customWidth="1"/>
    <col min="9" max="9" width="9" style="4"/>
    <col min="10" max="10" width="9.375" style="4" customWidth="1"/>
    <col min="11" max="11" width="4" style="3" customWidth="1"/>
    <col min="12" max="12" width="5.125" style="4" customWidth="1"/>
    <col min="13" max="13" width="13.75" style="4" customWidth="1"/>
    <col min="14" max="256" width="9" style="4"/>
    <col min="257" max="257" width="4.875" style="5" customWidth="1"/>
    <col min="258" max="258" width="13.25" style="5" customWidth="1"/>
    <col min="259" max="259" width="15.625" style="5" customWidth="1"/>
    <col min="260" max="260" width="9.375" style="5" customWidth="1"/>
    <col min="261" max="261" width="13.5" style="5" customWidth="1"/>
    <col min="262" max="262" width="9" style="5"/>
    <col min="263" max="263" width="9.375" style="5" customWidth="1"/>
    <col min="264" max="265" width="9" style="5"/>
    <col min="266" max="266" width="9.375" style="5" customWidth="1"/>
    <col min="267" max="267" width="4" style="5" customWidth="1"/>
    <col min="268" max="268" width="5.125" style="5" customWidth="1"/>
    <col min="269" max="269" width="13.75" style="5" customWidth="1"/>
    <col min="270" max="512" width="9" style="5"/>
    <col min="513" max="513" width="4.875" style="5" customWidth="1"/>
    <col min="514" max="514" width="13.25" style="5" customWidth="1"/>
    <col min="515" max="515" width="15.625" style="5" customWidth="1"/>
    <col min="516" max="516" width="9.375" style="5" customWidth="1"/>
    <col min="517" max="517" width="13.5" style="5" customWidth="1"/>
    <col min="518" max="518" width="9" style="5"/>
    <col min="519" max="519" width="9.375" style="5" customWidth="1"/>
    <col min="520" max="521" width="9" style="5"/>
    <col min="522" max="522" width="9.375" style="5" customWidth="1"/>
    <col min="523" max="523" width="4" style="5" customWidth="1"/>
    <col min="524" max="524" width="5.125" style="5" customWidth="1"/>
    <col min="525" max="525" width="13.75" style="5" customWidth="1"/>
    <col min="526" max="768" width="9" style="5"/>
    <col min="769" max="769" width="4.875" style="5" customWidth="1"/>
    <col min="770" max="770" width="13.25" style="5" customWidth="1"/>
    <col min="771" max="771" width="15.625" style="5" customWidth="1"/>
    <col min="772" max="772" width="9.375" style="5" customWidth="1"/>
    <col min="773" max="773" width="13.5" style="5" customWidth="1"/>
    <col min="774" max="774" width="9" style="5"/>
    <col min="775" max="775" width="9.375" style="5" customWidth="1"/>
    <col min="776" max="777" width="9" style="5"/>
    <col min="778" max="778" width="9.375" style="5" customWidth="1"/>
    <col min="779" max="779" width="4" style="5" customWidth="1"/>
    <col min="780" max="780" width="5.125" style="5" customWidth="1"/>
    <col min="781" max="781" width="13.75" style="5" customWidth="1"/>
    <col min="782" max="1024" width="9" style="5"/>
    <col min="1025" max="1025" width="4.875" style="5" customWidth="1"/>
    <col min="1026" max="1026" width="13.25" style="5" customWidth="1"/>
    <col min="1027" max="1027" width="15.625" style="5" customWidth="1"/>
    <col min="1028" max="1028" width="9.375" style="5" customWidth="1"/>
    <col min="1029" max="1029" width="13.5" style="5" customWidth="1"/>
    <col min="1030" max="1030" width="9" style="5"/>
    <col min="1031" max="1031" width="9.375" style="5" customWidth="1"/>
    <col min="1032" max="1033" width="9" style="5"/>
    <col min="1034" max="1034" width="9.375" style="5" customWidth="1"/>
    <col min="1035" max="1035" width="4" style="5" customWidth="1"/>
    <col min="1036" max="1036" width="5.125" style="5" customWidth="1"/>
    <col min="1037" max="1037" width="13.75" style="5" customWidth="1"/>
    <col min="1038" max="1280" width="9" style="5"/>
    <col min="1281" max="1281" width="4.875" style="5" customWidth="1"/>
    <col min="1282" max="1282" width="13.25" style="5" customWidth="1"/>
    <col min="1283" max="1283" width="15.625" style="5" customWidth="1"/>
    <col min="1284" max="1284" width="9.375" style="5" customWidth="1"/>
    <col min="1285" max="1285" width="13.5" style="5" customWidth="1"/>
    <col min="1286" max="1286" width="9" style="5"/>
    <col min="1287" max="1287" width="9.375" style="5" customWidth="1"/>
    <col min="1288" max="1289" width="9" style="5"/>
    <col min="1290" max="1290" width="9.375" style="5" customWidth="1"/>
    <col min="1291" max="1291" width="4" style="5" customWidth="1"/>
    <col min="1292" max="1292" width="5.125" style="5" customWidth="1"/>
    <col min="1293" max="1293" width="13.75" style="5" customWidth="1"/>
    <col min="1294" max="1536" width="9" style="5"/>
    <col min="1537" max="1537" width="4.875" style="5" customWidth="1"/>
    <col min="1538" max="1538" width="13.25" style="5" customWidth="1"/>
    <col min="1539" max="1539" width="15.625" style="5" customWidth="1"/>
    <col min="1540" max="1540" width="9.375" style="5" customWidth="1"/>
    <col min="1541" max="1541" width="13.5" style="5" customWidth="1"/>
    <col min="1542" max="1542" width="9" style="5"/>
    <col min="1543" max="1543" width="9.375" style="5" customWidth="1"/>
    <col min="1544" max="1545" width="9" style="5"/>
    <col min="1546" max="1546" width="9.375" style="5" customWidth="1"/>
    <col min="1547" max="1547" width="4" style="5" customWidth="1"/>
    <col min="1548" max="1548" width="5.125" style="5" customWidth="1"/>
    <col min="1549" max="1549" width="13.75" style="5" customWidth="1"/>
    <col min="1550" max="1792" width="9" style="5"/>
    <col min="1793" max="1793" width="4.875" style="5" customWidth="1"/>
    <col min="1794" max="1794" width="13.25" style="5" customWidth="1"/>
    <col min="1795" max="1795" width="15.625" style="5" customWidth="1"/>
    <col min="1796" max="1796" width="9.375" style="5" customWidth="1"/>
    <col min="1797" max="1797" width="13.5" style="5" customWidth="1"/>
    <col min="1798" max="1798" width="9" style="5"/>
    <col min="1799" max="1799" width="9.375" style="5" customWidth="1"/>
    <col min="1800" max="1801" width="9" style="5"/>
    <col min="1802" max="1802" width="9.375" style="5" customWidth="1"/>
    <col min="1803" max="1803" width="4" style="5" customWidth="1"/>
    <col min="1804" max="1804" width="5.125" style="5" customWidth="1"/>
    <col min="1805" max="1805" width="13.75" style="5" customWidth="1"/>
    <col min="1806" max="2048" width="9" style="5"/>
    <col min="2049" max="2049" width="4.875" style="5" customWidth="1"/>
    <col min="2050" max="2050" width="13.25" style="5" customWidth="1"/>
    <col min="2051" max="2051" width="15.625" style="5" customWidth="1"/>
    <col min="2052" max="2052" width="9.375" style="5" customWidth="1"/>
    <col min="2053" max="2053" width="13.5" style="5" customWidth="1"/>
    <col min="2054" max="2054" width="9" style="5"/>
    <col min="2055" max="2055" width="9.375" style="5" customWidth="1"/>
    <col min="2056" max="2057" width="9" style="5"/>
    <col min="2058" max="2058" width="9.375" style="5" customWidth="1"/>
    <col min="2059" max="2059" width="4" style="5" customWidth="1"/>
    <col min="2060" max="2060" width="5.125" style="5" customWidth="1"/>
    <col min="2061" max="2061" width="13.75" style="5" customWidth="1"/>
    <col min="2062" max="2304" width="9" style="5"/>
    <col min="2305" max="2305" width="4.875" style="5" customWidth="1"/>
    <col min="2306" max="2306" width="13.25" style="5" customWidth="1"/>
    <col min="2307" max="2307" width="15.625" style="5" customWidth="1"/>
    <col min="2308" max="2308" width="9.375" style="5" customWidth="1"/>
    <col min="2309" max="2309" width="13.5" style="5" customWidth="1"/>
    <col min="2310" max="2310" width="9" style="5"/>
    <col min="2311" max="2311" width="9.375" style="5" customWidth="1"/>
    <col min="2312" max="2313" width="9" style="5"/>
    <col min="2314" max="2314" width="9.375" style="5" customWidth="1"/>
    <col min="2315" max="2315" width="4" style="5" customWidth="1"/>
    <col min="2316" max="2316" width="5.125" style="5" customWidth="1"/>
    <col min="2317" max="2317" width="13.75" style="5" customWidth="1"/>
    <col min="2318" max="2560" width="9" style="5"/>
    <col min="2561" max="2561" width="4.875" style="5" customWidth="1"/>
    <col min="2562" max="2562" width="13.25" style="5" customWidth="1"/>
    <col min="2563" max="2563" width="15.625" style="5" customWidth="1"/>
    <col min="2564" max="2564" width="9.375" style="5" customWidth="1"/>
    <col min="2565" max="2565" width="13.5" style="5" customWidth="1"/>
    <col min="2566" max="2566" width="9" style="5"/>
    <col min="2567" max="2567" width="9.375" style="5" customWidth="1"/>
    <col min="2568" max="2569" width="9" style="5"/>
    <col min="2570" max="2570" width="9.375" style="5" customWidth="1"/>
    <col min="2571" max="2571" width="4" style="5" customWidth="1"/>
    <col min="2572" max="2572" width="5.125" style="5" customWidth="1"/>
    <col min="2573" max="2573" width="13.75" style="5" customWidth="1"/>
    <col min="2574" max="2816" width="9" style="5"/>
    <col min="2817" max="2817" width="4.875" style="5" customWidth="1"/>
    <col min="2818" max="2818" width="13.25" style="5" customWidth="1"/>
    <col min="2819" max="2819" width="15.625" style="5" customWidth="1"/>
    <col min="2820" max="2820" width="9.375" style="5" customWidth="1"/>
    <col min="2821" max="2821" width="13.5" style="5" customWidth="1"/>
    <col min="2822" max="2822" width="9" style="5"/>
    <col min="2823" max="2823" width="9.375" style="5" customWidth="1"/>
    <col min="2824" max="2825" width="9" style="5"/>
    <col min="2826" max="2826" width="9.375" style="5" customWidth="1"/>
    <col min="2827" max="2827" width="4" style="5" customWidth="1"/>
    <col min="2828" max="2828" width="5.125" style="5" customWidth="1"/>
    <col min="2829" max="2829" width="13.75" style="5" customWidth="1"/>
    <col min="2830" max="3072" width="9" style="5"/>
    <col min="3073" max="3073" width="4.875" style="5" customWidth="1"/>
    <col min="3074" max="3074" width="13.25" style="5" customWidth="1"/>
    <col min="3075" max="3075" width="15.625" style="5" customWidth="1"/>
    <col min="3076" max="3076" width="9.375" style="5" customWidth="1"/>
    <col min="3077" max="3077" width="13.5" style="5" customWidth="1"/>
    <col min="3078" max="3078" width="9" style="5"/>
    <col min="3079" max="3079" width="9.375" style="5" customWidth="1"/>
    <col min="3080" max="3081" width="9" style="5"/>
    <col min="3082" max="3082" width="9.375" style="5" customWidth="1"/>
    <col min="3083" max="3083" width="4" style="5" customWidth="1"/>
    <col min="3084" max="3084" width="5.125" style="5" customWidth="1"/>
    <col min="3085" max="3085" width="13.75" style="5" customWidth="1"/>
    <col min="3086" max="3328" width="9" style="5"/>
    <col min="3329" max="3329" width="4.875" style="5" customWidth="1"/>
    <col min="3330" max="3330" width="13.25" style="5" customWidth="1"/>
    <col min="3331" max="3331" width="15.625" style="5" customWidth="1"/>
    <col min="3332" max="3332" width="9.375" style="5" customWidth="1"/>
    <col min="3333" max="3333" width="13.5" style="5" customWidth="1"/>
    <col min="3334" max="3334" width="9" style="5"/>
    <col min="3335" max="3335" width="9.375" style="5" customWidth="1"/>
    <col min="3336" max="3337" width="9" style="5"/>
    <col min="3338" max="3338" width="9.375" style="5" customWidth="1"/>
    <col min="3339" max="3339" width="4" style="5" customWidth="1"/>
    <col min="3340" max="3340" width="5.125" style="5" customWidth="1"/>
    <col min="3341" max="3341" width="13.75" style="5" customWidth="1"/>
    <col min="3342" max="3584" width="9" style="5"/>
    <col min="3585" max="3585" width="4.875" style="5" customWidth="1"/>
    <col min="3586" max="3586" width="13.25" style="5" customWidth="1"/>
    <col min="3587" max="3587" width="15.625" style="5" customWidth="1"/>
    <col min="3588" max="3588" width="9.375" style="5" customWidth="1"/>
    <col min="3589" max="3589" width="13.5" style="5" customWidth="1"/>
    <col min="3590" max="3590" width="9" style="5"/>
    <col min="3591" max="3591" width="9.375" style="5" customWidth="1"/>
    <col min="3592" max="3593" width="9" style="5"/>
    <col min="3594" max="3594" width="9.375" style="5" customWidth="1"/>
    <col min="3595" max="3595" width="4" style="5" customWidth="1"/>
    <col min="3596" max="3596" width="5.125" style="5" customWidth="1"/>
    <col min="3597" max="3597" width="13.75" style="5" customWidth="1"/>
    <col min="3598" max="3840" width="9" style="5"/>
    <col min="3841" max="3841" width="4.875" style="5" customWidth="1"/>
    <col min="3842" max="3842" width="13.25" style="5" customWidth="1"/>
    <col min="3843" max="3843" width="15.625" style="5" customWidth="1"/>
    <col min="3844" max="3844" width="9.375" style="5" customWidth="1"/>
    <col min="3845" max="3845" width="13.5" style="5" customWidth="1"/>
    <col min="3846" max="3846" width="9" style="5"/>
    <col min="3847" max="3847" width="9.375" style="5" customWidth="1"/>
    <col min="3848" max="3849" width="9" style="5"/>
    <col min="3850" max="3850" width="9.375" style="5" customWidth="1"/>
    <col min="3851" max="3851" width="4" style="5" customWidth="1"/>
    <col min="3852" max="3852" width="5.125" style="5" customWidth="1"/>
    <col min="3853" max="3853" width="13.75" style="5" customWidth="1"/>
    <col min="3854" max="4096" width="9" style="5"/>
    <col min="4097" max="4097" width="4.875" style="5" customWidth="1"/>
    <col min="4098" max="4098" width="13.25" style="5" customWidth="1"/>
    <col min="4099" max="4099" width="15.625" style="5" customWidth="1"/>
    <col min="4100" max="4100" width="9.375" style="5" customWidth="1"/>
    <col min="4101" max="4101" width="13.5" style="5" customWidth="1"/>
    <col min="4102" max="4102" width="9" style="5"/>
    <col min="4103" max="4103" width="9.375" style="5" customWidth="1"/>
    <col min="4104" max="4105" width="9" style="5"/>
    <col min="4106" max="4106" width="9.375" style="5" customWidth="1"/>
    <col min="4107" max="4107" width="4" style="5" customWidth="1"/>
    <col min="4108" max="4108" width="5.125" style="5" customWidth="1"/>
    <col min="4109" max="4109" width="13.75" style="5" customWidth="1"/>
    <col min="4110" max="4352" width="9" style="5"/>
    <col min="4353" max="4353" width="4.875" style="5" customWidth="1"/>
    <col min="4354" max="4354" width="13.25" style="5" customWidth="1"/>
    <col min="4355" max="4355" width="15.625" style="5" customWidth="1"/>
    <col min="4356" max="4356" width="9.375" style="5" customWidth="1"/>
    <col min="4357" max="4357" width="13.5" style="5" customWidth="1"/>
    <col min="4358" max="4358" width="9" style="5"/>
    <col min="4359" max="4359" width="9.375" style="5" customWidth="1"/>
    <col min="4360" max="4361" width="9" style="5"/>
    <col min="4362" max="4362" width="9.375" style="5" customWidth="1"/>
    <col min="4363" max="4363" width="4" style="5" customWidth="1"/>
    <col min="4364" max="4364" width="5.125" style="5" customWidth="1"/>
    <col min="4365" max="4365" width="13.75" style="5" customWidth="1"/>
    <col min="4366" max="4608" width="9" style="5"/>
    <col min="4609" max="4609" width="4.875" style="5" customWidth="1"/>
    <col min="4610" max="4610" width="13.25" style="5" customWidth="1"/>
    <col min="4611" max="4611" width="15.625" style="5" customWidth="1"/>
    <col min="4612" max="4612" width="9.375" style="5" customWidth="1"/>
    <col min="4613" max="4613" width="13.5" style="5" customWidth="1"/>
    <col min="4614" max="4614" width="9" style="5"/>
    <col min="4615" max="4615" width="9.375" style="5" customWidth="1"/>
    <col min="4616" max="4617" width="9" style="5"/>
    <col min="4618" max="4618" width="9.375" style="5" customWidth="1"/>
    <col min="4619" max="4619" width="4" style="5" customWidth="1"/>
    <col min="4620" max="4620" width="5.125" style="5" customWidth="1"/>
    <col min="4621" max="4621" width="13.75" style="5" customWidth="1"/>
    <col min="4622" max="4864" width="9" style="5"/>
    <col min="4865" max="4865" width="4.875" style="5" customWidth="1"/>
    <col min="4866" max="4866" width="13.25" style="5" customWidth="1"/>
    <col min="4867" max="4867" width="15.625" style="5" customWidth="1"/>
    <col min="4868" max="4868" width="9.375" style="5" customWidth="1"/>
    <col min="4869" max="4869" width="13.5" style="5" customWidth="1"/>
    <col min="4870" max="4870" width="9" style="5"/>
    <col min="4871" max="4871" width="9.375" style="5" customWidth="1"/>
    <col min="4872" max="4873" width="9" style="5"/>
    <col min="4874" max="4874" width="9.375" style="5" customWidth="1"/>
    <col min="4875" max="4875" width="4" style="5" customWidth="1"/>
    <col min="4876" max="4876" width="5.125" style="5" customWidth="1"/>
    <col min="4877" max="4877" width="13.75" style="5" customWidth="1"/>
    <col min="4878" max="5120" width="9" style="5"/>
    <col min="5121" max="5121" width="4.875" style="5" customWidth="1"/>
    <col min="5122" max="5122" width="13.25" style="5" customWidth="1"/>
    <col min="5123" max="5123" width="15.625" style="5" customWidth="1"/>
    <col min="5124" max="5124" width="9.375" style="5" customWidth="1"/>
    <col min="5125" max="5125" width="13.5" style="5" customWidth="1"/>
    <col min="5126" max="5126" width="9" style="5"/>
    <col min="5127" max="5127" width="9.375" style="5" customWidth="1"/>
    <col min="5128" max="5129" width="9" style="5"/>
    <col min="5130" max="5130" width="9.375" style="5" customWidth="1"/>
    <col min="5131" max="5131" width="4" style="5" customWidth="1"/>
    <col min="5132" max="5132" width="5.125" style="5" customWidth="1"/>
    <col min="5133" max="5133" width="13.75" style="5" customWidth="1"/>
    <col min="5134" max="5376" width="9" style="5"/>
    <col min="5377" max="5377" width="4.875" style="5" customWidth="1"/>
    <col min="5378" max="5378" width="13.25" style="5" customWidth="1"/>
    <col min="5379" max="5379" width="15.625" style="5" customWidth="1"/>
    <col min="5380" max="5380" width="9.375" style="5" customWidth="1"/>
    <col min="5381" max="5381" width="13.5" style="5" customWidth="1"/>
    <col min="5382" max="5382" width="9" style="5"/>
    <col min="5383" max="5383" width="9.375" style="5" customWidth="1"/>
    <col min="5384" max="5385" width="9" style="5"/>
    <col min="5386" max="5386" width="9.375" style="5" customWidth="1"/>
    <col min="5387" max="5387" width="4" style="5" customWidth="1"/>
    <col min="5388" max="5388" width="5.125" style="5" customWidth="1"/>
    <col min="5389" max="5389" width="13.75" style="5" customWidth="1"/>
    <col min="5390" max="5632" width="9" style="5"/>
    <col min="5633" max="5633" width="4.875" style="5" customWidth="1"/>
    <col min="5634" max="5634" width="13.25" style="5" customWidth="1"/>
    <col min="5635" max="5635" width="15.625" style="5" customWidth="1"/>
    <col min="5636" max="5636" width="9.375" style="5" customWidth="1"/>
    <col min="5637" max="5637" width="13.5" style="5" customWidth="1"/>
    <col min="5638" max="5638" width="9" style="5"/>
    <col min="5639" max="5639" width="9.375" style="5" customWidth="1"/>
    <col min="5640" max="5641" width="9" style="5"/>
    <col min="5642" max="5642" width="9.375" style="5" customWidth="1"/>
    <col min="5643" max="5643" width="4" style="5" customWidth="1"/>
    <col min="5644" max="5644" width="5.125" style="5" customWidth="1"/>
    <col min="5645" max="5645" width="13.75" style="5" customWidth="1"/>
    <col min="5646" max="5888" width="9" style="5"/>
    <col min="5889" max="5889" width="4.875" style="5" customWidth="1"/>
    <col min="5890" max="5890" width="13.25" style="5" customWidth="1"/>
    <col min="5891" max="5891" width="15.625" style="5" customWidth="1"/>
    <col min="5892" max="5892" width="9.375" style="5" customWidth="1"/>
    <col min="5893" max="5893" width="13.5" style="5" customWidth="1"/>
    <col min="5894" max="5894" width="9" style="5"/>
    <col min="5895" max="5895" width="9.375" style="5" customWidth="1"/>
    <col min="5896" max="5897" width="9" style="5"/>
    <col min="5898" max="5898" width="9.375" style="5" customWidth="1"/>
    <col min="5899" max="5899" width="4" style="5" customWidth="1"/>
    <col min="5900" max="5900" width="5.125" style="5" customWidth="1"/>
    <col min="5901" max="5901" width="13.75" style="5" customWidth="1"/>
    <col min="5902" max="6144" width="9" style="5"/>
    <col min="6145" max="6145" width="4.875" style="5" customWidth="1"/>
    <col min="6146" max="6146" width="13.25" style="5" customWidth="1"/>
    <col min="6147" max="6147" width="15.625" style="5" customWidth="1"/>
    <col min="6148" max="6148" width="9.375" style="5" customWidth="1"/>
    <col min="6149" max="6149" width="13.5" style="5" customWidth="1"/>
    <col min="6150" max="6150" width="9" style="5"/>
    <col min="6151" max="6151" width="9.375" style="5" customWidth="1"/>
    <col min="6152" max="6153" width="9" style="5"/>
    <col min="6154" max="6154" width="9.375" style="5" customWidth="1"/>
    <col min="6155" max="6155" width="4" style="5" customWidth="1"/>
    <col min="6156" max="6156" width="5.125" style="5" customWidth="1"/>
    <col min="6157" max="6157" width="13.75" style="5" customWidth="1"/>
    <col min="6158" max="6400" width="9" style="5"/>
    <col min="6401" max="6401" width="4.875" style="5" customWidth="1"/>
    <col min="6402" max="6402" width="13.25" style="5" customWidth="1"/>
    <col min="6403" max="6403" width="15.625" style="5" customWidth="1"/>
    <col min="6404" max="6404" width="9.375" style="5" customWidth="1"/>
    <col min="6405" max="6405" width="13.5" style="5" customWidth="1"/>
    <col min="6406" max="6406" width="9" style="5"/>
    <col min="6407" max="6407" width="9.375" style="5" customWidth="1"/>
    <col min="6408" max="6409" width="9" style="5"/>
    <col min="6410" max="6410" width="9.375" style="5" customWidth="1"/>
    <col min="6411" max="6411" width="4" style="5" customWidth="1"/>
    <col min="6412" max="6412" width="5.125" style="5" customWidth="1"/>
    <col min="6413" max="6413" width="13.75" style="5" customWidth="1"/>
    <col min="6414" max="6656" width="9" style="5"/>
    <col min="6657" max="6657" width="4.875" style="5" customWidth="1"/>
    <col min="6658" max="6658" width="13.25" style="5" customWidth="1"/>
    <col min="6659" max="6659" width="15.625" style="5" customWidth="1"/>
    <col min="6660" max="6660" width="9.375" style="5" customWidth="1"/>
    <col min="6661" max="6661" width="13.5" style="5" customWidth="1"/>
    <col min="6662" max="6662" width="9" style="5"/>
    <col min="6663" max="6663" width="9.375" style="5" customWidth="1"/>
    <col min="6664" max="6665" width="9" style="5"/>
    <col min="6666" max="6666" width="9.375" style="5" customWidth="1"/>
    <col min="6667" max="6667" width="4" style="5" customWidth="1"/>
    <col min="6668" max="6668" width="5.125" style="5" customWidth="1"/>
    <col min="6669" max="6669" width="13.75" style="5" customWidth="1"/>
    <col min="6670" max="6912" width="9" style="5"/>
    <col min="6913" max="6913" width="4.875" style="5" customWidth="1"/>
    <col min="6914" max="6914" width="13.25" style="5" customWidth="1"/>
    <col min="6915" max="6915" width="15.625" style="5" customWidth="1"/>
    <col min="6916" max="6916" width="9.375" style="5" customWidth="1"/>
    <col min="6917" max="6917" width="13.5" style="5" customWidth="1"/>
    <col min="6918" max="6918" width="9" style="5"/>
    <col min="6919" max="6919" width="9.375" style="5" customWidth="1"/>
    <col min="6920" max="6921" width="9" style="5"/>
    <col min="6922" max="6922" width="9.375" style="5" customWidth="1"/>
    <col min="6923" max="6923" width="4" style="5" customWidth="1"/>
    <col min="6924" max="6924" width="5.125" style="5" customWidth="1"/>
    <col min="6925" max="6925" width="13.75" style="5" customWidth="1"/>
    <col min="6926" max="7168" width="9" style="5"/>
    <col min="7169" max="7169" width="4.875" style="5" customWidth="1"/>
    <col min="7170" max="7170" width="13.25" style="5" customWidth="1"/>
    <col min="7171" max="7171" width="15.625" style="5" customWidth="1"/>
    <col min="7172" max="7172" width="9.375" style="5" customWidth="1"/>
    <col min="7173" max="7173" width="13.5" style="5" customWidth="1"/>
    <col min="7174" max="7174" width="9" style="5"/>
    <col min="7175" max="7175" width="9.375" style="5" customWidth="1"/>
    <col min="7176" max="7177" width="9" style="5"/>
    <col min="7178" max="7178" width="9.375" style="5" customWidth="1"/>
    <col min="7179" max="7179" width="4" style="5" customWidth="1"/>
    <col min="7180" max="7180" width="5.125" style="5" customWidth="1"/>
    <col min="7181" max="7181" width="13.75" style="5" customWidth="1"/>
    <col min="7182" max="7424" width="9" style="5"/>
    <col min="7425" max="7425" width="4.875" style="5" customWidth="1"/>
    <col min="7426" max="7426" width="13.25" style="5" customWidth="1"/>
    <col min="7427" max="7427" width="15.625" style="5" customWidth="1"/>
    <col min="7428" max="7428" width="9.375" style="5" customWidth="1"/>
    <col min="7429" max="7429" width="13.5" style="5" customWidth="1"/>
    <col min="7430" max="7430" width="9" style="5"/>
    <col min="7431" max="7431" width="9.375" style="5" customWidth="1"/>
    <col min="7432" max="7433" width="9" style="5"/>
    <col min="7434" max="7434" width="9.375" style="5" customWidth="1"/>
    <col min="7435" max="7435" width="4" style="5" customWidth="1"/>
    <col min="7436" max="7436" width="5.125" style="5" customWidth="1"/>
    <col min="7437" max="7437" width="13.75" style="5" customWidth="1"/>
    <col min="7438" max="7680" width="9" style="5"/>
    <col min="7681" max="7681" width="4.875" style="5" customWidth="1"/>
    <col min="7682" max="7682" width="13.25" style="5" customWidth="1"/>
    <col min="7683" max="7683" width="15.625" style="5" customWidth="1"/>
    <col min="7684" max="7684" width="9.375" style="5" customWidth="1"/>
    <col min="7685" max="7685" width="13.5" style="5" customWidth="1"/>
    <col min="7686" max="7686" width="9" style="5"/>
    <col min="7687" max="7687" width="9.375" style="5" customWidth="1"/>
    <col min="7688" max="7689" width="9" style="5"/>
    <col min="7690" max="7690" width="9.375" style="5" customWidth="1"/>
    <col min="7691" max="7691" width="4" style="5" customWidth="1"/>
    <col min="7692" max="7692" width="5.125" style="5" customWidth="1"/>
    <col min="7693" max="7693" width="13.75" style="5" customWidth="1"/>
    <col min="7694" max="7936" width="9" style="5"/>
    <col min="7937" max="7937" width="4.875" style="5" customWidth="1"/>
    <col min="7938" max="7938" width="13.25" style="5" customWidth="1"/>
    <col min="7939" max="7939" width="15.625" style="5" customWidth="1"/>
    <col min="7940" max="7940" width="9.375" style="5" customWidth="1"/>
    <col min="7941" max="7941" width="13.5" style="5" customWidth="1"/>
    <col min="7942" max="7942" width="9" style="5"/>
    <col min="7943" max="7943" width="9.375" style="5" customWidth="1"/>
    <col min="7944" max="7945" width="9" style="5"/>
    <col min="7946" max="7946" width="9.375" style="5" customWidth="1"/>
    <col min="7947" max="7947" width="4" style="5" customWidth="1"/>
    <col min="7948" max="7948" width="5.125" style="5" customWidth="1"/>
    <col min="7949" max="7949" width="13.75" style="5" customWidth="1"/>
    <col min="7950" max="8192" width="9" style="5"/>
    <col min="8193" max="8193" width="4.875" style="5" customWidth="1"/>
    <col min="8194" max="8194" width="13.25" style="5" customWidth="1"/>
    <col min="8195" max="8195" width="15.625" style="5" customWidth="1"/>
    <col min="8196" max="8196" width="9.375" style="5" customWidth="1"/>
    <col min="8197" max="8197" width="13.5" style="5" customWidth="1"/>
    <col min="8198" max="8198" width="9" style="5"/>
    <col min="8199" max="8199" width="9.375" style="5" customWidth="1"/>
    <col min="8200" max="8201" width="9" style="5"/>
    <col min="8202" max="8202" width="9.375" style="5" customWidth="1"/>
    <col min="8203" max="8203" width="4" style="5" customWidth="1"/>
    <col min="8204" max="8204" width="5.125" style="5" customWidth="1"/>
    <col min="8205" max="8205" width="13.75" style="5" customWidth="1"/>
    <col min="8206" max="8448" width="9" style="5"/>
    <col min="8449" max="8449" width="4.875" style="5" customWidth="1"/>
    <col min="8450" max="8450" width="13.25" style="5" customWidth="1"/>
    <col min="8451" max="8451" width="15.625" style="5" customWidth="1"/>
    <col min="8452" max="8452" width="9.375" style="5" customWidth="1"/>
    <col min="8453" max="8453" width="13.5" style="5" customWidth="1"/>
    <col min="8454" max="8454" width="9" style="5"/>
    <col min="8455" max="8455" width="9.375" style="5" customWidth="1"/>
    <col min="8456" max="8457" width="9" style="5"/>
    <col min="8458" max="8458" width="9.375" style="5" customWidth="1"/>
    <col min="8459" max="8459" width="4" style="5" customWidth="1"/>
    <col min="8460" max="8460" width="5.125" style="5" customWidth="1"/>
    <col min="8461" max="8461" width="13.75" style="5" customWidth="1"/>
    <col min="8462" max="8704" width="9" style="5"/>
    <col min="8705" max="8705" width="4.875" style="5" customWidth="1"/>
    <col min="8706" max="8706" width="13.25" style="5" customWidth="1"/>
    <col min="8707" max="8707" width="15.625" style="5" customWidth="1"/>
    <col min="8708" max="8708" width="9.375" style="5" customWidth="1"/>
    <col min="8709" max="8709" width="13.5" style="5" customWidth="1"/>
    <col min="8710" max="8710" width="9" style="5"/>
    <col min="8711" max="8711" width="9.375" style="5" customWidth="1"/>
    <col min="8712" max="8713" width="9" style="5"/>
    <col min="8714" max="8714" width="9.375" style="5" customWidth="1"/>
    <col min="8715" max="8715" width="4" style="5" customWidth="1"/>
    <col min="8716" max="8716" width="5.125" style="5" customWidth="1"/>
    <col min="8717" max="8717" width="13.75" style="5" customWidth="1"/>
    <col min="8718" max="8960" width="9" style="5"/>
    <col min="8961" max="8961" width="4.875" style="5" customWidth="1"/>
    <col min="8962" max="8962" width="13.25" style="5" customWidth="1"/>
    <col min="8963" max="8963" width="15.625" style="5" customWidth="1"/>
    <col min="8964" max="8964" width="9.375" style="5" customWidth="1"/>
    <col min="8965" max="8965" width="13.5" style="5" customWidth="1"/>
    <col min="8966" max="8966" width="9" style="5"/>
    <col min="8967" max="8967" width="9.375" style="5" customWidth="1"/>
    <col min="8968" max="8969" width="9" style="5"/>
    <col min="8970" max="8970" width="9.375" style="5" customWidth="1"/>
    <col min="8971" max="8971" width="4" style="5" customWidth="1"/>
    <col min="8972" max="8972" width="5.125" style="5" customWidth="1"/>
    <col min="8973" max="8973" width="13.75" style="5" customWidth="1"/>
    <col min="8974" max="9216" width="9" style="5"/>
    <col min="9217" max="9217" width="4.875" style="5" customWidth="1"/>
    <col min="9218" max="9218" width="13.25" style="5" customWidth="1"/>
    <col min="9219" max="9219" width="15.625" style="5" customWidth="1"/>
    <col min="9220" max="9220" width="9.375" style="5" customWidth="1"/>
    <col min="9221" max="9221" width="13.5" style="5" customWidth="1"/>
    <col min="9222" max="9222" width="9" style="5"/>
    <col min="9223" max="9223" width="9.375" style="5" customWidth="1"/>
    <col min="9224" max="9225" width="9" style="5"/>
    <col min="9226" max="9226" width="9.375" style="5" customWidth="1"/>
    <col min="9227" max="9227" width="4" style="5" customWidth="1"/>
    <col min="9228" max="9228" width="5.125" style="5" customWidth="1"/>
    <col min="9229" max="9229" width="13.75" style="5" customWidth="1"/>
    <col min="9230" max="9472" width="9" style="5"/>
    <col min="9473" max="9473" width="4.875" style="5" customWidth="1"/>
    <col min="9474" max="9474" width="13.25" style="5" customWidth="1"/>
    <col min="9475" max="9475" width="15.625" style="5" customWidth="1"/>
    <col min="9476" max="9476" width="9.375" style="5" customWidth="1"/>
    <col min="9477" max="9477" width="13.5" style="5" customWidth="1"/>
    <col min="9478" max="9478" width="9" style="5"/>
    <col min="9479" max="9479" width="9.375" style="5" customWidth="1"/>
    <col min="9480" max="9481" width="9" style="5"/>
    <col min="9482" max="9482" width="9.375" style="5" customWidth="1"/>
    <col min="9483" max="9483" width="4" style="5" customWidth="1"/>
    <col min="9484" max="9484" width="5.125" style="5" customWidth="1"/>
    <col min="9485" max="9485" width="13.75" style="5" customWidth="1"/>
    <col min="9486" max="9728" width="9" style="5"/>
    <col min="9729" max="9729" width="4.875" style="5" customWidth="1"/>
    <col min="9730" max="9730" width="13.25" style="5" customWidth="1"/>
    <col min="9731" max="9731" width="15.625" style="5" customWidth="1"/>
    <col min="9732" max="9732" width="9.375" style="5" customWidth="1"/>
    <col min="9733" max="9733" width="13.5" style="5" customWidth="1"/>
    <col min="9734" max="9734" width="9" style="5"/>
    <col min="9735" max="9735" width="9.375" style="5" customWidth="1"/>
    <col min="9736" max="9737" width="9" style="5"/>
    <col min="9738" max="9738" width="9.375" style="5" customWidth="1"/>
    <col min="9739" max="9739" width="4" style="5" customWidth="1"/>
    <col min="9740" max="9740" width="5.125" style="5" customWidth="1"/>
    <col min="9741" max="9741" width="13.75" style="5" customWidth="1"/>
    <col min="9742" max="9984" width="9" style="5"/>
    <col min="9985" max="9985" width="4.875" style="5" customWidth="1"/>
    <col min="9986" max="9986" width="13.25" style="5" customWidth="1"/>
    <col min="9987" max="9987" width="15.625" style="5" customWidth="1"/>
    <col min="9988" max="9988" width="9.375" style="5" customWidth="1"/>
    <col min="9989" max="9989" width="13.5" style="5" customWidth="1"/>
    <col min="9990" max="9990" width="9" style="5"/>
    <col min="9991" max="9991" width="9.375" style="5" customWidth="1"/>
    <col min="9992" max="9993" width="9" style="5"/>
    <col min="9994" max="9994" width="9.375" style="5" customWidth="1"/>
    <col min="9995" max="9995" width="4" style="5" customWidth="1"/>
    <col min="9996" max="9996" width="5.125" style="5" customWidth="1"/>
    <col min="9997" max="9997" width="13.75" style="5" customWidth="1"/>
    <col min="9998" max="10240" width="9" style="5"/>
    <col min="10241" max="10241" width="4.875" style="5" customWidth="1"/>
    <col min="10242" max="10242" width="13.25" style="5" customWidth="1"/>
    <col min="10243" max="10243" width="15.625" style="5" customWidth="1"/>
    <col min="10244" max="10244" width="9.375" style="5" customWidth="1"/>
    <col min="10245" max="10245" width="13.5" style="5" customWidth="1"/>
    <col min="10246" max="10246" width="9" style="5"/>
    <col min="10247" max="10247" width="9.375" style="5" customWidth="1"/>
    <col min="10248" max="10249" width="9" style="5"/>
    <col min="10250" max="10250" width="9.375" style="5" customWidth="1"/>
    <col min="10251" max="10251" width="4" style="5" customWidth="1"/>
    <col min="10252" max="10252" width="5.125" style="5" customWidth="1"/>
    <col min="10253" max="10253" width="13.75" style="5" customWidth="1"/>
    <col min="10254" max="10496" width="9" style="5"/>
    <col min="10497" max="10497" width="4.875" style="5" customWidth="1"/>
    <col min="10498" max="10498" width="13.25" style="5" customWidth="1"/>
    <col min="10499" max="10499" width="15.625" style="5" customWidth="1"/>
    <col min="10500" max="10500" width="9.375" style="5" customWidth="1"/>
    <col min="10501" max="10501" width="13.5" style="5" customWidth="1"/>
    <col min="10502" max="10502" width="9" style="5"/>
    <col min="10503" max="10503" width="9.375" style="5" customWidth="1"/>
    <col min="10504" max="10505" width="9" style="5"/>
    <col min="10506" max="10506" width="9.375" style="5" customWidth="1"/>
    <col min="10507" max="10507" width="4" style="5" customWidth="1"/>
    <col min="10508" max="10508" width="5.125" style="5" customWidth="1"/>
    <col min="10509" max="10509" width="13.75" style="5" customWidth="1"/>
    <col min="10510" max="10752" width="9" style="5"/>
    <col min="10753" max="10753" width="4.875" style="5" customWidth="1"/>
    <col min="10754" max="10754" width="13.25" style="5" customWidth="1"/>
    <col min="10755" max="10755" width="15.625" style="5" customWidth="1"/>
    <col min="10756" max="10756" width="9.375" style="5" customWidth="1"/>
    <col min="10757" max="10757" width="13.5" style="5" customWidth="1"/>
    <col min="10758" max="10758" width="9" style="5"/>
    <col min="10759" max="10759" width="9.375" style="5" customWidth="1"/>
    <col min="10760" max="10761" width="9" style="5"/>
    <col min="10762" max="10762" width="9.375" style="5" customWidth="1"/>
    <col min="10763" max="10763" width="4" style="5" customWidth="1"/>
    <col min="10764" max="10764" width="5.125" style="5" customWidth="1"/>
    <col min="10765" max="10765" width="13.75" style="5" customWidth="1"/>
    <col min="10766" max="11008" width="9" style="5"/>
    <col min="11009" max="11009" width="4.875" style="5" customWidth="1"/>
    <col min="11010" max="11010" width="13.25" style="5" customWidth="1"/>
    <col min="11011" max="11011" width="15.625" style="5" customWidth="1"/>
    <col min="11012" max="11012" width="9.375" style="5" customWidth="1"/>
    <col min="11013" max="11013" width="13.5" style="5" customWidth="1"/>
    <col min="11014" max="11014" width="9" style="5"/>
    <col min="11015" max="11015" width="9.375" style="5" customWidth="1"/>
    <col min="11016" max="11017" width="9" style="5"/>
    <col min="11018" max="11018" width="9.375" style="5" customWidth="1"/>
    <col min="11019" max="11019" width="4" style="5" customWidth="1"/>
    <col min="11020" max="11020" width="5.125" style="5" customWidth="1"/>
    <col min="11021" max="11021" width="13.75" style="5" customWidth="1"/>
    <col min="11022" max="11264" width="9" style="5"/>
    <col min="11265" max="11265" width="4.875" style="5" customWidth="1"/>
    <col min="11266" max="11266" width="13.25" style="5" customWidth="1"/>
    <col min="11267" max="11267" width="15.625" style="5" customWidth="1"/>
    <col min="11268" max="11268" width="9.375" style="5" customWidth="1"/>
    <col min="11269" max="11269" width="13.5" style="5" customWidth="1"/>
    <col min="11270" max="11270" width="9" style="5"/>
    <col min="11271" max="11271" width="9.375" style="5" customWidth="1"/>
    <col min="11272" max="11273" width="9" style="5"/>
    <col min="11274" max="11274" width="9.375" style="5" customWidth="1"/>
    <col min="11275" max="11275" width="4" style="5" customWidth="1"/>
    <col min="11276" max="11276" width="5.125" style="5" customWidth="1"/>
    <col min="11277" max="11277" width="13.75" style="5" customWidth="1"/>
    <col min="11278" max="11520" width="9" style="5"/>
    <col min="11521" max="11521" width="4.875" style="5" customWidth="1"/>
    <col min="11522" max="11522" width="13.25" style="5" customWidth="1"/>
    <col min="11523" max="11523" width="15.625" style="5" customWidth="1"/>
    <col min="11524" max="11524" width="9.375" style="5" customWidth="1"/>
    <col min="11525" max="11525" width="13.5" style="5" customWidth="1"/>
    <col min="11526" max="11526" width="9" style="5"/>
    <col min="11527" max="11527" width="9.375" style="5" customWidth="1"/>
    <col min="11528" max="11529" width="9" style="5"/>
    <col min="11530" max="11530" width="9.375" style="5" customWidth="1"/>
    <col min="11531" max="11531" width="4" style="5" customWidth="1"/>
    <col min="11532" max="11532" width="5.125" style="5" customWidth="1"/>
    <col min="11533" max="11533" width="13.75" style="5" customWidth="1"/>
    <col min="11534" max="11776" width="9" style="5"/>
    <col min="11777" max="11777" width="4.875" style="5" customWidth="1"/>
    <col min="11778" max="11778" width="13.25" style="5" customWidth="1"/>
    <col min="11779" max="11779" width="15.625" style="5" customWidth="1"/>
    <col min="11780" max="11780" width="9.375" style="5" customWidth="1"/>
    <col min="11781" max="11781" width="13.5" style="5" customWidth="1"/>
    <col min="11782" max="11782" width="9" style="5"/>
    <col min="11783" max="11783" width="9.375" style="5" customWidth="1"/>
    <col min="11784" max="11785" width="9" style="5"/>
    <col min="11786" max="11786" width="9.375" style="5" customWidth="1"/>
    <col min="11787" max="11787" width="4" style="5" customWidth="1"/>
    <col min="11788" max="11788" width="5.125" style="5" customWidth="1"/>
    <col min="11789" max="11789" width="13.75" style="5" customWidth="1"/>
    <col min="11790" max="12032" width="9" style="5"/>
    <col min="12033" max="12033" width="4.875" style="5" customWidth="1"/>
    <col min="12034" max="12034" width="13.25" style="5" customWidth="1"/>
    <col min="12035" max="12035" width="15.625" style="5" customWidth="1"/>
    <col min="12036" max="12036" width="9.375" style="5" customWidth="1"/>
    <col min="12037" max="12037" width="13.5" style="5" customWidth="1"/>
    <col min="12038" max="12038" width="9" style="5"/>
    <col min="12039" max="12039" width="9.375" style="5" customWidth="1"/>
    <col min="12040" max="12041" width="9" style="5"/>
    <col min="12042" max="12042" width="9.375" style="5" customWidth="1"/>
    <col min="12043" max="12043" width="4" style="5" customWidth="1"/>
    <col min="12044" max="12044" width="5.125" style="5" customWidth="1"/>
    <col min="12045" max="12045" width="13.75" style="5" customWidth="1"/>
    <col min="12046" max="12288" width="9" style="5"/>
    <col min="12289" max="12289" width="4.875" style="5" customWidth="1"/>
    <col min="12290" max="12290" width="13.25" style="5" customWidth="1"/>
    <col min="12291" max="12291" width="15.625" style="5" customWidth="1"/>
    <col min="12292" max="12292" width="9.375" style="5" customWidth="1"/>
    <col min="12293" max="12293" width="13.5" style="5" customWidth="1"/>
    <col min="12294" max="12294" width="9" style="5"/>
    <col min="12295" max="12295" width="9.375" style="5" customWidth="1"/>
    <col min="12296" max="12297" width="9" style="5"/>
    <col min="12298" max="12298" width="9.375" style="5" customWidth="1"/>
    <col min="12299" max="12299" width="4" style="5" customWidth="1"/>
    <col min="12300" max="12300" width="5.125" style="5" customWidth="1"/>
    <col min="12301" max="12301" width="13.75" style="5" customWidth="1"/>
    <col min="12302" max="12544" width="9" style="5"/>
    <col min="12545" max="12545" width="4.875" style="5" customWidth="1"/>
    <col min="12546" max="12546" width="13.25" style="5" customWidth="1"/>
    <col min="12547" max="12547" width="15.625" style="5" customWidth="1"/>
    <col min="12548" max="12548" width="9.375" style="5" customWidth="1"/>
    <col min="12549" max="12549" width="13.5" style="5" customWidth="1"/>
    <col min="12550" max="12550" width="9" style="5"/>
    <col min="12551" max="12551" width="9.375" style="5" customWidth="1"/>
    <col min="12552" max="12553" width="9" style="5"/>
    <col min="12554" max="12554" width="9.375" style="5" customWidth="1"/>
    <col min="12555" max="12555" width="4" style="5" customWidth="1"/>
    <col min="12556" max="12556" width="5.125" style="5" customWidth="1"/>
    <col min="12557" max="12557" width="13.75" style="5" customWidth="1"/>
    <col min="12558" max="12800" width="9" style="5"/>
    <col min="12801" max="12801" width="4.875" style="5" customWidth="1"/>
    <col min="12802" max="12802" width="13.25" style="5" customWidth="1"/>
    <col min="12803" max="12803" width="15.625" style="5" customWidth="1"/>
    <col min="12804" max="12804" width="9.375" style="5" customWidth="1"/>
    <col min="12805" max="12805" width="13.5" style="5" customWidth="1"/>
    <col min="12806" max="12806" width="9" style="5"/>
    <col min="12807" max="12807" width="9.375" style="5" customWidth="1"/>
    <col min="12808" max="12809" width="9" style="5"/>
    <col min="12810" max="12810" width="9.375" style="5" customWidth="1"/>
    <col min="12811" max="12811" width="4" style="5" customWidth="1"/>
    <col min="12812" max="12812" width="5.125" style="5" customWidth="1"/>
    <col min="12813" max="12813" width="13.75" style="5" customWidth="1"/>
    <col min="12814" max="13056" width="9" style="5"/>
    <col min="13057" max="13057" width="4.875" style="5" customWidth="1"/>
    <col min="13058" max="13058" width="13.25" style="5" customWidth="1"/>
    <col min="13059" max="13059" width="15.625" style="5" customWidth="1"/>
    <col min="13060" max="13060" width="9.375" style="5" customWidth="1"/>
    <col min="13061" max="13061" width="13.5" style="5" customWidth="1"/>
    <col min="13062" max="13062" width="9" style="5"/>
    <col min="13063" max="13063" width="9.375" style="5" customWidth="1"/>
    <col min="13064" max="13065" width="9" style="5"/>
    <col min="13066" max="13066" width="9.375" style="5" customWidth="1"/>
    <col min="13067" max="13067" width="4" style="5" customWidth="1"/>
    <col min="13068" max="13068" width="5.125" style="5" customWidth="1"/>
    <col min="13069" max="13069" width="13.75" style="5" customWidth="1"/>
    <col min="13070" max="13312" width="9" style="5"/>
    <col min="13313" max="13313" width="4.875" style="5" customWidth="1"/>
    <col min="13314" max="13314" width="13.25" style="5" customWidth="1"/>
    <col min="13315" max="13315" width="15.625" style="5" customWidth="1"/>
    <col min="13316" max="13316" width="9.375" style="5" customWidth="1"/>
    <col min="13317" max="13317" width="13.5" style="5" customWidth="1"/>
    <col min="13318" max="13318" width="9" style="5"/>
    <col min="13319" max="13319" width="9.375" style="5" customWidth="1"/>
    <col min="13320" max="13321" width="9" style="5"/>
    <col min="13322" max="13322" width="9.375" style="5" customWidth="1"/>
    <col min="13323" max="13323" width="4" style="5" customWidth="1"/>
    <col min="13324" max="13324" width="5.125" style="5" customWidth="1"/>
    <col min="13325" max="13325" width="13.75" style="5" customWidth="1"/>
    <col min="13326" max="13568" width="9" style="5"/>
    <col min="13569" max="13569" width="4.875" style="5" customWidth="1"/>
    <col min="13570" max="13570" width="13.25" style="5" customWidth="1"/>
    <col min="13571" max="13571" width="15.625" style="5" customWidth="1"/>
    <col min="13572" max="13572" width="9.375" style="5" customWidth="1"/>
    <col min="13573" max="13573" width="13.5" style="5" customWidth="1"/>
    <col min="13574" max="13574" width="9" style="5"/>
    <col min="13575" max="13575" width="9.375" style="5" customWidth="1"/>
    <col min="13576" max="13577" width="9" style="5"/>
    <col min="13578" max="13578" width="9.375" style="5" customWidth="1"/>
    <col min="13579" max="13579" width="4" style="5" customWidth="1"/>
    <col min="13580" max="13580" width="5.125" style="5" customWidth="1"/>
    <col min="13581" max="13581" width="13.75" style="5" customWidth="1"/>
    <col min="13582" max="13824" width="9" style="5"/>
    <col min="13825" max="13825" width="4.875" style="5" customWidth="1"/>
    <col min="13826" max="13826" width="13.25" style="5" customWidth="1"/>
    <col min="13827" max="13827" width="15.625" style="5" customWidth="1"/>
    <col min="13828" max="13828" width="9.375" style="5" customWidth="1"/>
    <col min="13829" max="13829" width="13.5" style="5" customWidth="1"/>
    <col min="13830" max="13830" width="9" style="5"/>
    <col min="13831" max="13831" width="9.375" style="5" customWidth="1"/>
    <col min="13832" max="13833" width="9" style="5"/>
    <col min="13834" max="13834" width="9.375" style="5" customWidth="1"/>
    <col min="13835" max="13835" width="4" style="5" customWidth="1"/>
    <col min="13836" max="13836" width="5.125" style="5" customWidth="1"/>
    <col min="13837" max="13837" width="13.75" style="5" customWidth="1"/>
    <col min="13838" max="14080" width="9" style="5"/>
    <col min="14081" max="14081" width="4.875" style="5" customWidth="1"/>
    <col min="14082" max="14082" width="13.25" style="5" customWidth="1"/>
    <col min="14083" max="14083" width="15.625" style="5" customWidth="1"/>
    <col min="14084" max="14084" width="9.375" style="5" customWidth="1"/>
    <col min="14085" max="14085" width="13.5" style="5" customWidth="1"/>
    <col min="14086" max="14086" width="9" style="5"/>
    <col min="14087" max="14087" width="9.375" style="5" customWidth="1"/>
    <col min="14088" max="14089" width="9" style="5"/>
    <col min="14090" max="14090" width="9.375" style="5" customWidth="1"/>
    <col min="14091" max="14091" width="4" style="5" customWidth="1"/>
    <col min="14092" max="14092" width="5.125" style="5" customWidth="1"/>
    <col min="14093" max="14093" width="13.75" style="5" customWidth="1"/>
    <col min="14094" max="14336" width="9" style="5"/>
    <col min="14337" max="14337" width="4.875" style="5" customWidth="1"/>
    <col min="14338" max="14338" width="13.25" style="5" customWidth="1"/>
    <col min="14339" max="14339" width="15.625" style="5" customWidth="1"/>
    <col min="14340" max="14340" width="9.375" style="5" customWidth="1"/>
    <col min="14341" max="14341" width="13.5" style="5" customWidth="1"/>
    <col min="14342" max="14342" width="9" style="5"/>
    <col min="14343" max="14343" width="9.375" style="5" customWidth="1"/>
    <col min="14344" max="14345" width="9" style="5"/>
    <col min="14346" max="14346" width="9.375" style="5" customWidth="1"/>
    <col min="14347" max="14347" width="4" style="5" customWidth="1"/>
    <col min="14348" max="14348" width="5.125" style="5" customWidth="1"/>
    <col min="14349" max="14349" width="13.75" style="5" customWidth="1"/>
    <col min="14350" max="14592" width="9" style="5"/>
    <col min="14593" max="14593" width="4.875" style="5" customWidth="1"/>
    <col min="14594" max="14594" width="13.25" style="5" customWidth="1"/>
    <col min="14595" max="14595" width="15.625" style="5" customWidth="1"/>
    <col min="14596" max="14596" width="9.375" style="5" customWidth="1"/>
    <col min="14597" max="14597" width="13.5" style="5" customWidth="1"/>
    <col min="14598" max="14598" width="9" style="5"/>
    <col min="14599" max="14599" width="9.375" style="5" customWidth="1"/>
    <col min="14600" max="14601" width="9" style="5"/>
    <col min="14602" max="14602" width="9.375" style="5" customWidth="1"/>
    <col min="14603" max="14603" width="4" style="5" customWidth="1"/>
    <col min="14604" max="14604" width="5.125" style="5" customWidth="1"/>
    <col min="14605" max="14605" width="13.75" style="5" customWidth="1"/>
    <col min="14606" max="14848" width="9" style="5"/>
    <col min="14849" max="14849" width="4.875" style="5" customWidth="1"/>
    <col min="14850" max="14850" width="13.25" style="5" customWidth="1"/>
    <col min="14851" max="14851" width="15.625" style="5" customWidth="1"/>
    <col min="14852" max="14852" width="9.375" style="5" customWidth="1"/>
    <col min="14853" max="14853" width="13.5" style="5" customWidth="1"/>
    <col min="14854" max="14854" width="9" style="5"/>
    <col min="14855" max="14855" width="9.375" style="5" customWidth="1"/>
    <col min="14856" max="14857" width="9" style="5"/>
    <col min="14858" max="14858" width="9.375" style="5" customWidth="1"/>
    <col min="14859" max="14859" width="4" style="5" customWidth="1"/>
    <col min="14860" max="14860" width="5.125" style="5" customWidth="1"/>
    <col min="14861" max="14861" width="13.75" style="5" customWidth="1"/>
    <col min="14862" max="15104" width="9" style="5"/>
    <col min="15105" max="15105" width="4.875" style="5" customWidth="1"/>
    <col min="15106" max="15106" width="13.25" style="5" customWidth="1"/>
    <col min="15107" max="15107" width="15.625" style="5" customWidth="1"/>
    <col min="15108" max="15108" width="9.375" style="5" customWidth="1"/>
    <col min="15109" max="15109" width="13.5" style="5" customWidth="1"/>
    <col min="15110" max="15110" width="9" style="5"/>
    <col min="15111" max="15111" width="9.375" style="5" customWidth="1"/>
    <col min="15112" max="15113" width="9" style="5"/>
    <col min="15114" max="15114" width="9.375" style="5" customWidth="1"/>
    <col min="15115" max="15115" width="4" style="5" customWidth="1"/>
    <col min="15116" max="15116" width="5.125" style="5" customWidth="1"/>
    <col min="15117" max="15117" width="13.75" style="5" customWidth="1"/>
    <col min="15118" max="15360" width="9" style="5"/>
    <col min="15361" max="15361" width="4.875" style="5" customWidth="1"/>
    <col min="15362" max="15362" width="13.25" style="5" customWidth="1"/>
    <col min="15363" max="15363" width="15.625" style="5" customWidth="1"/>
    <col min="15364" max="15364" width="9.375" style="5" customWidth="1"/>
    <col min="15365" max="15365" width="13.5" style="5" customWidth="1"/>
    <col min="15366" max="15366" width="9" style="5"/>
    <col min="15367" max="15367" width="9.375" style="5" customWidth="1"/>
    <col min="15368" max="15369" width="9" style="5"/>
    <col min="15370" max="15370" width="9.375" style="5" customWidth="1"/>
    <col min="15371" max="15371" width="4" style="5" customWidth="1"/>
    <col min="15372" max="15372" width="5.125" style="5" customWidth="1"/>
    <col min="15373" max="15373" width="13.75" style="5" customWidth="1"/>
    <col min="15374" max="15616" width="9" style="5"/>
    <col min="15617" max="15617" width="4.875" style="5" customWidth="1"/>
    <col min="15618" max="15618" width="13.25" style="5" customWidth="1"/>
    <col min="15619" max="15619" width="15.625" style="5" customWidth="1"/>
    <col min="15620" max="15620" width="9.375" style="5" customWidth="1"/>
    <col min="15621" max="15621" width="13.5" style="5" customWidth="1"/>
    <col min="15622" max="15622" width="9" style="5"/>
    <col min="15623" max="15623" width="9.375" style="5" customWidth="1"/>
    <col min="15624" max="15625" width="9" style="5"/>
    <col min="15626" max="15626" width="9.375" style="5" customWidth="1"/>
    <col min="15627" max="15627" width="4" style="5" customWidth="1"/>
    <col min="15628" max="15628" width="5.125" style="5" customWidth="1"/>
    <col min="15629" max="15629" width="13.75" style="5" customWidth="1"/>
    <col min="15630" max="15872" width="9" style="5"/>
    <col min="15873" max="15873" width="4.875" style="5" customWidth="1"/>
    <col min="15874" max="15874" width="13.25" style="5" customWidth="1"/>
    <col min="15875" max="15875" width="15.625" style="5" customWidth="1"/>
    <col min="15876" max="15876" width="9.375" style="5" customWidth="1"/>
    <col min="15877" max="15877" width="13.5" style="5" customWidth="1"/>
    <col min="15878" max="15878" width="9" style="5"/>
    <col min="15879" max="15879" width="9.375" style="5" customWidth="1"/>
    <col min="15880" max="15881" width="9" style="5"/>
    <col min="15882" max="15882" width="9.375" style="5" customWidth="1"/>
    <col min="15883" max="15883" width="4" style="5" customWidth="1"/>
    <col min="15884" max="15884" width="5.125" style="5" customWidth="1"/>
    <col min="15885" max="15885" width="13.75" style="5" customWidth="1"/>
    <col min="15886" max="16128" width="9" style="5"/>
    <col min="16129" max="16129" width="4.875" style="5" customWidth="1"/>
    <col min="16130" max="16130" width="13.25" style="5" customWidth="1"/>
    <col min="16131" max="16131" width="15.625" style="5" customWidth="1"/>
    <col min="16132" max="16132" width="9.375" style="5" customWidth="1"/>
    <col min="16133" max="16133" width="13.5" style="5" customWidth="1"/>
    <col min="16134" max="16134" width="9" style="5"/>
    <col min="16135" max="16135" width="9.375" style="5" customWidth="1"/>
    <col min="16136" max="16137" width="9" style="5"/>
    <col min="16138" max="16138" width="9.375" style="5" customWidth="1"/>
    <col min="16139" max="16139" width="4" style="5" customWidth="1"/>
    <col min="16140" max="16140" width="5.125" style="5" customWidth="1"/>
    <col min="16141" max="16141" width="13.75" style="5" customWidth="1"/>
    <col min="16142" max="16384" width="9" style="5"/>
  </cols>
  <sheetData>
    <row r="1" s="1" customFormat="1" ht="14.25" spans="1:257">
      <c r="A1" s="6"/>
      <c r="B1" s="7" t="s">
        <v>675</v>
      </c>
      <c r="C1" s="8">
        <f>项目基本情况!D2</f>
        <v>44567</v>
      </c>
      <c r="D1" s="7" t="s">
        <v>2434</v>
      </c>
      <c r="E1" s="9">
        <f>'数据-取费表'!B24</f>
        <v>2</v>
      </c>
      <c r="F1" s="7" t="s">
        <v>2435</v>
      </c>
      <c r="G1" s="10">
        <f ca="1">INDIRECT("d"&amp;$K$1)/100</f>
        <v>0.0385</v>
      </c>
      <c r="H1" s="7" t="s">
        <v>2436</v>
      </c>
      <c r="I1" s="10">
        <f ca="1">F4/100</f>
        <v>0.015</v>
      </c>
      <c r="J1" s="58">
        <f>IF(C1&gt;C13,0,MATCH(C1,C$13:C$105,-1))+IF(SUMIF(C13:C105,C1,D13:D105)=0,13,12)</f>
        <v>13</v>
      </c>
      <c r="K1" s="58">
        <f ca="1">MATCH(E1,C3:C7,1)+IF(SUMIF(C3:C7,E1,D3:D7)=0,2,1)</f>
        <v>5</v>
      </c>
      <c r="L1" s="58">
        <f>IF(C1&gt;M13,0,MATCH(C1,M$13:M$101,-1))+IF(SUMIF(M13:M101,C1,N13:N101)=0,13,12)</f>
        <v>13</v>
      </c>
      <c r="M1" s="6"/>
      <c r="N1" s="6"/>
      <c r="O1" s="6"/>
      <c r="P1" s="6"/>
      <c r="Q1" s="6"/>
      <c r="R1" s="6"/>
      <c r="S1" s="6"/>
      <c r="T1" s="6"/>
      <c r="U1" s="6"/>
      <c r="V1" s="6"/>
      <c r="W1" s="6"/>
      <c r="X1" s="6"/>
      <c r="Y1" s="6"/>
      <c r="Z1" s="6"/>
      <c r="AA1" s="62"/>
      <c r="AB1" s="62"/>
      <c r="AC1" s="62"/>
      <c r="AD1" s="62"/>
      <c r="AE1" s="62"/>
      <c r="AF1" s="62"/>
      <c r="AG1" s="62"/>
      <c r="AH1" s="62"/>
      <c r="AI1" s="62"/>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62"/>
      <c r="BN1" s="62"/>
      <c r="BO1" s="62"/>
      <c r="BP1" s="62"/>
      <c r="BQ1" s="62"/>
      <c r="BR1" s="62"/>
      <c r="BS1" s="62"/>
      <c r="BT1" s="62"/>
      <c r="BU1" s="62"/>
      <c r="BV1" s="62"/>
      <c r="BW1" s="62"/>
      <c r="BX1" s="62"/>
      <c r="BY1" s="62"/>
      <c r="BZ1" s="62"/>
      <c r="CA1" s="62"/>
      <c r="CB1" s="62"/>
      <c r="CC1" s="62"/>
      <c r="CD1" s="62"/>
      <c r="CE1" s="62"/>
      <c r="CF1" s="62"/>
      <c r="CG1" s="62"/>
      <c r="CH1" s="62"/>
      <c r="CI1" s="62"/>
      <c r="CJ1" s="62"/>
      <c r="CK1" s="62"/>
      <c r="CL1" s="62"/>
      <c r="CM1" s="62"/>
      <c r="CN1" s="62"/>
      <c r="CO1" s="62"/>
      <c r="CP1" s="62"/>
      <c r="CQ1" s="62"/>
      <c r="CR1" s="62"/>
      <c r="CS1" s="62"/>
      <c r="CT1" s="62"/>
      <c r="CU1" s="62"/>
      <c r="CV1" s="62"/>
      <c r="CW1" s="62"/>
      <c r="CX1" s="62"/>
      <c r="CY1" s="62"/>
      <c r="CZ1" s="62"/>
      <c r="DA1" s="62"/>
      <c r="DB1" s="62"/>
      <c r="DC1" s="62"/>
      <c r="DD1" s="62"/>
      <c r="DE1" s="62"/>
      <c r="DF1" s="62"/>
      <c r="DG1" s="62"/>
      <c r="DH1" s="62"/>
      <c r="DI1" s="62"/>
      <c r="DJ1" s="62"/>
      <c r="DK1" s="62"/>
      <c r="DL1" s="62"/>
      <c r="DM1" s="62"/>
      <c r="DN1" s="62"/>
      <c r="DO1" s="62"/>
      <c r="DP1" s="62"/>
      <c r="DQ1" s="62"/>
      <c r="DR1" s="62"/>
      <c r="DS1" s="62"/>
      <c r="DT1" s="62"/>
      <c r="DU1" s="62"/>
      <c r="DV1" s="62"/>
      <c r="DW1" s="62"/>
      <c r="DX1" s="62"/>
      <c r="DY1" s="62"/>
      <c r="DZ1" s="62"/>
      <c r="EA1" s="62"/>
      <c r="EB1" s="62"/>
      <c r="EC1" s="62"/>
      <c r="ED1" s="62"/>
      <c r="EE1" s="62"/>
      <c r="EF1" s="62"/>
      <c r="EG1" s="62"/>
      <c r="EH1" s="62"/>
      <c r="EI1" s="62"/>
      <c r="EJ1" s="62"/>
      <c r="EK1" s="62"/>
      <c r="EL1" s="62"/>
      <c r="EM1" s="62"/>
      <c r="EN1" s="62"/>
      <c r="EO1" s="62"/>
      <c r="EP1" s="62"/>
      <c r="EQ1" s="62"/>
      <c r="ER1" s="62"/>
      <c r="ES1" s="62"/>
      <c r="ET1" s="62"/>
      <c r="EU1" s="62"/>
      <c r="EV1" s="62"/>
      <c r="EW1" s="62"/>
      <c r="EX1" s="62"/>
      <c r="EY1" s="62"/>
      <c r="EZ1" s="62"/>
      <c r="FA1" s="62"/>
      <c r="FB1" s="62"/>
      <c r="FC1" s="62"/>
      <c r="FD1" s="62"/>
      <c r="FE1" s="62"/>
      <c r="FF1" s="62"/>
      <c r="FG1" s="62"/>
      <c r="FH1" s="62"/>
      <c r="FI1" s="62"/>
      <c r="FJ1" s="62"/>
      <c r="FK1" s="62"/>
      <c r="FL1" s="62"/>
      <c r="FM1" s="62"/>
      <c r="FN1" s="62"/>
      <c r="FO1" s="62"/>
      <c r="FP1" s="62"/>
      <c r="FQ1" s="62"/>
      <c r="FR1" s="62"/>
      <c r="FS1" s="62"/>
      <c r="FT1" s="62"/>
      <c r="FU1" s="62"/>
      <c r="FV1" s="62"/>
      <c r="FW1" s="62"/>
      <c r="FX1" s="62"/>
      <c r="FY1" s="62"/>
      <c r="FZ1" s="62"/>
      <c r="GA1" s="62"/>
      <c r="GB1" s="62"/>
      <c r="GC1" s="62"/>
      <c r="GD1" s="62"/>
      <c r="GE1" s="62"/>
      <c r="GF1" s="62"/>
      <c r="GG1" s="62"/>
      <c r="GH1" s="62"/>
      <c r="GI1" s="62"/>
      <c r="GJ1" s="62"/>
      <c r="GK1" s="62"/>
      <c r="GL1" s="62"/>
      <c r="GM1" s="62"/>
      <c r="GN1" s="62"/>
      <c r="GO1" s="62"/>
      <c r="GP1" s="62"/>
      <c r="GQ1" s="62"/>
      <c r="GR1" s="62"/>
      <c r="GS1" s="62"/>
      <c r="GT1" s="62"/>
      <c r="GU1" s="62"/>
      <c r="GV1" s="62"/>
      <c r="GW1" s="62"/>
      <c r="GX1" s="62"/>
      <c r="GY1" s="62"/>
      <c r="GZ1" s="62"/>
      <c r="HA1" s="62"/>
      <c r="HB1" s="62"/>
      <c r="HC1" s="62"/>
      <c r="HD1" s="62"/>
      <c r="HE1" s="62"/>
      <c r="HF1" s="62"/>
      <c r="HG1" s="62"/>
      <c r="HH1" s="62"/>
      <c r="HI1" s="62"/>
      <c r="HJ1" s="62"/>
      <c r="HK1" s="62"/>
      <c r="HL1" s="62"/>
      <c r="HM1" s="62"/>
      <c r="HN1" s="62"/>
      <c r="HO1" s="62"/>
      <c r="HP1" s="62"/>
      <c r="HQ1" s="62"/>
      <c r="HR1" s="62"/>
      <c r="HS1" s="62"/>
      <c r="HT1" s="62"/>
      <c r="HU1" s="62"/>
      <c r="HV1" s="62"/>
      <c r="HW1" s="62"/>
      <c r="HX1" s="62"/>
      <c r="HY1" s="62"/>
      <c r="HZ1" s="62"/>
      <c r="IA1" s="62"/>
      <c r="IB1" s="62"/>
      <c r="IC1" s="62"/>
      <c r="ID1" s="62"/>
      <c r="IE1" s="62"/>
      <c r="IF1" s="62"/>
      <c r="IG1" s="62"/>
      <c r="IH1" s="62"/>
      <c r="II1" s="62"/>
      <c r="IJ1" s="62"/>
      <c r="IK1" s="62"/>
      <c r="IL1" s="62"/>
      <c r="IM1" s="62"/>
      <c r="IN1" s="62"/>
      <c r="IO1" s="62"/>
      <c r="IP1" s="62"/>
      <c r="IQ1" s="62"/>
      <c r="IR1" s="62"/>
      <c r="IS1" s="62"/>
      <c r="IT1" s="62"/>
      <c r="IU1" s="62"/>
      <c r="IV1" s="62"/>
      <c r="IW1" s="69"/>
    </row>
    <row r="2" ht="15" spans="1:257">
      <c r="A2" s="11"/>
      <c r="B2" s="11"/>
      <c r="C2" s="11"/>
      <c r="D2" s="11" t="s">
        <v>2435</v>
      </c>
      <c r="E2" s="11"/>
      <c r="F2" s="11" t="s">
        <v>2437</v>
      </c>
      <c r="G2" s="12"/>
      <c r="H2" s="11"/>
      <c r="I2" s="11"/>
      <c r="J2" s="11"/>
      <c r="K2" s="11"/>
      <c r="L2" s="11"/>
      <c r="M2" s="11"/>
      <c r="N2" s="11"/>
      <c r="O2" s="11"/>
      <c r="P2" s="11"/>
      <c r="Q2" s="11"/>
      <c r="R2" s="11"/>
      <c r="S2" s="11"/>
      <c r="T2" s="11"/>
      <c r="U2" s="11"/>
      <c r="V2" s="11"/>
      <c r="W2" s="11"/>
      <c r="X2" s="11"/>
      <c r="Y2" s="11"/>
      <c r="Z2" s="11"/>
      <c r="AA2" s="11"/>
      <c r="AB2" s="11"/>
      <c r="AC2" s="11"/>
      <c r="AD2" s="11"/>
      <c r="AE2" s="11"/>
      <c r="AF2" s="11"/>
      <c r="AG2" s="11"/>
      <c r="AH2" s="11"/>
      <c r="AI2" s="11"/>
      <c r="AJ2" s="11"/>
      <c r="AK2" s="11"/>
      <c r="AL2" s="11"/>
      <c r="AM2" s="11"/>
      <c r="AN2" s="11"/>
      <c r="AO2" s="11"/>
      <c r="AP2" s="11"/>
      <c r="AQ2" s="11"/>
      <c r="AR2" s="11"/>
      <c r="AS2" s="11"/>
      <c r="AT2" s="11"/>
      <c r="AU2" s="11"/>
      <c r="AV2" s="11"/>
      <c r="AW2" s="11"/>
      <c r="AX2" s="11"/>
      <c r="AY2" s="11"/>
      <c r="AZ2" s="11"/>
      <c r="BA2" s="11"/>
      <c r="BB2" s="11"/>
      <c r="BC2" s="11"/>
      <c r="BD2" s="11"/>
      <c r="BE2" s="11"/>
      <c r="BF2" s="11"/>
      <c r="BG2" s="11"/>
      <c r="BH2" s="11"/>
      <c r="BI2" s="11"/>
      <c r="BJ2" s="11"/>
      <c r="BK2" s="11"/>
      <c r="BL2" s="11"/>
      <c r="BM2" s="11"/>
      <c r="BN2" s="11"/>
      <c r="BO2" s="11"/>
      <c r="BP2" s="11"/>
      <c r="BQ2" s="11"/>
      <c r="BR2" s="11"/>
      <c r="BS2" s="11"/>
      <c r="BT2" s="11"/>
      <c r="BU2" s="11"/>
      <c r="BV2" s="11"/>
      <c r="BW2" s="11"/>
      <c r="BX2" s="11"/>
      <c r="BY2" s="11"/>
      <c r="BZ2" s="11"/>
      <c r="CA2" s="11"/>
      <c r="CB2" s="11"/>
      <c r="CC2" s="11"/>
      <c r="CD2" s="11"/>
      <c r="CE2" s="11"/>
      <c r="CF2" s="11"/>
      <c r="CG2" s="11"/>
      <c r="CH2" s="11"/>
      <c r="CI2" s="11"/>
      <c r="CJ2" s="11"/>
      <c r="CK2" s="11"/>
      <c r="CL2" s="11"/>
      <c r="CM2" s="11"/>
      <c r="CN2" s="11"/>
      <c r="CO2" s="11"/>
      <c r="CP2" s="11"/>
      <c r="CQ2" s="11"/>
      <c r="CR2" s="11"/>
      <c r="CS2" s="11"/>
      <c r="CT2" s="11"/>
      <c r="CU2" s="11"/>
      <c r="CV2" s="11"/>
      <c r="CW2" s="11"/>
      <c r="CX2" s="11"/>
      <c r="CY2" s="11"/>
      <c r="CZ2" s="11"/>
      <c r="DA2" s="11"/>
      <c r="DB2" s="11"/>
      <c r="DC2" s="11"/>
      <c r="DD2" s="11"/>
      <c r="DE2" s="11"/>
      <c r="DF2" s="11"/>
      <c r="DG2" s="11"/>
      <c r="DH2" s="11"/>
      <c r="DI2" s="11"/>
      <c r="DJ2" s="11"/>
      <c r="DK2" s="11"/>
      <c r="DL2" s="11"/>
      <c r="DM2" s="11"/>
      <c r="DN2" s="11"/>
      <c r="DO2" s="11"/>
      <c r="DP2" s="11"/>
      <c r="DQ2" s="11"/>
      <c r="DR2" s="11"/>
      <c r="DS2" s="11"/>
      <c r="DT2" s="11"/>
      <c r="DU2" s="11"/>
      <c r="DV2" s="11"/>
      <c r="DW2" s="11"/>
      <c r="DX2" s="11"/>
      <c r="DY2" s="11"/>
      <c r="DZ2" s="11"/>
      <c r="EA2" s="11"/>
      <c r="EB2" s="11"/>
      <c r="EC2" s="11"/>
      <c r="ED2" s="11"/>
      <c r="EE2" s="11"/>
      <c r="EF2" s="11"/>
      <c r="EG2" s="11"/>
      <c r="EH2" s="11"/>
      <c r="EI2" s="11"/>
      <c r="EJ2" s="11"/>
      <c r="EK2" s="11"/>
      <c r="EL2" s="11"/>
      <c r="EM2" s="11"/>
      <c r="EN2" s="11"/>
      <c r="EO2" s="11"/>
      <c r="EP2" s="11"/>
      <c r="EQ2" s="11"/>
      <c r="ER2" s="11"/>
      <c r="ES2" s="11"/>
      <c r="ET2" s="11"/>
      <c r="EU2" s="11"/>
      <c r="EV2" s="11"/>
      <c r="EW2" s="11"/>
      <c r="EX2" s="11"/>
      <c r="EY2" s="11"/>
      <c r="EZ2" s="11"/>
      <c r="FA2" s="11"/>
      <c r="FB2" s="11"/>
      <c r="FC2" s="11"/>
      <c r="FD2" s="11"/>
      <c r="FE2" s="11"/>
      <c r="FF2" s="11"/>
      <c r="FG2" s="11"/>
      <c r="FH2" s="11"/>
      <c r="FI2" s="11"/>
      <c r="FJ2" s="11"/>
      <c r="FK2" s="11"/>
      <c r="FL2" s="11"/>
      <c r="FM2" s="11"/>
      <c r="FN2" s="11"/>
      <c r="FO2" s="11"/>
      <c r="FP2" s="11"/>
      <c r="FQ2" s="11"/>
      <c r="FR2" s="11"/>
      <c r="FS2" s="11"/>
      <c r="FT2" s="11"/>
      <c r="FU2" s="11"/>
      <c r="FV2" s="11"/>
      <c r="FW2" s="11"/>
      <c r="FX2" s="11"/>
      <c r="FY2" s="11"/>
      <c r="FZ2" s="11"/>
      <c r="GA2" s="11"/>
      <c r="GB2" s="11"/>
      <c r="GC2" s="11"/>
      <c r="GD2" s="11"/>
      <c r="GE2" s="11"/>
      <c r="GF2" s="11"/>
      <c r="GG2" s="11"/>
      <c r="GH2" s="11"/>
      <c r="GI2" s="11"/>
      <c r="GJ2" s="11"/>
      <c r="GK2" s="11"/>
      <c r="GL2" s="11"/>
      <c r="GM2" s="11"/>
      <c r="GN2" s="11"/>
      <c r="GO2" s="11"/>
      <c r="GP2" s="11"/>
      <c r="GQ2" s="11"/>
      <c r="GR2" s="11"/>
      <c r="GS2" s="11"/>
      <c r="GT2" s="11"/>
      <c r="GU2" s="11"/>
      <c r="GV2" s="11"/>
      <c r="GW2" s="11"/>
      <c r="GX2" s="11"/>
      <c r="GY2" s="11"/>
      <c r="GZ2" s="11"/>
      <c r="HA2" s="11"/>
      <c r="HB2" s="11"/>
      <c r="HC2" s="11"/>
      <c r="HD2" s="11"/>
      <c r="HE2" s="11"/>
      <c r="HF2" s="11"/>
      <c r="HG2" s="11"/>
      <c r="HH2" s="11"/>
      <c r="HI2" s="11"/>
      <c r="HJ2" s="11"/>
      <c r="HK2" s="11"/>
      <c r="HL2" s="11"/>
      <c r="HM2" s="11"/>
      <c r="HN2" s="11"/>
      <c r="HO2" s="11"/>
      <c r="HP2" s="11"/>
      <c r="HQ2" s="11"/>
      <c r="HR2" s="11"/>
      <c r="HS2" s="11"/>
      <c r="HT2" s="11"/>
      <c r="HU2" s="11"/>
      <c r="HV2" s="11"/>
      <c r="HW2" s="11"/>
      <c r="HX2" s="11"/>
      <c r="HY2" s="11"/>
      <c r="HZ2" s="11"/>
      <c r="IA2" s="11"/>
      <c r="IB2" s="11"/>
      <c r="IC2" s="11"/>
      <c r="ID2" s="11"/>
      <c r="IE2" s="11"/>
      <c r="IF2" s="11"/>
      <c r="IG2" s="11"/>
      <c r="IH2" s="11"/>
      <c r="II2" s="11"/>
      <c r="IJ2" s="11"/>
      <c r="IK2" s="11"/>
      <c r="IL2" s="11"/>
      <c r="IM2" s="11"/>
      <c r="IN2" s="11"/>
      <c r="IO2" s="11"/>
      <c r="IP2" s="11"/>
      <c r="IQ2" s="11"/>
      <c r="IR2" s="11"/>
      <c r="IS2" s="11"/>
      <c r="IT2" s="11"/>
      <c r="IU2" s="11"/>
      <c r="IV2" s="11"/>
      <c r="IW2" s="11"/>
    </row>
    <row r="3" spans="2:26">
      <c r="B3" s="13" t="s">
        <v>2438</v>
      </c>
      <c r="C3" s="14">
        <v>0</v>
      </c>
      <c r="D3" s="15">
        <f ca="1">INDIRECT("d"&amp;$J$1)</f>
        <v>3.85</v>
      </c>
      <c r="E3" s="16">
        <v>0.5</v>
      </c>
      <c r="F3" s="17">
        <f ca="1">INDIRECT("p"&amp;$L$1)</f>
        <v>1.3</v>
      </c>
      <c r="G3" s="3"/>
      <c r="H3" s="3"/>
      <c r="I3" s="3"/>
      <c r="J3" s="3"/>
      <c r="L3" s="3"/>
      <c r="M3" s="3"/>
      <c r="N3" s="3"/>
      <c r="O3" s="3"/>
      <c r="P3" s="3"/>
      <c r="Q3" s="3"/>
      <c r="R3" s="3"/>
      <c r="S3" s="3"/>
      <c r="T3" s="3"/>
      <c r="U3" s="3"/>
      <c r="V3" s="3"/>
      <c r="W3" s="3"/>
      <c r="X3" s="3"/>
      <c r="Y3" s="3"/>
      <c r="Z3" s="3"/>
    </row>
    <row r="4" spans="2:26">
      <c r="B4" s="18" t="s">
        <v>2439</v>
      </c>
      <c r="C4" s="19">
        <v>0.5</v>
      </c>
      <c r="D4" s="20">
        <f ca="1">INDIRECT("e"&amp;$J$1)</f>
        <v>3.85</v>
      </c>
      <c r="E4" s="21">
        <v>1</v>
      </c>
      <c r="F4" s="22">
        <f ca="1">INDIRECT("q"&amp;$L$1)</f>
        <v>1.5</v>
      </c>
      <c r="G4" s="3"/>
      <c r="H4" s="3"/>
      <c r="I4" s="3"/>
      <c r="J4" s="3"/>
      <c r="L4" s="3"/>
      <c r="M4" s="3"/>
      <c r="N4" s="3"/>
      <c r="O4" s="3"/>
      <c r="P4" s="3"/>
      <c r="Q4" s="3"/>
      <c r="R4" s="3"/>
      <c r="S4" s="3"/>
      <c r="T4" s="3"/>
      <c r="U4" s="3"/>
      <c r="V4" s="3"/>
      <c r="W4" s="3"/>
      <c r="X4" s="3"/>
      <c r="Y4" s="3"/>
      <c r="Z4" s="3"/>
    </row>
    <row r="5" spans="2:26">
      <c r="B5" s="18" t="s">
        <v>2440</v>
      </c>
      <c r="C5" s="19">
        <v>1</v>
      </c>
      <c r="D5" s="20">
        <f ca="1">INDIRECT("f"&amp;$J$1)</f>
        <v>3.85</v>
      </c>
      <c r="E5" s="21">
        <v>2</v>
      </c>
      <c r="F5" s="22">
        <f ca="1">INDIRECT("r"&amp;$L$1)</f>
        <v>2.1</v>
      </c>
      <c r="G5" s="3"/>
      <c r="H5" s="3"/>
      <c r="I5" s="3"/>
      <c r="J5" s="3"/>
      <c r="L5" s="3"/>
      <c r="M5" s="3"/>
      <c r="N5" s="3"/>
      <c r="O5" s="3"/>
      <c r="P5" s="3"/>
      <c r="Q5" s="3"/>
      <c r="R5" s="3"/>
      <c r="S5" s="3"/>
      <c r="T5" s="3"/>
      <c r="U5" s="3"/>
      <c r="V5" s="3"/>
      <c r="W5" s="3"/>
      <c r="X5" s="3"/>
      <c r="Y5" s="3"/>
      <c r="Z5" s="3"/>
    </row>
    <row r="6" spans="2:26">
      <c r="B6" s="18" t="s">
        <v>2441</v>
      </c>
      <c r="C6" s="19">
        <v>3</v>
      </c>
      <c r="D6" s="20">
        <f ca="1">INDIRECT("g"&amp;$J$1)</f>
        <v>3.85</v>
      </c>
      <c r="E6" s="21">
        <v>3</v>
      </c>
      <c r="F6" s="22">
        <f ca="1">INDIRECT("s"&amp;$L$1)</f>
        <v>2.75</v>
      </c>
      <c r="G6" s="3"/>
      <c r="H6" s="3"/>
      <c r="I6" s="3"/>
      <c r="J6" s="3"/>
      <c r="L6" s="3"/>
      <c r="M6" s="3"/>
      <c r="N6" s="3"/>
      <c r="O6" s="3"/>
      <c r="P6" s="3"/>
      <c r="Q6" s="3"/>
      <c r="R6" s="3"/>
      <c r="S6" s="3"/>
      <c r="T6" s="3"/>
      <c r="U6" s="3"/>
      <c r="V6" s="3"/>
      <c r="W6" s="3"/>
      <c r="X6" s="3"/>
      <c r="Y6" s="3"/>
      <c r="Z6" s="3"/>
    </row>
    <row r="7" ht="14.25" spans="2:26">
      <c r="B7" s="23" t="s">
        <v>2442</v>
      </c>
      <c r="C7" s="24">
        <v>5</v>
      </c>
      <c r="D7" s="25">
        <f ca="1">INDIRECT("h"&amp;$J$1)</f>
        <v>4.65</v>
      </c>
      <c r="E7" s="26">
        <v>5</v>
      </c>
      <c r="F7" s="27">
        <f ca="1">INDIRECT("t"&amp;$L$1)</f>
        <v>0</v>
      </c>
      <c r="G7" s="3"/>
      <c r="H7" s="3"/>
      <c r="I7" s="3"/>
      <c r="J7" s="3"/>
      <c r="L7" s="3"/>
      <c r="M7" s="3"/>
      <c r="N7" s="3"/>
      <c r="O7" s="3"/>
      <c r="P7" s="3"/>
      <c r="Q7" s="3"/>
      <c r="R7" s="3"/>
      <c r="S7" s="3"/>
      <c r="T7" s="3"/>
      <c r="U7" s="3"/>
      <c r="V7" s="3"/>
      <c r="W7" s="3"/>
      <c r="X7" s="3"/>
      <c r="Y7" s="3"/>
      <c r="Z7" s="3"/>
    </row>
    <row r="8" spans="1:26">
      <c r="A8" s="28"/>
      <c r="B8" s="29"/>
      <c r="C8" s="30"/>
      <c r="D8" s="3"/>
      <c r="E8" s="3"/>
      <c r="F8" s="3"/>
      <c r="G8" s="3"/>
      <c r="H8" s="3"/>
      <c r="I8" s="3"/>
      <c r="J8" s="3"/>
      <c r="L8" s="3"/>
      <c r="M8" s="3"/>
      <c r="N8" s="3"/>
      <c r="O8" s="3"/>
      <c r="P8" s="3"/>
      <c r="Q8" s="3"/>
      <c r="R8" s="3"/>
      <c r="S8" s="3"/>
      <c r="T8" s="3"/>
      <c r="U8" s="3"/>
      <c r="V8" s="3"/>
      <c r="W8" s="3"/>
      <c r="X8" s="3"/>
      <c r="Y8" s="3"/>
      <c r="Z8" s="3"/>
    </row>
    <row r="9" ht="20.25" spans="1:257">
      <c r="A9" s="31"/>
      <c r="B9" s="32" t="s">
        <v>2443</v>
      </c>
      <c r="C9" s="33"/>
      <c r="D9" s="34"/>
      <c r="E9" s="34"/>
      <c r="F9" s="34"/>
      <c r="G9" s="34"/>
      <c r="H9" s="34"/>
      <c r="I9" s="34"/>
      <c r="J9" s="34"/>
      <c r="K9" s="34"/>
      <c r="L9" s="34"/>
      <c r="M9" s="34"/>
      <c r="N9" s="34"/>
      <c r="O9" s="34"/>
      <c r="P9" s="34"/>
      <c r="Q9" s="34"/>
      <c r="R9" s="34"/>
      <c r="S9" s="34"/>
      <c r="T9" s="34"/>
      <c r="U9" s="34"/>
      <c r="V9" s="34"/>
      <c r="W9" s="34"/>
      <c r="X9" s="34"/>
      <c r="Y9" s="34"/>
      <c r="Z9" s="34"/>
      <c r="AA9" s="63"/>
      <c r="AB9" s="63"/>
      <c r="AC9" s="63"/>
      <c r="AD9" s="63"/>
      <c r="AE9" s="63"/>
      <c r="AF9" s="63"/>
      <c r="AG9" s="63"/>
      <c r="AH9" s="63"/>
      <c r="AI9" s="63"/>
      <c r="AJ9" s="63"/>
      <c r="AK9" s="63"/>
      <c r="AL9" s="63"/>
      <c r="AM9" s="63"/>
      <c r="AN9" s="63"/>
      <c r="AO9" s="63"/>
      <c r="AP9" s="63"/>
      <c r="AQ9" s="63"/>
      <c r="AR9" s="63"/>
      <c r="AS9" s="63"/>
      <c r="AT9" s="63"/>
      <c r="AU9" s="63"/>
      <c r="AV9" s="63"/>
      <c r="AW9" s="63"/>
      <c r="AX9" s="63"/>
      <c r="AY9" s="63"/>
      <c r="AZ9" s="63"/>
      <c r="BA9" s="63"/>
      <c r="BB9" s="63"/>
      <c r="BC9" s="63"/>
      <c r="BD9" s="63"/>
      <c r="BE9" s="63"/>
      <c r="BF9" s="63"/>
      <c r="BG9" s="63"/>
      <c r="BH9" s="63"/>
      <c r="BI9" s="63"/>
      <c r="BJ9" s="63"/>
      <c r="BK9" s="63"/>
      <c r="BL9" s="63"/>
      <c r="BM9" s="63"/>
      <c r="BN9" s="63"/>
      <c r="BO9" s="63"/>
      <c r="BP9" s="63"/>
      <c r="BQ9" s="63"/>
      <c r="BR9" s="63"/>
      <c r="BS9" s="63"/>
      <c r="BT9" s="63"/>
      <c r="BU9" s="63"/>
      <c r="BV9" s="63"/>
      <c r="BW9" s="63"/>
      <c r="BX9" s="63"/>
      <c r="BY9" s="63"/>
      <c r="BZ9" s="63"/>
      <c r="CA9" s="63"/>
      <c r="CB9" s="63"/>
      <c r="CC9" s="63"/>
      <c r="CD9" s="63"/>
      <c r="CE9" s="63"/>
      <c r="CF9" s="63"/>
      <c r="CG9" s="63"/>
      <c r="CH9" s="63"/>
      <c r="CI9" s="63"/>
      <c r="CJ9" s="63"/>
      <c r="CK9" s="63"/>
      <c r="CL9" s="63"/>
      <c r="CM9" s="63"/>
      <c r="CN9" s="63"/>
      <c r="CO9" s="63"/>
      <c r="CP9" s="63"/>
      <c r="CQ9" s="63"/>
      <c r="CR9" s="63"/>
      <c r="CS9" s="63"/>
      <c r="CT9" s="63"/>
      <c r="CU9" s="63"/>
      <c r="CV9" s="63"/>
      <c r="CW9" s="63"/>
      <c r="CX9" s="63"/>
      <c r="CY9" s="63"/>
      <c r="CZ9" s="63"/>
      <c r="DA9" s="63"/>
      <c r="DB9" s="63"/>
      <c r="DC9" s="63"/>
      <c r="DD9" s="63"/>
      <c r="DE9" s="63"/>
      <c r="DF9" s="63"/>
      <c r="DG9" s="63"/>
      <c r="DH9" s="63"/>
      <c r="DI9" s="63"/>
      <c r="DJ9" s="63"/>
      <c r="DK9" s="63"/>
      <c r="DL9" s="63"/>
      <c r="DM9" s="63"/>
      <c r="DN9" s="63"/>
      <c r="DO9" s="63"/>
      <c r="DP9" s="63"/>
      <c r="DQ9" s="63"/>
      <c r="DR9" s="63"/>
      <c r="DS9" s="63"/>
      <c r="DT9" s="63"/>
      <c r="DU9" s="63"/>
      <c r="DV9" s="63"/>
      <c r="DW9" s="63"/>
      <c r="DX9" s="63"/>
      <c r="DY9" s="63"/>
      <c r="DZ9" s="63"/>
      <c r="EA9" s="63"/>
      <c r="EB9" s="63"/>
      <c r="EC9" s="63"/>
      <c r="ED9" s="63"/>
      <c r="EE9" s="63"/>
      <c r="EF9" s="63"/>
      <c r="EG9" s="63"/>
      <c r="EH9" s="63"/>
      <c r="EI9" s="63"/>
      <c r="EJ9" s="63"/>
      <c r="EK9" s="63"/>
      <c r="EL9" s="63"/>
      <c r="EM9" s="63"/>
      <c r="EN9" s="63"/>
      <c r="EO9" s="63"/>
      <c r="EP9" s="63"/>
      <c r="EQ9" s="63"/>
      <c r="ER9" s="63"/>
      <c r="ES9" s="63"/>
      <c r="ET9" s="63"/>
      <c r="EU9" s="63"/>
      <c r="EV9" s="63"/>
      <c r="EW9" s="63"/>
      <c r="EX9" s="63"/>
      <c r="EY9" s="63"/>
      <c r="EZ9" s="63"/>
      <c r="FA9" s="63"/>
      <c r="FB9" s="63"/>
      <c r="FC9" s="63"/>
      <c r="FD9" s="63"/>
      <c r="FE9" s="63"/>
      <c r="FF9" s="63"/>
      <c r="FG9" s="63"/>
      <c r="FH9" s="63"/>
      <c r="FI9" s="63"/>
      <c r="FJ9" s="63"/>
      <c r="FK9" s="63"/>
      <c r="FL9" s="63"/>
      <c r="FM9" s="63"/>
      <c r="FN9" s="63"/>
      <c r="FO9" s="63"/>
      <c r="FP9" s="63"/>
      <c r="FQ9" s="63"/>
      <c r="FR9" s="63"/>
      <c r="FS9" s="63"/>
      <c r="FT9" s="63"/>
      <c r="FU9" s="63"/>
      <c r="FV9" s="63"/>
      <c r="FW9" s="63"/>
      <c r="FX9" s="63"/>
      <c r="FY9" s="63"/>
      <c r="FZ9" s="63"/>
      <c r="GA9" s="63"/>
      <c r="GB9" s="63"/>
      <c r="GC9" s="63"/>
      <c r="GD9" s="63"/>
      <c r="GE9" s="63"/>
      <c r="GF9" s="63"/>
      <c r="GG9" s="63"/>
      <c r="GH9" s="63"/>
      <c r="GI9" s="63"/>
      <c r="GJ9" s="63"/>
      <c r="GK9" s="63"/>
      <c r="GL9" s="63"/>
      <c r="GM9" s="63"/>
      <c r="GN9" s="63"/>
      <c r="GO9" s="63"/>
      <c r="GP9" s="63"/>
      <c r="GQ9" s="63"/>
      <c r="GR9" s="63"/>
      <c r="GS9" s="63"/>
      <c r="GT9" s="63"/>
      <c r="GU9" s="63"/>
      <c r="GV9" s="63"/>
      <c r="GW9" s="63"/>
      <c r="GX9" s="63"/>
      <c r="GY9" s="63"/>
      <c r="GZ9" s="63"/>
      <c r="HA9" s="63"/>
      <c r="HB9" s="63"/>
      <c r="HC9" s="63"/>
      <c r="HD9" s="63"/>
      <c r="HE9" s="63"/>
      <c r="HF9" s="63"/>
      <c r="HG9" s="63"/>
      <c r="HH9" s="63"/>
      <c r="HI9" s="63"/>
      <c r="HJ9" s="63"/>
      <c r="HK9" s="63"/>
      <c r="HL9" s="63"/>
      <c r="HM9" s="63"/>
      <c r="HN9" s="63"/>
      <c r="HO9" s="63"/>
      <c r="HP9" s="63"/>
      <c r="HQ9" s="63"/>
      <c r="HR9" s="63"/>
      <c r="HS9" s="63"/>
      <c r="HT9" s="63"/>
      <c r="HU9" s="63"/>
      <c r="HV9" s="63"/>
      <c r="HW9" s="63"/>
      <c r="HX9" s="63"/>
      <c r="HY9" s="63"/>
      <c r="HZ9" s="63"/>
      <c r="IA9" s="63"/>
      <c r="IB9" s="63"/>
      <c r="IC9" s="63"/>
      <c r="ID9" s="63"/>
      <c r="IE9" s="63"/>
      <c r="IF9" s="63"/>
      <c r="IG9" s="63"/>
      <c r="IH9" s="63"/>
      <c r="II9" s="63"/>
      <c r="IJ9" s="63"/>
      <c r="IK9" s="63"/>
      <c r="IL9" s="63"/>
      <c r="IM9" s="63"/>
      <c r="IN9" s="63"/>
      <c r="IO9" s="63"/>
      <c r="IP9" s="63"/>
      <c r="IQ9" s="63"/>
      <c r="IR9" s="63"/>
      <c r="IS9" s="63"/>
      <c r="IT9" s="63"/>
      <c r="IU9" s="63"/>
      <c r="IV9" s="63"/>
      <c r="IW9" s="70"/>
    </row>
    <row r="10" ht="22.5" spans="1:256">
      <c r="A10" s="35"/>
      <c r="B10" s="36" t="s">
        <v>2444</v>
      </c>
      <c r="C10" s="35"/>
      <c r="D10" s="35"/>
      <c r="E10" s="35"/>
      <c r="F10" s="35"/>
      <c r="G10" s="35"/>
      <c r="H10" s="35"/>
      <c r="I10" s="3"/>
      <c r="J10" s="3"/>
      <c r="K10" s="35"/>
      <c r="L10" s="36" t="s">
        <v>2445</v>
      </c>
      <c r="M10" s="35"/>
      <c r="N10" s="35"/>
      <c r="O10" s="35"/>
      <c r="P10" s="35"/>
      <c r="Q10" s="35"/>
      <c r="R10" s="35"/>
      <c r="S10" s="35"/>
      <c r="T10" s="35"/>
      <c r="U10" s="35"/>
      <c r="V10" s="35"/>
      <c r="W10" s="35"/>
      <c r="X10" s="35"/>
      <c r="Y10" s="35"/>
      <c r="Z10" s="35"/>
      <c r="AA10" s="64"/>
      <c r="AB10" s="64"/>
      <c r="AC10" s="64"/>
      <c r="AD10" s="64"/>
      <c r="AE10" s="64"/>
      <c r="AF10" s="64"/>
      <c r="AG10" s="64"/>
      <c r="AH10" s="64"/>
      <c r="AI10" s="64"/>
      <c r="AJ10" s="64"/>
      <c r="AK10" s="64"/>
      <c r="AL10" s="64"/>
      <c r="AM10" s="64"/>
      <c r="AN10" s="64"/>
      <c r="AO10" s="64"/>
      <c r="AP10" s="64"/>
      <c r="AQ10" s="64"/>
      <c r="AR10" s="64"/>
      <c r="AS10" s="64"/>
      <c r="AT10" s="64"/>
      <c r="AU10" s="64"/>
      <c r="AV10" s="64"/>
      <c r="AW10" s="64"/>
      <c r="AX10" s="64"/>
      <c r="AY10" s="64"/>
      <c r="AZ10" s="64"/>
      <c r="BA10" s="64"/>
      <c r="BB10" s="64"/>
      <c r="BC10" s="64"/>
      <c r="BD10" s="64"/>
      <c r="BE10" s="64"/>
      <c r="BF10" s="64"/>
      <c r="BG10" s="64"/>
      <c r="BH10" s="64"/>
      <c r="BI10" s="64"/>
      <c r="BJ10" s="64"/>
      <c r="BK10" s="64"/>
      <c r="BL10" s="64"/>
      <c r="BM10" s="64"/>
      <c r="BN10" s="64"/>
      <c r="BO10" s="64"/>
      <c r="BP10" s="64"/>
      <c r="BQ10" s="64"/>
      <c r="BR10" s="64"/>
      <c r="BS10" s="64"/>
      <c r="BT10" s="64"/>
      <c r="BU10" s="64"/>
      <c r="BV10" s="64"/>
      <c r="BW10" s="64"/>
      <c r="BX10" s="64"/>
      <c r="BY10" s="64"/>
      <c r="BZ10" s="64"/>
      <c r="CA10" s="64"/>
      <c r="CB10" s="64"/>
      <c r="CC10" s="64"/>
      <c r="CD10" s="64"/>
      <c r="CE10" s="64"/>
      <c r="CF10" s="64"/>
      <c r="CG10" s="64"/>
      <c r="CH10" s="64"/>
      <c r="CI10" s="64"/>
      <c r="CJ10" s="64"/>
      <c r="CK10" s="64"/>
      <c r="CL10" s="64"/>
      <c r="CM10" s="64"/>
      <c r="CN10" s="64"/>
      <c r="CO10" s="64"/>
      <c r="CP10" s="64"/>
      <c r="CQ10" s="64"/>
      <c r="CR10" s="64"/>
      <c r="CS10" s="64"/>
      <c r="CT10" s="64"/>
      <c r="CU10" s="64"/>
      <c r="CV10" s="64"/>
      <c r="CW10" s="64"/>
      <c r="CX10" s="64"/>
      <c r="CY10" s="64"/>
      <c r="CZ10" s="64"/>
      <c r="DA10" s="64"/>
      <c r="DB10" s="64"/>
      <c r="DC10" s="64"/>
      <c r="DD10" s="64"/>
      <c r="DE10" s="64"/>
      <c r="DF10" s="64"/>
      <c r="DG10" s="64"/>
      <c r="DH10" s="64"/>
      <c r="DI10" s="64"/>
      <c r="DJ10" s="64"/>
      <c r="DK10" s="64"/>
      <c r="DL10" s="64"/>
      <c r="DM10" s="64"/>
      <c r="DN10" s="64"/>
      <c r="DO10" s="64"/>
      <c r="DP10" s="64"/>
      <c r="DQ10" s="64"/>
      <c r="DR10" s="64"/>
      <c r="DS10" s="64"/>
      <c r="DT10" s="64"/>
      <c r="DU10" s="64"/>
      <c r="DV10" s="64"/>
      <c r="DW10" s="64"/>
      <c r="DX10" s="64"/>
      <c r="DY10" s="64"/>
      <c r="DZ10" s="64"/>
      <c r="EA10" s="64"/>
      <c r="EB10" s="64"/>
      <c r="EC10" s="64"/>
      <c r="ED10" s="64"/>
      <c r="EE10" s="64"/>
      <c r="EF10" s="64"/>
      <c r="EG10" s="64"/>
      <c r="EH10" s="64"/>
      <c r="EI10" s="64"/>
      <c r="EJ10" s="64"/>
      <c r="EK10" s="64"/>
      <c r="EL10" s="64"/>
      <c r="EM10" s="64"/>
      <c r="EN10" s="64"/>
      <c r="EO10" s="64"/>
      <c r="EP10" s="64"/>
      <c r="EQ10" s="64"/>
      <c r="ER10" s="64"/>
      <c r="ES10" s="64"/>
      <c r="ET10" s="64"/>
      <c r="EU10" s="64"/>
      <c r="EV10" s="64"/>
      <c r="EW10" s="64"/>
      <c r="EX10" s="64"/>
      <c r="EY10" s="64"/>
      <c r="EZ10" s="64"/>
      <c r="FA10" s="64"/>
      <c r="FB10" s="64"/>
      <c r="FC10" s="64"/>
      <c r="FD10" s="64"/>
      <c r="FE10" s="64"/>
      <c r="FF10" s="64"/>
      <c r="FG10" s="64"/>
      <c r="FH10" s="64"/>
      <c r="FI10" s="64"/>
      <c r="FJ10" s="64"/>
      <c r="FK10" s="64"/>
      <c r="FL10" s="64"/>
      <c r="FM10" s="64"/>
      <c r="FN10" s="64"/>
      <c r="FO10" s="64"/>
      <c r="FP10" s="64"/>
      <c r="FQ10" s="64"/>
      <c r="FR10" s="64"/>
      <c r="FS10" s="64"/>
      <c r="FT10" s="64"/>
      <c r="FU10" s="64"/>
      <c r="FV10" s="64"/>
      <c r="FW10" s="64"/>
      <c r="FX10" s="64"/>
      <c r="FY10" s="64"/>
      <c r="FZ10" s="64"/>
      <c r="GA10" s="64"/>
      <c r="GB10" s="64"/>
      <c r="GC10" s="64"/>
      <c r="GD10" s="64"/>
      <c r="GE10" s="64"/>
      <c r="GF10" s="64"/>
      <c r="GG10" s="64"/>
      <c r="GH10" s="64"/>
      <c r="GI10" s="64"/>
      <c r="GJ10" s="64"/>
      <c r="GK10" s="64"/>
      <c r="GL10" s="64"/>
      <c r="GM10" s="64"/>
      <c r="GN10" s="64"/>
      <c r="GO10" s="64"/>
      <c r="GP10" s="64"/>
      <c r="GQ10" s="64"/>
      <c r="GR10" s="64"/>
      <c r="GS10" s="64"/>
      <c r="GT10" s="64"/>
      <c r="GU10" s="64"/>
      <c r="GV10" s="64"/>
      <c r="GW10" s="64"/>
      <c r="GX10" s="64"/>
      <c r="GY10" s="64"/>
      <c r="GZ10" s="64"/>
      <c r="HA10" s="64"/>
      <c r="HB10" s="64"/>
      <c r="HC10" s="64"/>
      <c r="HD10" s="64"/>
      <c r="HE10" s="64"/>
      <c r="HF10" s="64"/>
      <c r="HG10" s="64"/>
      <c r="HH10" s="64"/>
      <c r="HI10" s="64"/>
      <c r="HJ10" s="64"/>
      <c r="HK10" s="64"/>
      <c r="HL10" s="64"/>
      <c r="HM10" s="64"/>
      <c r="HN10" s="64"/>
      <c r="HO10" s="64"/>
      <c r="HP10" s="64"/>
      <c r="HQ10" s="64"/>
      <c r="HR10" s="64"/>
      <c r="HS10" s="64"/>
      <c r="HT10" s="64"/>
      <c r="HU10" s="64"/>
      <c r="HV10" s="64"/>
      <c r="HW10" s="64"/>
      <c r="HX10" s="64"/>
      <c r="HY10" s="64"/>
      <c r="HZ10" s="64"/>
      <c r="IA10" s="64"/>
      <c r="IB10" s="64"/>
      <c r="IC10" s="64"/>
      <c r="ID10" s="64"/>
      <c r="IE10" s="64"/>
      <c r="IF10" s="64"/>
      <c r="IG10" s="64"/>
      <c r="IH10" s="64"/>
      <c r="II10" s="64"/>
      <c r="IJ10" s="64"/>
      <c r="IK10" s="64"/>
      <c r="IL10" s="64"/>
      <c r="IM10" s="64"/>
      <c r="IN10" s="64"/>
      <c r="IO10" s="64"/>
      <c r="IP10" s="64"/>
      <c r="IQ10" s="64"/>
      <c r="IR10" s="64"/>
      <c r="IS10" s="64"/>
      <c r="IT10" s="64"/>
      <c r="IU10" s="64"/>
      <c r="IV10" s="64"/>
    </row>
    <row r="11" spans="1:256">
      <c r="A11" s="37"/>
      <c r="B11" s="38" t="s">
        <v>2446</v>
      </c>
      <c r="C11" s="39" t="s">
        <v>2447</v>
      </c>
      <c r="D11" s="40" t="s">
        <v>2448</v>
      </c>
      <c r="E11" s="41"/>
      <c r="F11" s="40" t="s">
        <v>2449</v>
      </c>
      <c r="G11" s="42"/>
      <c r="H11" s="41"/>
      <c r="I11" s="40" t="s">
        <v>2450</v>
      </c>
      <c r="J11" s="41"/>
      <c r="K11" s="37"/>
      <c r="L11" s="38" t="s">
        <v>2446</v>
      </c>
      <c r="M11" s="39" t="s">
        <v>2447</v>
      </c>
      <c r="N11" s="38" t="s">
        <v>2451</v>
      </c>
      <c r="O11" s="40" t="s">
        <v>2452</v>
      </c>
      <c r="P11" s="42"/>
      <c r="Q11" s="42"/>
      <c r="R11" s="42"/>
      <c r="S11" s="42"/>
      <c r="T11" s="41"/>
      <c r="U11" s="40" t="s">
        <v>2453</v>
      </c>
      <c r="V11" s="42"/>
      <c r="W11" s="41"/>
      <c r="X11" s="38" t="s">
        <v>2454</v>
      </c>
      <c r="Y11" s="38" t="s">
        <v>2455</v>
      </c>
      <c r="Z11" s="38" t="s">
        <v>2456</v>
      </c>
      <c r="AA11" s="65"/>
      <c r="AB11" s="65"/>
      <c r="AC11" s="65"/>
      <c r="AD11" s="65"/>
      <c r="AE11" s="65"/>
      <c r="AF11" s="65"/>
      <c r="AG11" s="65"/>
      <c r="AH11" s="65"/>
      <c r="AI11" s="65"/>
      <c r="AJ11" s="65"/>
      <c r="AK11" s="65"/>
      <c r="AL11" s="65"/>
      <c r="AM11" s="65"/>
      <c r="AN11" s="65"/>
      <c r="AO11" s="65"/>
      <c r="AP11" s="65"/>
      <c r="AQ11" s="65"/>
      <c r="AR11" s="65"/>
      <c r="AS11" s="65"/>
      <c r="AT11" s="65"/>
      <c r="AU11" s="65"/>
      <c r="AV11" s="65"/>
      <c r="AW11" s="65"/>
      <c r="AX11" s="65"/>
      <c r="AY11" s="65"/>
      <c r="AZ11" s="65"/>
      <c r="BA11" s="65"/>
      <c r="BB11" s="65"/>
      <c r="BC11" s="65"/>
      <c r="BD11" s="65"/>
      <c r="BE11" s="65"/>
      <c r="BF11" s="65"/>
      <c r="BG11" s="65"/>
      <c r="BH11" s="65"/>
      <c r="BI11" s="65"/>
      <c r="BJ11" s="65"/>
      <c r="BK11" s="65"/>
      <c r="BL11" s="65"/>
      <c r="BM11" s="65"/>
      <c r="BN11" s="65"/>
      <c r="BO11" s="65"/>
      <c r="BP11" s="65"/>
      <c r="BQ11" s="65"/>
      <c r="BR11" s="65"/>
      <c r="BS11" s="65"/>
      <c r="BT11" s="65"/>
      <c r="BU11" s="65"/>
      <c r="BV11" s="65"/>
      <c r="BW11" s="65"/>
      <c r="BX11" s="65"/>
      <c r="BY11" s="65"/>
      <c r="BZ11" s="65"/>
      <c r="CA11" s="65"/>
      <c r="CB11" s="65"/>
      <c r="CC11" s="65"/>
      <c r="CD11" s="65"/>
      <c r="CE11" s="65"/>
      <c r="CF11" s="65"/>
      <c r="CG11" s="65"/>
      <c r="CH11" s="65"/>
      <c r="CI11" s="65"/>
      <c r="CJ11" s="65"/>
      <c r="CK11" s="65"/>
      <c r="CL11" s="65"/>
      <c r="CM11" s="65"/>
      <c r="CN11" s="65"/>
      <c r="CO11" s="65"/>
      <c r="CP11" s="65"/>
      <c r="CQ11" s="65"/>
      <c r="CR11" s="65"/>
      <c r="CS11" s="65"/>
      <c r="CT11" s="65"/>
      <c r="CU11" s="65"/>
      <c r="CV11" s="65"/>
      <c r="CW11" s="65"/>
      <c r="CX11" s="65"/>
      <c r="CY11" s="65"/>
      <c r="CZ11" s="65"/>
      <c r="DA11" s="65"/>
      <c r="DB11" s="65"/>
      <c r="DC11" s="65"/>
      <c r="DD11" s="65"/>
      <c r="DE11" s="65"/>
      <c r="DF11" s="65"/>
      <c r="DG11" s="65"/>
      <c r="DH11" s="65"/>
      <c r="DI11" s="65"/>
      <c r="DJ11" s="65"/>
      <c r="DK11" s="65"/>
      <c r="DL11" s="65"/>
      <c r="DM11" s="65"/>
      <c r="DN11" s="65"/>
      <c r="DO11" s="65"/>
      <c r="DP11" s="65"/>
      <c r="DQ11" s="65"/>
      <c r="DR11" s="65"/>
      <c r="DS11" s="65"/>
      <c r="DT11" s="65"/>
      <c r="DU11" s="65"/>
      <c r="DV11" s="65"/>
      <c r="DW11" s="65"/>
      <c r="DX11" s="65"/>
      <c r="DY11" s="65"/>
      <c r="DZ11" s="65"/>
      <c r="EA11" s="65"/>
      <c r="EB11" s="65"/>
      <c r="EC11" s="65"/>
      <c r="ED11" s="65"/>
      <c r="EE11" s="65"/>
      <c r="EF11" s="65"/>
      <c r="EG11" s="65"/>
      <c r="EH11" s="65"/>
      <c r="EI11" s="65"/>
      <c r="EJ11" s="65"/>
      <c r="EK11" s="65"/>
      <c r="EL11" s="65"/>
      <c r="EM11" s="65"/>
      <c r="EN11" s="65"/>
      <c r="EO11" s="65"/>
      <c r="EP11" s="65"/>
      <c r="EQ11" s="65"/>
      <c r="ER11" s="65"/>
      <c r="ES11" s="65"/>
      <c r="ET11" s="65"/>
      <c r="EU11" s="65"/>
      <c r="EV11" s="65"/>
      <c r="EW11" s="65"/>
      <c r="EX11" s="65"/>
      <c r="EY11" s="65"/>
      <c r="EZ11" s="65"/>
      <c r="FA11" s="65"/>
      <c r="FB11" s="65"/>
      <c r="FC11" s="65"/>
      <c r="FD11" s="65"/>
      <c r="FE11" s="65"/>
      <c r="FF11" s="65"/>
      <c r="FG11" s="65"/>
      <c r="FH11" s="65"/>
      <c r="FI11" s="65"/>
      <c r="FJ11" s="65"/>
      <c r="FK11" s="65"/>
      <c r="FL11" s="65"/>
      <c r="FM11" s="65"/>
      <c r="FN11" s="65"/>
      <c r="FO11" s="65"/>
      <c r="FP11" s="65"/>
      <c r="FQ11" s="65"/>
      <c r="FR11" s="65"/>
      <c r="FS11" s="65"/>
      <c r="FT11" s="65"/>
      <c r="FU11" s="65"/>
      <c r="FV11" s="65"/>
      <c r="FW11" s="65"/>
      <c r="FX11" s="65"/>
      <c r="FY11" s="65"/>
      <c r="FZ11" s="65"/>
      <c r="GA11" s="65"/>
      <c r="GB11" s="65"/>
      <c r="GC11" s="65"/>
      <c r="GD11" s="65"/>
      <c r="GE11" s="65"/>
      <c r="GF11" s="65"/>
      <c r="GG11" s="65"/>
      <c r="GH11" s="65"/>
      <c r="GI11" s="65"/>
      <c r="GJ11" s="65"/>
      <c r="GK11" s="65"/>
      <c r="GL11" s="65"/>
      <c r="GM11" s="65"/>
      <c r="GN11" s="65"/>
      <c r="GO11" s="65"/>
      <c r="GP11" s="65"/>
      <c r="GQ11" s="65"/>
      <c r="GR11" s="65"/>
      <c r="GS11" s="65"/>
      <c r="GT11" s="65"/>
      <c r="GU11" s="65"/>
      <c r="GV11" s="65"/>
      <c r="GW11" s="65"/>
      <c r="GX11" s="65"/>
      <c r="GY11" s="65"/>
      <c r="GZ11" s="65"/>
      <c r="HA11" s="65"/>
      <c r="HB11" s="65"/>
      <c r="HC11" s="65"/>
      <c r="HD11" s="65"/>
      <c r="HE11" s="65"/>
      <c r="HF11" s="65"/>
      <c r="HG11" s="65"/>
      <c r="HH11" s="65"/>
      <c r="HI11" s="65"/>
      <c r="HJ11" s="65"/>
      <c r="HK11" s="65"/>
      <c r="HL11" s="65"/>
      <c r="HM11" s="65"/>
      <c r="HN11" s="65"/>
      <c r="HO11" s="65"/>
      <c r="HP11" s="65"/>
      <c r="HQ11" s="65"/>
      <c r="HR11" s="65"/>
      <c r="HS11" s="65"/>
      <c r="HT11" s="65"/>
      <c r="HU11" s="65"/>
      <c r="HV11" s="65"/>
      <c r="HW11" s="65"/>
      <c r="HX11" s="65"/>
      <c r="HY11" s="65"/>
      <c r="HZ11" s="65"/>
      <c r="IA11" s="65"/>
      <c r="IB11" s="65"/>
      <c r="IC11" s="65"/>
      <c r="ID11" s="65"/>
      <c r="IE11" s="65"/>
      <c r="IF11" s="65"/>
      <c r="IG11" s="65"/>
      <c r="IH11" s="65"/>
      <c r="II11" s="65"/>
      <c r="IJ11" s="65"/>
      <c r="IK11" s="65"/>
      <c r="IL11" s="65"/>
      <c r="IM11" s="65"/>
      <c r="IN11" s="65"/>
      <c r="IO11" s="65"/>
      <c r="IP11" s="65"/>
      <c r="IQ11" s="65"/>
      <c r="IR11" s="65"/>
      <c r="IS11" s="65"/>
      <c r="IT11" s="65"/>
      <c r="IU11" s="65"/>
      <c r="IV11" s="65"/>
    </row>
    <row r="12" spans="1:256">
      <c r="A12" s="43"/>
      <c r="B12" s="44"/>
      <c r="C12" s="45"/>
      <c r="D12" s="46" t="s">
        <v>2457</v>
      </c>
      <c r="E12" s="46" t="s">
        <v>2439</v>
      </c>
      <c r="F12" s="46" t="s">
        <v>2440</v>
      </c>
      <c r="G12" s="46" t="s">
        <v>2441</v>
      </c>
      <c r="H12" s="46" t="s">
        <v>2442</v>
      </c>
      <c r="I12" s="59" t="s">
        <v>2458</v>
      </c>
      <c r="J12" s="59" t="s">
        <v>2458</v>
      </c>
      <c r="K12" s="43"/>
      <c r="L12" s="44"/>
      <c r="M12" s="45"/>
      <c r="N12" s="44"/>
      <c r="O12" s="59" t="s">
        <v>2459</v>
      </c>
      <c r="P12" s="59">
        <v>0.5</v>
      </c>
      <c r="Q12" s="59">
        <v>1</v>
      </c>
      <c r="R12" s="59">
        <v>2</v>
      </c>
      <c r="S12" s="59">
        <v>3</v>
      </c>
      <c r="T12" s="59">
        <v>5</v>
      </c>
      <c r="U12" s="59">
        <v>1</v>
      </c>
      <c r="V12" s="59">
        <v>3</v>
      </c>
      <c r="W12" s="59">
        <v>5</v>
      </c>
      <c r="X12" s="44"/>
      <c r="Y12" s="44"/>
      <c r="Z12" s="44"/>
      <c r="AA12" s="66"/>
      <c r="AB12" s="66"/>
      <c r="AC12" s="66"/>
      <c r="AD12" s="66"/>
      <c r="AE12" s="66"/>
      <c r="AF12" s="66"/>
      <c r="AG12" s="66"/>
      <c r="AH12" s="66"/>
      <c r="AI12" s="66"/>
      <c r="AJ12" s="66"/>
      <c r="AK12" s="66"/>
      <c r="AL12" s="66"/>
      <c r="AM12" s="66"/>
      <c r="AN12" s="66"/>
      <c r="AO12" s="66"/>
      <c r="AP12" s="66"/>
      <c r="AQ12" s="66"/>
      <c r="AR12" s="66"/>
      <c r="AS12" s="66"/>
      <c r="AT12" s="66"/>
      <c r="AU12" s="66"/>
      <c r="AV12" s="66"/>
      <c r="AW12" s="66"/>
      <c r="AX12" s="66"/>
      <c r="AY12" s="66"/>
      <c r="AZ12" s="66"/>
      <c r="BA12" s="66"/>
      <c r="BB12" s="66"/>
      <c r="BC12" s="66"/>
      <c r="BD12" s="66"/>
      <c r="BE12" s="66"/>
      <c r="BF12" s="66"/>
      <c r="BG12" s="66"/>
      <c r="BH12" s="66"/>
      <c r="BI12" s="66"/>
      <c r="BJ12" s="66"/>
      <c r="BK12" s="66"/>
      <c r="BL12" s="66"/>
      <c r="BM12" s="66"/>
      <c r="BN12" s="66"/>
      <c r="BO12" s="66"/>
      <c r="BP12" s="66"/>
      <c r="BQ12" s="66"/>
      <c r="BR12" s="66"/>
      <c r="BS12" s="66"/>
      <c r="BT12" s="66"/>
      <c r="BU12" s="66"/>
      <c r="BV12" s="66"/>
      <c r="BW12" s="66"/>
      <c r="BX12" s="66"/>
      <c r="BY12" s="66"/>
      <c r="BZ12" s="66"/>
      <c r="CA12" s="66"/>
      <c r="CB12" s="66"/>
      <c r="CC12" s="66"/>
      <c r="CD12" s="66"/>
      <c r="CE12" s="66"/>
      <c r="CF12" s="66"/>
      <c r="CG12" s="66"/>
      <c r="CH12" s="66"/>
      <c r="CI12" s="66"/>
      <c r="CJ12" s="66"/>
      <c r="CK12" s="66"/>
      <c r="CL12" s="66"/>
      <c r="CM12" s="66"/>
      <c r="CN12" s="66"/>
      <c r="CO12" s="66"/>
      <c r="CP12" s="66"/>
      <c r="CQ12" s="66"/>
      <c r="CR12" s="66"/>
      <c r="CS12" s="66"/>
      <c r="CT12" s="66"/>
      <c r="CU12" s="66"/>
      <c r="CV12" s="66"/>
      <c r="CW12" s="66"/>
      <c r="CX12" s="66"/>
      <c r="CY12" s="66"/>
      <c r="CZ12" s="66"/>
      <c r="DA12" s="66"/>
      <c r="DB12" s="66"/>
      <c r="DC12" s="66"/>
      <c r="DD12" s="66"/>
      <c r="DE12" s="66"/>
      <c r="DF12" s="66"/>
      <c r="DG12" s="66"/>
      <c r="DH12" s="66"/>
      <c r="DI12" s="66"/>
      <c r="DJ12" s="66"/>
      <c r="DK12" s="66"/>
      <c r="DL12" s="66"/>
      <c r="DM12" s="66"/>
      <c r="DN12" s="66"/>
      <c r="DO12" s="66"/>
      <c r="DP12" s="66"/>
      <c r="DQ12" s="66"/>
      <c r="DR12" s="66"/>
      <c r="DS12" s="66"/>
      <c r="DT12" s="66"/>
      <c r="DU12" s="66"/>
      <c r="DV12" s="66"/>
      <c r="DW12" s="66"/>
      <c r="DX12" s="66"/>
      <c r="DY12" s="66"/>
      <c r="DZ12" s="66"/>
      <c r="EA12" s="66"/>
      <c r="EB12" s="66"/>
      <c r="EC12" s="66"/>
      <c r="ED12" s="66"/>
      <c r="EE12" s="66"/>
      <c r="EF12" s="66"/>
      <c r="EG12" s="66"/>
      <c r="EH12" s="66"/>
      <c r="EI12" s="66"/>
      <c r="EJ12" s="66"/>
      <c r="EK12" s="66"/>
      <c r="EL12" s="66"/>
      <c r="EM12" s="66"/>
      <c r="EN12" s="66"/>
      <c r="EO12" s="66"/>
      <c r="EP12" s="66"/>
      <c r="EQ12" s="66"/>
      <c r="ER12" s="66"/>
      <c r="ES12" s="66"/>
      <c r="ET12" s="66"/>
      <c r="EU12" s="66"/>
      <c r="EV12" s="66"/>
      <c r="EW12" s="66"/>
      <c r="EX12" s="66"/>
      <c r="EY12" s="66"/>
      <c r="EZ12" s="66"/>
      <c r="FA12" s="66"/>
      <c r="FB12" s="66"/>
      <c r="FC12" s="66"/>
      <c r="FD12" s="66"/>
      <c r="FE12" s="66"/>
      <c r="FF12" s="66"/>
      <c r="FG12" s="66"/>
      <c r="FH12" s="66"/>
      <c r="FI12" s="66"/>
      <c r="FJ12" s="66"/>
      <c r="FK12" s="66"/>
      <c r="FL12" s="66"/>
      <c r="FM12" s="66"/>
      <c r="FN12" s="66"/>
      <c r="FO12" s="66"/>
      <c r="FP12" s="66"/>
      <c r="FQ12" s="66"/>
      <c r="FR12" s="66"/>
      <c r="FS12" s="66"/>
      <c r="FT12" s="66"/>
      <c r="FU12" s="66"/>
      <c r="FV12" s="66"/>
      <c r="FW12" s="66"/>
      <c r="FX12" s="66"/>
      <c r="FY12" s="66"/>
      <c r="FZ12" s="66"/>
      <c r="GA12" s="66"/>
      <c r="GB12" s="66"/>
      <c r="GC12" s="66"/>
      <c r="GD12" s="66"/>
      <c r="GE12" s="66"/>
      <c r="GF12" s="66"/>
      <c r="GG12" s="66"/>
      <c r="GH12" s="66"/>
      <c r="GI12" s="66"/>
      <c r="GJ12" s="66"/>
      <c r="GK12" s="66"/>
      <c r="GL12" s="66"/>
      <c r="GM12" s="66"/>
      <c r="GN12" s="66"/>
      <c r="GO12" s="66"/>
      <c r="GP12" s="66"/>
      <c r="GQ12" s="66"/>
      <c r="GR12" s="66"/>
      <c r="GS12" s="66"/>
      <c r="GT12" s="66"/>
      <c r="GU12" s="66"/>
      <c r="GV12" s="66"/>
      <c r="GW12" s="66"/>
      <c r="GX12" s="66"/>
      <c r="GY12" s="66"/>
      <c r="GZ12" s="66"/>
      <c r="HA12" s="66"/>
      <c r="HB12" s="66"/>
      <c r="HC12" s="66"/>
      <c r="HD12" s="66"/>
      <c r="HE12" s="66"/>
      <c r="HF12" s="66"/>
      <c r="HG12" s="66"/>
      <c r="HH12" s="66"/>
      <c r="HI12" s="66"/>
      <c r="HJ12" s="66"/>
      <c r="HK12" s="66"/>
      <c r="HL12" s="66"/>
      <c r="HM12" s="66"/>
      <c r="HN12" s="66"/>
      <c r="HO12" s="66"/>
      <c r="HP12" s="66"/>
      <c r="HQ12" s="66"/>
      <c r="HR12" s="66"/>
      <c r="HS12" s="66"/>
      <c r="HT12" s="66"/>
      <c r="HU12" s="66"/>
      <c r="HV12" s="66"/>
      <c r="HW12" s="66"/>
      <c r="HX12" s="66"/>
      <c r="HY12" s="66"/>
      <c r="HZ12" s="66"/>
      <c r="IA12" s="66"/>
      <c r="IB12" s="66"/>
      <c r="IC12" s="66"/>
      <c r="ID12" s="66"/>
      <c r="IE12" s="66"/>
      <c r="IF12" s="66"/>
      <c r="IG12" s="66"/>
      <c r="IH12" s="66"/>
      <c r="II12" s="66"/>
      <c r="IJ12" s="66"/>
      <c r="IK12" s="66"/>
      <c r="IL12" s="66"/>
      <c r="IM12" s="66"/>
      <c r="IN12" s="66"/>
      <c r="IO12" s="66"/>
      <c r="IP12" s="66"/>
      <c r="IQ12" s="66"/>
      <c r="IR12" s="66"/>
      <c r="IS12" s="66"/>
      <c r="IT12" s="66"/>
      <c r="IU12" s="66"/>
      <c r="IV12" s="66"/>
    </row>
    <row r="13" ht="14.25" spans="1:257">
      <c r="A13" s="47"/>
      <c r="B13" s="48" t="s">
        <v>2460</v>
      </c>
      <c r="C13" s="49">
        <v>43941</v>
      </c>
      <c r="D13" s="50">
        <v>3.85</v>
      </c>
      <c r="E13" s="50">
        <f>D13</f>
        <v>3.85</v>
      </c>
      <c r="F13" s="50">
        <f>D13</f>
        <v>3.85</v>
      </c>
      <c r="G13" s="50">
        <f>D13</f>
        <v>3.85</v>
      </c>
      <c r="H13" s="50">
        <v>4.65</v>
      </c>
      <c r="I13" s="50"/>
      <c r="J13" s="50"/>
      <c r="K13" s="47"/>
      <c r="L13" s="48" t="s">
        <v>2460</v>
      </c>
      <c r="M13" s="60">
        <v>42301</v>
      </c>
      <c r="N13" s="50">
        <v>0.35</v>
      </c>
      <c r="O13" s="50">
        <v>1.1</v>
      </c>
      <c r="P13" s="50">
        <v>1.3</v>
      </c>
      <c r="Q13" s="50">
        <v>1.5</v>
      </c>
      <c r="R13" s="50">
        <v>2.1</v>
      </c>
      <c r="S13" s="50">
        <v>2.75</v>
      </c>
      <c r="T13" s="50"/>
      <c r="U13" s="50"/>
      <c r="V13" s="50"/>
      <c r="W13" s="50"/>
      <c r="X13" s="50"/>
      <c r="Y13" s="50"/>
      <c r="Z13" s="50"/>
      <c r="AA13" s="67"/>
      <c r="AB13" s="67"/>
      <c r="AC13" s="67"/>
      <c r="AD13" s="67"/>
      <c r="AE13" s="67"/>
      <c r="AF13" s="67"/>
      <c r="AG13" s="67"/>
      <c r="AH13" s="67"/>
      <c r="AI13" s="67"/>
      <c r="AJ13" s="67"/>
      <c r="AK13" s="67"/>
      <c r="AL13" s="67"/>
      <c r="AM13" s="67"/>
      <c r="AN13" s="67"/>
      <c r="AO13" s="67"/>
      <c r="AP13" s="67"/>
      <c r="AQ13" s="67"/>
      <c r="AR13" s="67"/>
      <c r="AS13" s="67"/>
      <c r="AT13" s="67"/>
      <c r="AU13" s="67"/>
      <c r="AV13" s="67"/>
      <c r="AW13" s="67"/>
      <c r="AX13" s="67"/>
      <c r="AY13" s="67"/>
      <c r="AZ13" s="67"/>
      <c r="BA13" s="67"/>
      <c r="BB13" s="67"/>
      <c r="BC13" s="67"/>
      <c r="BD13" s="67"/>
      <c r="BE13" s="67"/>
      <c r="BF13" s="67"/>
      <c r="BG13" s="67"/>
      <c r="BH13" s="67"/>
      <c r="BI13" s="67"/>
      <c r="BJ13" s="67"/>
      <c r="BK13" s="67"/>
      <c r="BL13" s="67"/>
      <c r="BM13" s="67"/>
      <c r="BN13" s="67"/>
      <c r="BO13" s="67"/>
      <c r="BP13" s="67"/>
      <c r="BQ13" s="67"/>
      <c r="BR13" s="67"/>
      <c r="BS13" s="67"/>
      <c r="BT13" s="67"/>
      <c r="BU13" s="67"/>
      <c r="BV13" s="67"/>
      <c r="BW13" s="67"/>
      <c r="BX13" s="67"/>
      <c r="BY13" s="67"/>
      <c r="BZ13" s="67"/>
      <c r="CA13" s="67"/>
      <c r="CB13" s="67"/>
      <c r="CC13" s="67"/>
      <c r="CD13" s="67"/>
      <c r="CE13" s="67"/>
      <c r="CF13" s="67"/>
      <c r="CG13" s="67"/>
      <c r="CH13" s="67"/>
      <c r="CI13" s="67"/>
      <c r="CJ13" s="67"/>
      <c r="CK13" s="67"/>
      <c r="CL13" s="67"/>
      <c r="CM13" s="67"/>
      <c r="CN13" s="67"/>
      <c r="CO13" s="67"/>
      <c r="CP13" s="67"/>
      <c r="CQ13" s="67"/>
      <c r="CR13" s="67"/>
      <c r="CS13" s="67"/>
      <c r="CT13" s="67"/>
      <c r="CU13" s="67"/>
      <c r="CV13" s="67"/>
      <c r="CW13" s="67"/>
      <c r="CX13" s="67"/>
      <c r="CY13" s="67"/>
      <c r="CZ13" s="67"/>
      <c r="DA13" s="67"/>
      <c r="DB13" s="67"/>
      <c r="DC13" s="67"/>
      <c r="DD13" s="67"/>
      <c r="DE13" s="67"/>
      <c r="DF13" s="67"/>
      <c r="DG13" s="67"/>
      <c r="DH13" s="67"/>
      <c r="DI13" s="67"/>
      <c r="DJ13" s="67"/>
      <c r="DK13" s="67"/>
      <c r="DL13" s="67"/>
      <c r="DM13" s="67"/>
      <c r="DN13" s="67"/>
      <c r="DO13" s="67"/>
      <c r="DP13" s="67"/>
      <c r="DQ13" s="67"/>
      <c r="DR13" s="67"/>
      <c r="DS13" s="67"/>
      <c r="DT13" s="67"/>
      <c r="DU13" s="67"/>
      <c r="DV13" s="67"/>
      <c r="DW13" s="67"/>
      <c r="DX13" s="67"/>
      <c r="DY13" s="67"/>
      <c r="DZ13" s="67"/>
      <c r="EA13" s="67"/>
      <c r="EB13" s="67"/>
      <c r="EC13" s="67"/>
      <c r="ED13" s="67"/>
      <c r="EE13" s="67"/>
      <c r="EF13" s="67"/>
      <c r="EG13" s="67"/>
      <c r="EH13" s="67"/>
      <c r="EI13" s="67"/>
      <c r="EJ13" s="67"/>
      <c r="EK13" s="67"/>
      <c r="EL13" s="67"/>
      <c r="EM13" s="67"/>
      <c r="EN13" s="67"/>
      <c r="EO13" s="67"/>
      <c r="EP13" s="67"/>
      <c r="EQ13" s="67"/>
      <c r="ER13" s="67"/>
      <c r="ES13" s="67"/>
      <c r="ET13" s="67"/>
      <c r="EU13" s="67"/>
      <c r="EV13" s="67"/>
      <c r="EW13" s="67"/>
      <c r="EX13" s="67"/>
      <c r="EY13" s="67"/>
      <c r="EZ13" s="67"/>
      <c r="FA13" s="67"/>
      <c r="FB13" s="67"/>
      <c r="FC13" s="67"/>
      <c r="FD13" s="67"/>
      <c r="FE13" s="67"/>
      <c r="FF13" s="67"/>
      <c r="FG13" s="67"/>
      <c r="FH13" s="67"/>
      <c r="FI13" s="67"/>
      <c r="FJ13" s="67"/>
      <c r="FK13" s="67"/>
      <c r="FL13" s="67"/>
      <c r="FM13" s="67"/>
      <c r="FN13" s="67"/>
      <c r="FO13" s="67"/>
      <c r="FP13" s="67"/>
      <c r="FQ13" s="67"/>
      <c r="FR13" s="67"/>
      <c r="FS13" s="67"/>
      <c r="FT13" s="67"/>
      <c r="FU13" s="67"/>
      <c r="FV13" s="67"/>
      <c r="FW13" s="67"/>
      <c r="FX13" s="67"/>
      <c r="FY13" s="67"/>
      <c r="FZ13" s="67"/>
      <c r="GA13" s="67"/>
      <c r="GB13" s="67"/>
      <c r="GC13" s="67"/>
      <c r="GD13" s="67"/>
      <c r="GE13" s="67"/>
      <c r="GF13" s="67"/>
      <c r="GG13" s="67"/>
      <c r="GH13" s="67"/>
      <c r="GI13" s="67"/>
      <c r="GJ13" s="67"/>
      <c r="GK13" s="67"/>
      <c r="GL13" s="67"/>
      <c r="GM13" s="67"/>
      <c r="GN13" s="67"/>
      <c r="GO13" s="67"/>
      <c r="GP13" s="67"/>
      <c r="GQ13" s="67"/>
      <c r="GR13" s="67"/>
      <c r="GS13" s="67"/>
      <c r="GT13" s="67"/>
      <c r="GU13" s="67"/>
      <c r="GV13" s="67"/>
      <c r="GW13" s="67"/>
      <c r="GX13" s="67"/>
      <c r="GY13" s="67"/>
      <c r="GZ13" s="67"/>
      <c r="HA13" s="67"/>
      <c r="HB13" s="67"/>
      <c r="HC13" s="67"/>
      <c r="HD13" s="67"/>
      <c r="HE13" s="67"/>
      <c r="HF13" s="67"/>
      <c r="HG13" s="67"/>
      <c r="HH13" s="67"/>
      <c r="HI13" s="67"/>
      <c r="HJ13" s="67"/>
      <c r="HK13" s="67"/>
      <c r="HL13" s="67"/>
      <c r="HM13" s="67"/>
      <c r="HN13" s="67"/>
      <c r="HO13" s="67"/>
      <c r="HP13" s="67"/>
      <c r="HQ13" s="67"/>
      <c r="HR13" s="67"/>
      <c r="HS13" s="67"/>
      <c r="HT13" s="67"/>
      <c r="HU13" s="67"/>
      <c r="HV13" s="67"/>
      <c r="HW13" s="67"/>
      <c r="HX13" s="67"/>
      <c r="HY13" s="67"/>
      <c r="HZ13" s="67"/>
      <c r="IA13" s="67"/>
      <c r="IB13" s="67"/>
      <c r="IC13" s="67"/>
      <c r="ID13" s="67"/>
      <c r="IE13" s="67"/>
      <c r="IF13" s="67"/>
      <c r="IG13" s="67"/>
      <c r="IH13" s="67"/>
      <c r="II13" s="67"/>
      <c r="IJ13" s="67"/>
      <c r="IK13" s="67"/>
      <c r="IL13" s="67"/>
      <c r="IM13" s="67"/>
      <c r="IN13" s="67"/>
      <c r="IO13" s="67"/>
      <c r="IP13" s="67"/>
      <c r="IQ13" s="67"/>
      <c r="IR13" s="67"/>
      <c r="IS13" s="67"/>
      <c r="IT13" s="67"/>
      <c r="IU13" s="67"/>
      <c r="IV13" s="67"/>
      <c r="IW13" s="71"/>
    </row>
    <row r="14" spans="2:26">
      <c r="B14" s="51"/>
      <c r="C14" s="52">
        <v>43881</v>
      </c>
      <c r="D14" s="51">
        <v>4.05</v>
      </c>
      <c r="E14" s="51">
        <f>D14</f>
        <v>4.05</v>
      </c>
      <c r="F14" s="51">
        <f>D14</f>
        <v>4.05</v>
      </c>
      <c r="G14" s="51">
        <f>D14</f>
        <v>4.05</v>
      </c>
      <c r="H14" s="51">
        <v>4.75</v>
      </c>
      <c r="I14" s="51"/>
      <c r="J14" s="51"/>
      <c r="L14" s="51"/>
      <c r="M14" s="52">
        <v>42301</v>
      </c>
      <c r="N14" s="51">
        <v>0.35</v>
      </c>
      <c r="O14" s="51">
        <v>1.1</v>
      </c>
      <c r="P14" s="51">
        <v>1.3</v>
      </c>
      <c r="Q14" s="51">
        <v>1.5</v>
      </c>
      <c r="R14" s="51">
        <v>2.1</v>
      </c>
      <c r="S14" s="51">
        <v>2.75</v>
      </c>
      <c r="T14" s="51"/>
      <c r="U14" s="51"/>
      <c r="V14" s="51"/>
      <c r="W14" s="51"/>
      <c r="X14" s="51"/>
      <c r="Y14" s="51"/>
      <c r="Z14" s="51"/>
    </row>
    <row r="15" spans="2:26">
      <c r="B15" s="51"/>
      <c r="C15" s="52">
        <v>43789</v>
      </c>
      <c r="D15" s="51">
        <v>4.15</v>
      </c>
      <c r="E15" s="51">
        <f>D15</f>
        <v>4.15</v>
      </c>
      <c r="F15" s="51">
        <f>D15</f>
        <v>4.15</v>
      </c>
      <c r="G15" s="51">
        <f>D15</f>
        <v>4.15</v>
      </c>
      <c r="H15" s="51">
        <v>4.8</v>
      </c>
      <c r="I15" s="51"/>
      <c r="J15" s="51"/>
      <c r="L15" s="51"/>
      <c r="M15" s="52">
        <v>42242</v>
      </c>
      <c r="N15" s="51">
        <v>0.35</v>
      </c>
      <c r="O15" s="51">
        <v>1.35</v>
      </c>
      <c r="P15" s="51">
        <v>1.55</v>
      </c>
      <c r="Q15" s="51">
        <v>1.75</v>
      </c>
      <c r="R15" s="51">
        <v>2.35</v>
      </c>
      <c r="S15" s="51">
        <v>3</v>
      </c>
      <c r="T15" s="51"/>
      <c r="U15" s="51"/>
      <c r="V15" s="51"/>
      <c r="W15" s="51"/>
      <c r="X15" s="51"/>
      <c r="Y15" s="51"/>
      <c r="Z15" s="51"/>
    </row>
    <row r="16" spans="2:26">
      <c r="B16" s="51"/>
      <c r="C16" s="52">
        <v>43728</v>
      </c>
      <c r="D16" s="51">
        <v>4.2</v>
      </c>
      <c r="E16" s="51">
        <f>D16</f>
        <v>4.2</v>
      </c>
      <c r="F16" s="51">
        <f>D16</f>
        <v>4.2</v>
      </c>
      <c r="G16" s="51">
        <f>D16</f>
        <v>4.2</v>
      </c>
      <c r="H16" s="51">
        <v>4.85</v>
      </c>
      <c r="I16" s="51"/>
      <c r="J16" s="51"/>
      <c r="L16" s="51"/>
      <c r="M16" s="52">
        <v>42183</v>
      </c>
      <c r="N16" s="51">
        <v>0.35</v>
      </c>
      <c r="O16" s="51">
        <v>1.6</v>
      </c>
      <c r="P16" s="51">
        <v>1.8</v>
      </c>
      <c r="Q16" s="51">
        <v>2</v>
      </c>
      <c r="R16" s="51">
        <v>2.6</v>
      </c>
      <c r="S16" s="51">
        <v>3.25</v>
      </c>
      <c r="T16" s="51"/>
      <c r="U16" s="51"/>
      <c r="V16" s="51"/>
      <c r="W16" s="51"/>
      <c r="X16" s="51"/>
      <c r="Y16" s="51"/>
      <c r="Z16" s="51"/>
    </row>
    <row r="17" s="2" customFormat="1" ht="14.25" spans="1:256">
      <c r="A17" s="53"/>
      <c r="B17" s="48" t="s">
        <v>2461</v>
      </c>
      <c r="C17" s="54">
        <v>43697</v>
      </c>
      <c r="D17" s="55">
        <v>4.25</v>
      </c>
      <c r="E17" s="55">
        <f>D17</f>
        <v>4.25</v>
      </c>
      <c r="F17" s="55">
        <f>D17</f>
        <v>4.25</v>
      </c>
      <c r="G17" s="55">
        <f>D17</f>
        <v>4.25</v>
      </c>
      <c r="H17" s="55">
        <v>4.85</v>
      </c>
      <c r="I17" s="55"/>
      <c r="J17" s="55"/>
      <c r="K17" s="53"/>
      <c r="L17" s="51"/>
      <c r="M17" s="52">
        <v>42135</v>
      </c>
      <c r="N17" s="51">
        <v>0.35</v>
      </c>
      <c r="O17" s="51">
        <v>1.85</v>
      </c>
      <c r="P17" s="51">
        <v>2.05</v>
      </c>
      <c r="Q17" s="51">
        <v>2.25</v>
      </c>
      <c r="R17" s="51">
        <v>2.85</v>
      </c>
      <c r="S17" s="51">
        <v>3.5</v>
      </c>
      <c r="T17" s="51"/>
      <c r="U17" s="51"/>
      <c r="V17" s="51"/>
      <c r="W17" s="51"/>
      <c r="X17" s="51"/>
      <c r="Y17" s="51"/>
      <c r="Z17" s="51"/>
      <c r="AA17" s="68"/>
      <c r="AB17" s="68"/>
      <c r="AC17" s="68"/>
      <c r="AD17" s="68"/>
      <c r="AE17" s="68"/>
      <c r="AF17" s="68"/>
      <c r="AG17" s="68"/>
      <c r="AH17" s="68"/>
      <c r="AI17" s="68"/>
      <c r="AJ17" s="68"/>
      <c r="AK17" s="68"/>
      <c r="AL17" s="68"/>
      <c r="AM17" s="68"/>
      <c r="AN17" s="68"/>
      <c r="AO17" s="68"/>
      <c r="AP17" s="68"/>
      <c r="AQ17" s="68"/>
      <c r="AR17" s="68"/>
      <c r="AS17" s="68"/>
      <c r="AT17" s="68"/>
      <c r="AU17" s="68"/>
      <c r="AV17" s="68"/>
      <c r="AW17" s="68"/>
      <c r="AX17" s="68"/>
      <c r="AY17" s="68"/>
      <c r="AZ17" s="68"/>
      <c r="BA17" s="68"/>
      <c r="BB17" s="68"/>
      <c r="BC17" s="68"/>
      <c r="BD17" s="68"/>
      <c r="BE17" s="68"/>
      <c r="BF17" s="68"/>
      <c r="BG17" s="68"/>
      <c r="BH17" s="68"/>
      <c r="BI17" s="68"/>
      <c r="BJ17" s="68"/>
      <c r="BK17" s="68"/>
      <c r="BL17" s="68"/>
      <c r="BM17" s="68"/>
      <c r="BN17" s="68"/>
      <c r="BO17" s="68"/>
      <c r="BP17" s="68"/>
      <c r="BQ17" s="68"/>
      <c r="BR17" s="68"/>
      <c r="BS17" s="68"/>
      <c r="BT17" s="68"/>
      <c r="BU17" s="68"/>
      <c r="BV17" s="68"/>
      <c r="BW17" s="68"/>
      <c r="BX17" s="68"/>
      <c r="BY17" s="68"/>
      <c r="BZ17" s="68"/>
      <c r="CA17" s="68"/>
      <c r="CB17" s="68"/>
      <c r="CC17" s="68"/>
      <c r="CD17" s="68"/>
      <c r="CE17" s="68"/>
      <c r="CF17" s="68"/>
      <c r="CG17" s="68"/>
      <c r="CH17" s="68"/>
      <c r="CI17" s="68"/>
      <c r="CJ17" s="68"/>
      <c r="CK17" s="68"/>
      <c r="CL17" s="68"/>
      <c r="CM17" s="68"/>
      <c r="CN17" s="68"/>
      <c r="CO17" s="68"/>
      <c r="CP17" s="68"/>
      <c r="CQ17" s="68"/>
      <c r="CR17" s="68"/>
      <c r="CS17" s="68"/>
      <c r="CT17" s="68"/>
      <c r="CU17" s="68"/>
      <c r="CV17" s="68"/>
      <c r="CW17" s="68"/>
      <c r="CX17" s="68"/>
      <c r="CY17" s="68"/>
      <c r="CZ17" s="68"/>
      <c r="DA17" s="68"/>
      <c r="DB17" s="68"/>
      <c r="DC17" s="68"/>
      <c r="DD17" s="68"/>
      <c r="DE17" s="68"/>
      <c r="DF17" s="68"/>
      <c r="DG17" s="68"/>
      <c r="DH17" s="68"/>
      <c r="DI17" s="68"/>
      <c r="DJ17" s="68"/>
      <c r="DK17" s="68"/>
      <c r="DL17" s="68"/>
      <c r="DM17" s="68"/>
      <c r="DN17" s="68"/>
      <c r="DO17" s="68"/>
      <c r="DP17" s="68"/>
      <c r="DQ17" s="68"/>
      <c r="DR17" s="68"/>
      <c r="DS17" s="68"/>
      <c r="DT17" s="68"/>
      <c r="DU17" s="68"/>
      <c r="DV17" s="68"/>
      <c r="DW17" s="68"/>
      <c r="DX17" s="68"/>
      <c r="DY17" s="68"/>
      <c r="DZ17" s="68"/>
      <c r="EA17" s="68"/>
      <c r="EB17" s="68"/>
      <c r="EC17" s="68"/>
      <c r="ED17" s="68"/>
      <c r="EE17" s="68"/>
      <c r="EF17" s="68"/>
      <c r="EG17" s="68"/>
      <c r="EH17" s="68"/>
      <c r="EI17" s="68"/>
      <c r="EJ17" s="68"/>
      <c r="EK17" s="68"/>
      <c r="EL17" s="68"/>
      <c r="EM17" s="68"/>
      <c r="EN17" s="68"/>
      <c r="EO17" s="68"/>
      <c r="EP17" s="68"/>
      <c r="EQ17" s="68"/>
      <c r="ER17" s="68"/>
      <c r="ES17" s="68"/>
      <c r="ET17" s="68"/>
      <c r="EU17" s="68"/>
      <c r="EV17" s="68"/>
      <c r="EW17" s="68"/>
      <c r="EX17" s="68"/>
      <c r="EY17" s="68"/>
      <c r="EZ17" s="68"/>
      <c r="FA17" s="68"/>
      <c r="FB17" s="68"/>
      <c r="FC17" s="68"/>
      <c r="FD17" s="68"/>
      <c r="FE17" s="68"/>
      <c r="FF17" s="68"/>
      <c r="FG17" s="68"/>
      <c r="FH17" s="68"/>
      <c r="FI17" s="68"/>
      <c r="FJ17" s="68"/>
      <c r="FK17" s="68"/>
      <c r="FL17" s="68"/>
      <c r="FM17" s="68"/>
      <c r="FN17" s="68"/>
      <c r="FO17" s="68"/>
      <c r="FP17" s="68"/>
      <c r="FQ17" s="68"/>
      <c r="FR17" s="68"/>
      <c r="FS17" s="68"/>
      <c r="FT17" s="68"/>
      <c r="FU17" s="68"/>
      <c r="FV17" s="68"/>
      <c r="FW17" s="68"/>
      <c r="FX17" s="68"/>
      <c r="FY17" s="68"/>
      <c r="FZ17" s="68"/>
      <c r="GA17" s="68"/>
      <c r="GB17" s="68"/>
      <c r="GC17" s="68"/>
      <c r="GD17" s="68"/>
      <c r="GE17" s="68"/>
      <c r="GF17" s="68"/>
      <c r="GG17" s="68"/>
      <c r="GH17" s="68"/>
      <c r="GI17" s="68"/>
      <c r="GJ17" s="68"/>
      <c r="GK17" s="68"/>
      <c r="GL17" s="68"/>
      <c r="GM17" s="68"/>
      <c r="GN17" s="68"/>
      <c r="GO17" s="68"/>
      <c r="GP17" s="68"/>
      <c r="GQ17" s="68"/>
      <c r="GR17" s="68"/>
      <c r="GS17" s="68"/>
      <c r="GT17" s="68"/>
      <c r="GU17" s="68"/>
      <c r="GV17" s="68"/>
      <c r="GW17" s="68"/>
      <c r="GX17" s="68"/>
      <c r="GY17" s="68"/>
      <c r="GZ17" s="68"/>
      <c r="HA17" s="68"/>
      <c r="HB17" s="68"/>
      <c r="HC17" s="68"/>
      <c r="HD17" s="68"/>
      <c r="HE17" s="68"/>
      <c r="HF17" s="68"/>
      <c r="HG17" s="68"/>
      <c r="HH17" s="68"/>
      <c r="HI17" s="68"/>
      <c r="HJ17" s="68"/>
      <c r="HK17" s="68"/>
      <c r="HL17" s="68"/>
      <c r="HM17" s="68"/>
      <c r="HN17" s="68"/>
      <c r="HO17" s="68"/>
      <c r="HP17" s="68"/>
      <c r="HQ17" s="68"/>
      <c r="HR17" s="68"/>
      <c r="HS17" s="68"/>
      <c r="HT17" s="68"/>
      <c r="HU17" s="68"/>
      <c r="HV17" s="68"/>
      <c r="HW17" s="68"/>
      <c r="HX17" s="68"/>
      <c r="HY17" s="68"/>
      <c r="HZ17" s="68"/>
      <c r="IA17" s="68"/>
      <c r="IB17" s="68"/>
      <c r="IC17" s="68"/>
      <c r="ID17" s="68"/>
      <c r="IE17" s="68"/>
      <c r="IF17" s="68"/>
      <c r="IG17" s="68"/>
      <c r="IH17" s="68"/>
      <c r="II17" s="68"/>
      <c r="IJ17" s="68"/>
      <c r="IK17" s="68"/>
      <c r="IL17" s="68"/>
      <c r="IM17" s="68"/>
      <c r="IN17" s="68"/>
      <c r="IO17" s="68"/>
      <c r="IP17" s="68"/>
      <c r="IQ17" s="68"/>
      <c r="IR17" s="68"/>
      <c r="IS17" s="68"/>
      <c r="IT17" s="68"/>
      <c r="IU17" s="68"/>
      <c r="IV17" s="68"/>
    </row>
    <row r="18" spans="2:26">
      <c r="B18" s="51"/>
      <c r="C18" s="52">
        <v>42301</v>
      </c>
      <c r="D18" s="51">
        <v>4.35</v>
      </c>
      <c r="E18" s="51">
        <v>4.35</v>
      </c>
      <c r="F18" s="51">
        <v>4.75</v>
      </c>
      <c r="G18" s="51">
        <v>4.75</v>
      </c>
      <c r="H18" s="51">
        <v>4.9</v>
      </c>
      <c r="I18" s="51">
        <v>2.75</v>
      </c>
      <c r="J18" s="51">
        <v>3.25</v>
      </c>
      <c r="L18" s="51"/>
      <c r="M18" s="52">
        <v>42064</v>
      </c>
      <c r="N18" s="51">
        <v>0.35</v>
      </c>
      <c r="O18" s="51">
        <v>2.1</v>
      </c>
      <c r="P18" s="51">
        <v>2.3</v>
      </c>
      <c r="Q18" s="51">
        <v>2.5</v>
      </c>
      <c r="R18" s="51">
        <v>3.1</v>
      </c>
      <c r="S18" s="51">
        <v>3.75</v>
      </c>
      <c r="T18" s="51">
        <v>4.5</v>
      </c>
      <c r="U18" s="51">
        <v>2.35</v>
      </c>
      <c r="V18" s="51">
        <v>2.55</v>
      </c>
      <c r="W18" s="51">
        <v>2.75</v>
      </c>
      <c r="X18" s="51"/>
      <c r="Y18" s="51">
        <v>0.8</v>
      </c>
      <c r="Z18" s="51">
        <v>1.35</v>
      </c>
    </row>
    <row r="19" ht="15" spans="2:26">
      <c r="B19" s="51"/>
      <c r="C19" s="52">
        <v>42242</v>
      </c>
      <c r="D19" s="51">
        <v>4.6</v>
      </c>
      <c r="E19" s="51">
        <v>4.6</v>
      </c>
      <c r="F19" s="51">
        <v>5</v>
      </c>
      <c r="G19" s="51">
        <v>5</v>
      </c>
      <c r="H19" s="51">
        <v>5.15</v>
      </c>
      <c r="I19" s="51">
        <v>2.75</v>
      </c>
      <c r="J19" s="51">
        <v>3.25</v>
      </c>
      <c r="L19" s="51"/>
      <c r="M19" s="52">
        <v>41965</v>
      </c>
      <c r="N19" s="51">
        <v>0.35</v>
      </c>
      <c r="O19" s="51">
        <v>2.35</v>
      </c>
      <c r="P19" s="51">
        <v>2.55</v>
      </c>
      <c r="Q19" s="51">
        <v>2.75</v>
      </c>
      <c r="R19" s="51">
        <v>3.35</v>
      </c>
      <c r="S19" s="51">
        <v>4</v>
      </c>
      <c r="T19" s="51">
        <v>4.75</v>
      </c>
      <c r="U19" s="61">
        <v>2.35</v>
      </c>
      <c r="V19" s="61">
        <v>2.55</v>
      </c>
      <c r="W19" s="61">
        <v>2.75</v>
      </c>
      <c r="X19" s="51"/>
      <c r="Y19" s="61">
        <v>0.8</v>
      </c>
      <c r="Z19" s="61">
        <v>1.35</v>
      </c>
    </row>
    <row r="20" spans="2:26">
      <c r="B20" s="51"/>
      <c r="C20" s="52">
        <v>42183</v>
      </c>
      <c r="D20" s="51">
        <v>4.85</v>
      </c>
      <c r="E20" s="51">
        <v>4.85</v>
      </c>
      <c r="F20" s="51">
        <v>5.25</v>
      </c>
      <c r="G20" s="51">
        <v>5.25</v>
      </c>
      <c r="H20" s="51">
        <v>5.4</v>
      </c>
      <c r="I20" s="51">
        <v>3</v>
      </c>
      <c r="J20" s="51">
        <v>3.5</v>
      </c>
      <c r="L20" s="51"/>
      <c r="M20" s="52">
        <v>41096</v>
      </c>
      <c r="N20" s="51">
        <v>0.35</v>
      </c>
      <c r="O20" s="51">
        <v>2.6</v>
      </c>
      <c r="P20" s="51">
        <v>2.8</v>
      </c>
      <c r="Q20" s="51">
        <v>3</v>
      </c>
      <c r="R20" s="51">
        <v>3.75</v>
      </c>
      <c r="S20" s="51">
        <v>4.25</v>
      </c>
      <c r="T20" s="51">
        <v>4.75</v>
      </c>
      <c r="U20" s="51">
        <v>2.85</v>
      </c>
      <c r="V20" s="51">
        <v>2.9</v>
      </c>
      <c r="W20" s="51">
        <v>3</v>
      </c>
      <c r="X20" s="51">
        <v>1.15</v>
      </c>
      <c r="Y20" s="51">
        <v>0.8</v>
      </c>
      <c r="Z20" s="51">
        <v>1.35</v>
      </c>
    </row>
    <row r="21" spans="2:26">
      <c r="B21" s="51"/>
      <c r="C21" s="52">
        <v>42135</v>
      </c>
      <c r="D21" s="51">
        <v>5.1</v>
      </c>
      <c r="E21" s="51">
        <v>5.1</v>
      </c>
      <c r="F21" s="51">
        <v>5.5</v>
      </c>
      <c r="G21" s="51">
        <v>5.5</v>
      </c>
      <c r="H21" s="51">
        <v>5.65</v>
      </c>
      <c r="I21" s="51">
        <v>3.25</v>
      </c>
      <c r="J21" s="51">
        <v>3.75</v>
      </c>
      <c r="L21" s="51"/>
      <c r="M21" s="52">
        <v>41068</v>
      </c>
      <c r="N21" s="51">
        <v>0.4</v>
      </c>
      <c r="O21" s="51">
        <v>2.85</v>
      </c>
      <c r="P21" s="51">
        <v>3.05</v>
      </c>
      <c r="Q21" s="51">
        <v>3.25</v>
      </c>
      <c r="R21" s="51">
        <v>4.1</v>
      </c>
      <c r="S21" s="51">
        <v>4.65</v>
      </c>
      <c r="T21" s="51">
        <v>5.1</v>
      </c>
      <c r="U21" s="51">
        <v>3.1</v>
      </c>
      <c r="V21" s="51">
        <v>3.15</v>
      </c>
      <c r="W21" s="51">
        <v>3.25</v>
      </c>
      <c r="X21" s="51">
        <v>1.31</v>
      </c>
      <c r="Y21" s="51">
        <v>0.94</v>
      </c>
      <c r="Z21" s="51">
        <v>1.49</v>
      </c>
    </row>
    <row r="22" spans="2:26">
      <c r="B22" s="51"/>
      <c r="C22" s="52">
        <v>42064</v>
      </c>
      <c r="D22" s="51">
        <v>5.35</v>
      </c>
      <c r="E22" s="51">
        <v>5.35</v>
      </c>
      <c r="F22" s="51">
        <v>5.75</v>
      </c>
      <c r="G22" s="51">
        <v>5.75</v>
      </c>
      <c r="H22" s="51">
        <v>5.9</v>
      </c>
      <c r="I22" s="51"/>
      <c r="J22" s="51"/>
      <c r="L22" s="51"/>
      <c r="M22" s="52">
        <v>40731</v>
      </c>
      <c r="N22" s="51">
        <v>0.5</v>
      </c>
      <c r="O22" s="51">
        <v>3.1</v>
      </c>
      <c r="P22" s="51">
        <v>3.3</v>
      </c>
      <c r="Q22" s="51">
        <v>3.5</v>
      </c>
      <c r="R22" s="51">
        <v>4.4</v>
      </c>
      <c r="S22" s="51">
        <v>5</v>
      </c>
      <c r="T22" s="51">
        <v>5.5</v>
      </c>
      <c r="U22" s="51">
        <v>3.1</v>
      </c>
      <c r="V22" s="51">
        <v>3.3</v>
      </c>
      <c r="W22" s="51">
        <v>3.5</v>
      </c>
      <c r="X22" s="51">
        <v>1.31</v>
      </c>
      <c r="Y22" s="51">
        <v>0.95</v>
      </c>
      <c r="Z22" s="51">
        <v>1.49</v>
      </c>
    </row>
    <row r="23" spans="2:26">
      <c r="B23" s="51"/>
      <c r="C23" s="52">
        <v>41965</v>
      </c>
      <c r="D23" s="51">
        <v>5.6</v>
      </c>
      <c r="E23" s="51">
        <v>5.6</v>
      </c>
      <c r="F23" s="51">
        <v>6</v>
      </c>
      <c r="G23" s="51">
        <v>6</v>
      </c>
      <c r="H23" s="51">
        <v>6.15</v>
      </c>
      <c r="I23" s="51"/>
      <c r="J23" s="51"/>
      <c r="L23" s="51"/>
      <c r="M23" s="52">
        <v>40639</v>
      </c>
      <c r="N23" s="51">
        <v>0.5</v>
      </c>
      <c r="O23" s="51">
        <v>2.85</v>
      </c>
      <c r="P23" s="51">
        <v>3.05</v>
      </c>
      <c r="Q23" s="51">
        <v>3.25</v>
      </c>
      <c r="R23" s="51">
        <v>4.15</v>
      </c>
      <c r="S23" s="51">
        <v>4.75</v>
      </c>
      <c r="T23" s="51">
        <v>5.25</v>
      </c>
      <c r="U23" s="51">
        <v>2.85</v>
      </c>
      <c r="V23" s="51">
        <v>3.05</v>
      </c>
      <c r="W23" s="51">
        <v>3.25</v>
      </c>
      <c r="X23" s="51">
        <v>1.31</v>
      </c>
      <c r="Y23" s="51">
        <v>0.95</v>
      </c>
      <c r="Z23" s="51">
        <v>1.49</v>
      </c>
    </row>
    <row r="24" spans="2:26">
      <c r="B24" s="51"/>
      <c r="C24" s="52">
        <v>41096</v>
      </c>
      <c r="D24" s="51">
        <v>5.6</v>
      </c>
      <c r="E24" s="51">
        <v>6</v>
      </c>
      <c r="F24" s="51">
        <v>6.15</v>
      </c>
      <c r="G24" s="51">
        <v>6.4</v>
      </c>
      <c r="H24" s="51">
        <v>6.55</v>
      </c>
      <c r="I24" s="51">
        <v>4</v>
      </c>
      <c r="J24" s="51">
        <v>4.5</v>
      </c>
      <c r="L24" s="51"/>
      <c r="M24" s="52">
        <v>40583</v>
      </c>
      <c r="N24" s="51">
        <v>0.4</v>
      </c>
      <c r="O24" s="51">
        <v>2.6</v>
      </c>
      <c r="P24" s="51">
        <v>2.8</v>
      </c>
      <c r="Q24" s="51">
        <v>3</v>
      </c>
      <c r="R24" s="51">
        <v>3.9</v>
      </c>
      <c r="S24" s="51">
        <v>4.5</v>
      </c>
      <c r="T24" s="51">
        <v>5</v>
      </c>
      <c r="U24" s="51">
        <v>2.6</v>
      </c>
      <c r="V24" s="51">
        <v>2.8</v>
      </c>
      <c r="W24" s="51">
        <v>3</v>
      </c>
      <c r="X24" s="51">
        <v>1.21</v>
      </c>
      <c r="Y24" s="51">
        <v>0.85</v>
      </c>
      <c r="Z24" s="51">
        <v>1.39</v>
      </c>
    </row>
    <row r="25" spans="2:26">
      <c r="B25" s="51"/>
      <c r="C25" s="52">
        <v>41068</v>
      </c>
      <c r="D25" s="51">
        <v>5.85</v>
      </c>
      <c r="E25" s="51">
        <v>6.31</v>
      </c>
      <c r="F25" s="51">
        <v>6.4</v>
      </c>
      <c r="G25" s="51">
        <v>6.65</v>
      </c>
      <c r="H25" s="51">
        <v>6.8</v>
      </c>
      <c r="I25" s="51">
        <v>4.2</v>
      </c>
      <c r="J25" s="51">
        <v>4.7</v>
      </c>
      <c r="L25" s="51"/>
      <c r="M25" s="52">
        <v>40538</v>
      </c>
      <c r="N25" s="51">
        <v>0.36</v>
      </c>
      <c r="O25" s="51">
        <v>2.25</v>
      </c>
      <c r="P25" s="51">
        <v>2.5</v>
      </c>
      <c r="Q25" s="51">
        <v>2.75</v>
      </c>
      <c r="R25" s="51">
        <v>3.55</v>
      </c>
      <c r="S25" s="51">
        <v>4.15</v>
      </c>
      <c r="T25" s="51">
        <v>4.55</v>
      </c>
      <c r="U25" s="51">
        <v>2.16</v>
      </c>
      <c r="V25" s="51">
        <v>2.5</v>
      </c>
      <c r="W25" s="51">
        <v>2.85</v>
      </c>
      <c r="X25" s="51">
        <v>1.17</v>
      </c>
      <c r="Y25" s="51">
        <v>0.81</v>
      </c>
      <c r="Z25" s="51">
        <v>1.35</v>
      </c>
    </row>
    <row r="26" spans="2:26">
      <c r="B26" s="51"/>
      <c r="C26" s="52">
        <v>40731</v>
      </c>
      <c r="D26" s="51">
        <v>6.1</v>
      </c>
      <c r="E26" s="51">
        <v>6.56</v>
      </c>
      <c r="F26" s="51">
        <v>6.65</v>
      </c>
      <c r="G26" s="51">
        <v>6.9</v>
      </c>
      <c r="H26" s="51">
        <v>7.05</v>
      </c>
      <c r="I26" s="51">
        <v>4.45</v>
      </c>
      <c r="J26" s="51">
        <v>4.9</v>
      </c>
      <c r="L26" s="51"/>
      <c r="M26" s="52">
        <v>40471</v>
      </c>
      <c r="N26" s="51">
        <v>0.36</v>
      </c>
      <c r="O26" s="51">
        <v>1.91</v>
      </c>
      <c r="P26" s="51">
        <v>2.2</v>
      </c>
      <c r="Q26" s="51">
        <v>2.5</v>
      </c>
      <c r="R26" s="51">
        <v>3.25</v>
      </c>
      <c r="S26" s="51">
        <v>3.85</v>
      </c>
      <c r="T26" s="51">
        <v>4.2</v>
      </c>
      <c r="U26" s="51">
        <v>1.91</v>
      </c>
      <c r="V26" s="51">
        <v>2.2</v>
      </c>
      <c r="W26" s="51">
        <v>2.5</v>
      </c>
      <c r="X26" s="51">
        <v>1.17</v>
      </c>
      <c r="Y26" s="51">
        <v>0.81</v>
      </c>
      <c r="Z26" s="51">
        <v>1.35</v>
      </c>
    </row>
    <row r="27" spans="2:26">
      <c r="B27" s="51"/>
      <c r="C27" s="52">
        <v>40639</v>
      </c>
      <c r="D27" s="51">
        <v>5.85</v>
      </c>
      <c r="E27" s="51">
        <v>6.31</v>
      </c>
      <c r="F27" s="51">
        <v>6.4</v>
      </c>
      <c r="G27" s="51">
        <v>6.65</v>
      </c>
      <c r="H27" s="51">
        <v>6.8</v>
      </c>
      <c r="I27" s="51">
        <v>4.2</v>
      </c>
      <c r="J27" s="51">
        <v>4.7</v>
      </c>
      <c r="L27" s="51"/>
      <c r="M27" s="52">
        <v>39805</v>
      </c>
      <c r="N27" s="51">
        <v>0.36</v>
      </c>
      <c r="O27" s="51">
        <v>1.71</v>
      </c>
      <c r="P27" s="51">
        <v>1.98</v>
      </c>
      <c r="Q27" s="51">
        <v>2.25</v>
      </c>
      <c r="R27" s="51">
        <v>2.79</v>
      </c>
      <c r="S27" s="51">
        <v>3.33</v>
      </c>
      <c r="T27" s="51">
        <v>3.6</v>
      </c>
      <c r="U27" s="51">
        <v>1.71</v>
      </c>
      <c r="V27" s="51">
        <v>1.98</v>
      </c>
      <c r="W27" s="51">
        <v>2.25</v>
      </c>
      <c r="X27" s="51">
        <v>1.17</v>
      </c>
      <c r="Y27" s="51">
        <v>0.81</v>
      </c>
      <c r="Z27" s="51">
        <v>1.35</v>
      </c>
    </row>
    <row r="28" spans="2:26">
      <c r="B28" s="51"/>
      <c r="C28" s="52">
        <v>40583</v>
      </c>
      <c r="D28" s="51">
        <v>5.6</v>
      </c>
      <c r="E28" s="51">
        <v>6.06</v>
      </c>
      <c r="F28" s="51">
        <v>6.1</v>
      </c>
      <c r="G28" s="51">
        <v>6.45</v>
      </c>
      <c r="H28" s="51">
        <v>6.6</v>
      </c>
      <c r="I28" s="51">
        <v>4</v>
      </c>
      <c r="J28" s="51">
        <v>4.5</v>
      </c>
      <c r="L28" s="51"/>
      <c r="M28" s="52">
        <v>39779</v>
      </c>
      <c r="N28" s="51">
        <v>0.36</v>
      </c>
      <c r="O28" s="51">
        <v>1.98</v>
      </c>
      <c r="P28" s="51">
        <v>2.25</v>
      </c>
      <c r="Q28" s="51">
        <v>2.52</v>
      </c>
      <c r="R28" s="51">
        <v>3.06</v>
      </c>
      <c r="S28" s="51">
        <v>3.6</v>
      </c>
      <c r="T28" s="51">
        <v>3.87</v>
      </c>
      <c r="U28" s="51">
        <v>1.98</v>
      </c>
      <c r="V28" s="51">
        <v>2.25</v>
      </c>
      <c r="W28" s="51">
        <v>2.52</v>
      </c>
      <c r="X28" s="51">
        <v>1.17</v>
      </c>
      <c r="Y28" s="51">
        <v>0.81</v>
      </c>
      <c r="Z28" s="51">
        <v>1.35</v>
      </c>
    </row>
    <row r="29" spans="2:26">
      <c r="B29" s="51"/>
      <c r="C29" s="52">
        <v>40538</v>
      </c>
      <c r="D29" s="51">
        <v>5.35</v>
      </c>
      <c r="E29" s="51">
        <v>5.81</v>
      </c>
      <c r="F29" s="51">
        <v>5.85</v>
      </c>
      <c r="G29" s="51">
        <v>6.22</v>
      </c>
      <c r="H29" s="51">
        <v>6.4</v>
      </c>
      <c r="I29" s="51">
        <v>3.75</v>
      </c>
      <c r="J29" s="51">
        <v>4.3</v>
      </c>
      <c r="L29" s="51"/>
      <c r="M29" s="52">
        <v>39751</v>
      </c>
      <c r="N29" s="51">
        <v>0.72</v>
      </c>
      <c r="O29" s="51">
        <v>2.88</v>
      </c>
      <c r="P29" s="51">
        <v>3.24</v>
      </c>
      <c r="Q29" s="51">
        <v>3.6</v>
      </c>
      <c r="R29" s="51">
        <v>4.14</v>
      </c>
      <c r="S29" s="51">
        <v>4.77</v>
      </c>
      <c r="T29" s="51">
        <v>5.13</v>
      </c>
      <c r="U29" s="51">
        <v>2.88</v>
      </c>
      <c r="V29" s="51">
        <v>3.24</v>
      </c>
      <c r="W29" s="51">
        <v>3.6</v>
      </c>
      <c r="X29" s="51">
        <v>1.53</v>
      </c>
      <c r="Y29" s="51">
        <v>1.17</v>
      </c>
      <c r="Z29" s="51">
        <v>1.71</v>
      </c>
    </row>
    <row r="30" spans="2:26">
      <c r="B30" s="51"/>
      <c r="C30" s="52">
        <v>40471</v>
      </c>
      <c r="D30" s="51">
        <v>5.1</v>
      </c>
      <c r="E30" s="51">
        <v>5.56</v>
      </c>
      <c r="F30" s="51">
        <v>5.6</v>
      </c>
      <c r="G30" s="51">
        <v>5.96</v>
      </c>
      <c r="H30" s="51">
        <v>6.14</v>
      </c>
      <c r="I30" s="51">
        <v>3.5</v>
      </c>
      <c r="J30" s="51">
        <v>4.05</v>
      </c>
      <c r="L30" s="51"/>
      <c r="M30" s="54">
        <v>39736</v>
      </c>
      <c r="N30" s="51">
        <v>0.72</v>
      </c>
      <c r="O30" s="51">
        <v>3.15</v>
      </c>
      <c r="P30" s="51">
        <v>3.51</v>
      </c>
      <c r="Q30" s="51">
        <v>3.87</v>
      </c>
      <c r="R30" s="51">
        <v>4.41</v>
      </c>
      <c r="S30" s="51">
        <v>5.13</v>
      </c>
      <c r="T30" s="51">
        <v>5.58</v>
      </c>
      <c r="U30" s="51">
        <v>3.15</v>
      </c>
      <c r="V30" s="51">
        <v>3.51</v>
      </c>
      <c r="W30" s="51">
        <v>3.87</v>
      </c>
      <c r="X30" s="51">
        <v>1.53</v>
      </c>
      <c r="Y30" s="51">
        <v>1.17</v>
      </c>
      <c r="Z30" s="51">
        <v>1.71</v>
      </c>
    </row>
    <row r="31" spans="2:26">
      <c r="B31" s="51"/>
      <c r="C31" s="52">
        <v>39805</v>
      </c>
      <c r="D31" s="51">
        <v>4.86</v>
      </c>
      <c r="E31" s="51">
        <v>5.31</v>
      </c>
      <c r="F31" s="51">
        <v>5.4</v>
      </c>
      <c r="G31" s="51">
        <v>5.76</v>
      </c>
      <c r="H31" s="51">
        <v>5.94</v>
      </c>
      <c r="I31" s="51">
        <v>3.33</v>
      </c>
      <c r="J31" s="51">
        <v>3.87</v>
      </c>
      <c r="L31" s="51"/>
      <c r="M31" s="52">
        <v>39730</v>
      </c>
      <c r="N31" s="51">
        <v>0.72</v>
      </c>
      <c r="O31" s="51">
        <v>3.15</v>
      </c>
      <c r="P31" s="51">
        <v>3.51</v>
      </c>
      <c r="Q31" s="51">
        <v>3.87</v>
      </c>
      <c r="R31" s="51">
        <v>4.41</v>
      </c>
      <c r="S31" s="51">
        <v>5.13</v>
      </c>
      <c r="T31" s="51">
        <v>5.58</v>
      </c>
      <c r="U31" s="51">
        <v>3.15</v>
      </c>
      <c r="V31" s="51">
        <v>3.51</v>
      </c>
      <c r="W31" s="51">
        <v>3.87</v>
      </c>
      <c r="X31" s="51">
        <v>1.53</v>
      </c>
      <c r="Y31" s="51">
        <v>1.17</v>
      </c>
      <c r="Z31" s="51">
        <v>1.71</v>
      </c>
    </row>
    <row r="32" spans="2:26">
      <c r="B32" s="51"/>
      <c r="C32" s="52">
        <v>39779</v>
      </c>
      <c r="D32" s="51">
        <v>5.04</v>
      </c>
      <c r="E32" s="51">
        <v>5.58</v>
      </c>
      <c r="F32" s="51">
        <v>5.67</v>
      </c>
      <c r="G32" s="51">
        <v>5.94</v>
      </c>
      <c r="H32" s="51">
        <v>6.12</v>
      </c>
      <c r="I32" s="51">
        <v>3.51</v>
      </c>
      <c r="J32" s="51">
        <v>4.05</v>
      </c>
      <c r="L32" s="51"/>
      <c r="M32" s="52">
        <v>39437</v>
      </c>
      <c r="N32" s="51">
        <v>0.72</v>
      </c>
      <c r="O32" s="51">
        <v>3.33</v>
      </c>
      <c r="P32" s="51">
        <v>3.78</v>
      </c>
      <c r="Q32" s="51">
        <v>4.14</v>
      </c>
      <c r="R32" s="51">
        <v>4.68</v>
      </c>
      <c r="S32" s="51">
        <v>5.4</v>
      </c>
      <c r="T32" s="51">
        <v>5.85</v>
      </c>
      <c r="U32" s="51">
        <v>3.33</v>
      </c>
      <c r="V32" s="51">
        <v>3.78</v>
      </c>
      <c r="W32" s="51">
        <v>4.14</v>
      </c>
      <c r="X32" s="51">
        <v>1.53</v>
      </c>
      <c r="Y32" s="51">
        <v>1.17</v>
      </c>
      <c r="Z32" s="51">
        <v>1.71</v>
      </c>
    </row>
    <row r="33" spans="2:26">
      <c r="B33" s="51"/>
      <c r="C33" s="52">
        <v>39751</v>
      </c>
      <c r="D33" s="51">
        <v>6.03</v>
      </c>
      <c r="E33" s="51">
        <v>6.66</v>
      </c>
      <c r="F33" s="51">
        <v>6.75</v>
      </c>
      <c r="G33" s="51">
        <v>7.02</v>
      </c>
      <c r="H33" s="51">
        <v>7.2</v>
      </c>
      <c r="I33" s="51">
        <v>4.05</v>
      </c>
      <c r="J33" s="51">
        <v>4.59</v>
      </c>
      <c r="L33" s="51"/>
      <c r="M33" s="52">
        <v>39340</v>
      </c>
      <c r="N33" s="51">
        <v>0.81</v>
      </c>
      <c r="O33" s="51">
        <v>2.88</v>
      </c>
      <c r="P33" s="51">
        <v>3.42</v>
      </c>
      <c r="Q33" s="51">
        <v>3.87</v>
      </c>
      <c r="R33" s="51">
        <v>4.5</v>
      </c>
      <c r="S33" s="51">
        <v>5.22</v>
      </c>
      <c r="T33" s="51">
        <v>5.76</v>
      </c>
      <c r="U33" s="51">
        <v>2.88</v>
      </c>
      <c r="V33" s="51">
        <v>3.42</v>
      </c>
      <c r="W33" s="51">
        <v>3.87</v>
      </c>
      <c r="X33" s="51">
        <v>1.53</v>
      </c>
      <c r="Y33" s="51">
        <v>1.17</v>
      </c>
      <c r="Z33" s="51">
        <v>1.71</v>
      </c>
    </row>
    <row r="34" spans="2:26">
      <c r="B34" s="51"/>
      <c r="C34" s="54">
        <v>39748</v>
      </c>
      <c r="D34" s="51">
        <v>6.12</v>
      </c>
      <c r="E34" s="51">
        <v>6.93</v>
      </c>
      <c r="F34" s="51">
        <v>7.02</v>
      </c>
      <c r="G34" s="51">
        <v>7.29</v>
      </c>
      <c r="H34" s="51">
        <v>7.47</v>
      </c>
      <c r="I34" s="51">
        <v>4.05</v>
      </c>
      <c r="J34" s="51">
        <v>4.59</v>
      </c>
      <c r="L34" s="51"/>
      <c r="M34" s="52">
        <v>39316</v>
      </c>
      <c r="N34" s="51">
        <v>0.81</v>
      </c>
      <c r="O34" s="51">
        <v>2.61</v>
      </c>
      <c r="P34" s="51">
        <v>3.15</v>
      </c>
      <c r="Q34" s="51">
        <v>3.6</v>
      </c>
      <c r="R34" s="51">
        <v>4.23</v>
      </c>
      <c r="S34" s="51">
        <v>4.95</v>
      </c>
      <c r="T34" s="51">
        <v>5.49</v>
      </c>
      <c r="U34" s="51">
        <v>2.61</v>
      </c>
      <c r="V34" s="51">
        <v>3.15</v>
      </c>
      <c r="W34" s="51">
        <v>3.6</v>
      </c>
      <c r="X34" s="51">
        <v>1.53</v>
      </c>
      <c r="Y34" s="51">
        <v>1.17</v>
      </c>
      <c r="Z34" s="51">
        <v>1.71</v>
      </c>
    </row>
    <row r="35" spans="2:26">
      <c r="B35" s="51"/>
      <c r="C35" s="52">
        <v>39730</v>
      </c>
      <c r="D35" s="51">
        <v>6.12</v>
      </c>
      <c r="E35" s="51">
        <v>6.93</v>
      </c>
      <c r="F35" s="51">
        <v>7.02</v>
      </c>
      <c r="G35" s="51">
        <v>7.29</v>
      </c>
      <c r="H35" s="51">
        <v>7.47</v>
      </c>
      <c r="I35" s="51">
        <v>4.32</v>
      </c>
      <c r="J35" s="51">
        <v>4.86</v>
      </c>
      <c r="L35" s="51"/>
      <c r="M35" s="52">
        <v>39284</v>
      </c>
      <c r="N35" s="51">
        <v>0.81</v>
      </c>
      <c r="O35" s="51">
        <v>2.34</v>
      </c>
      <c r="P35" s="51">
        <v>2.88</v>
      </c>
      <c r="Q35" s="51">
        <v>3.33</v>
      </c>
      <c r="R35" s="51">
        <v>3.96</v>
      </c>
      <c r="S35" s="51">
        <v>4.68</v>
      </c>
      <c r="T35" s="51">
        <v>5.22</v>
      </c>
      <c r="U35" s="51">
        <v>2.34</v>
      </c>
      <c r="V35" s="51">
        <v>2.88</v>
      </c>
      <c r="W35" s="51">
        <v>3.33</v>
      </c>
      <c r="X35" s="51">
        <v>1.53</v>
      </c>
      <c r="Y35" s="51">
        <v>1.17</v>
      </c>
      <c r="Z35" s="51">
        <v>1.71</v>
      </c>
    </row>
    <row r="36" spans="2:26">
      <c r="B36" s="51"/>
      <c r="C36" s="52">
        <v>39707</v>
      </c>
      <c r="D36" s="51">
        <v>6.21</v>
      </c>
      <c r="E36" s="51">
        <v>7.2</v>
      </c>
      <c r="F36" s="51">
        <v>7.29</v>
      </c>
      <c r="G36" s="51">
        <v>7.56</v>
      </c>
      <c r="H36" s="51">
        <v>7.74</v>
      </c>
      <c r="I36" s="51">
        <v>4.59</v>
      </c>
      <c r="J36" s="51">
        <v>5.13</v>
      </c>
      <c r="L36" s="51"/>
      <c r="M36" s="52">
        <v>39221</v>
      </c>
      <c r="N36" s="51">
        <v>0.72</v>
      </c>
      <c r="O36" s="51">
        <v>2.07</v>
      </c>
      <c r="P36" s="51">
        <v>2.61</v>
      </c>
      <c r="Q36" s="51">
        <v>3.06</v>
      </c>
      <c r="R36" s="51">
        <v>3.69</v>
      </c>
      <c r="S36" s="51">
        <v>4.41</v>
      </c>
      <c r="T36" s="51">
        <v>4.95</v>
      </c>
      <c r="U36" s="51">
        <v>2.07</v>
      </c>
      <c r="V36" s="51">
        <v>2.61</v>
      </c>
      <c r="W36" s="51">
        <v>3.06</v>
      </c>
      <c r="X36" s="51">
        <v>1.44</v>
      </c>
      <c r="Y36" s="51">
        <v>1.08</v>
      </c>
      <c r="Z36" s="51">
        <v>1.62</v>
      </c>
    </row>
    <row r="37" spans="2:26">
      <c r="B37" s="51"/>
      <c r="C37" s="52">
        <v>39437</v>
      </c>
      <c r="D37" s="51">
        <v>6.57</v>
      </c>
      <c r="E37" s="51">
        <v>7.47</v>
      </c>
      <c r="F37" s="51">
        <v>7.56</v>
      </c>
      <c r="G37" s="51">
        <v>7.74</v>
      </c>
      <c r="H37" s="51">
        <v>7.83</v>
      </c>
      <c r="I37" s="51">
        <v>4.77</v>
      </c>
      <c r="J37" s="51">
        <v>5.22</v>
      </c>
      <c r="L37" s="51"/>
      <c r="M37" s="52">
        <v>39159</v>
      </c>
      <c r="N37" s="51">
        <v>0.72</v>
      </c>
      <c r="O37" s="51">
        <v>1.98</v>
      </c>
      <c r="P37" s="51">
        <v>2.43</v>
      </c>
      <c r="Q37" s="51">
        <v>2.79</v>
      </c>
      <c r="R37" s="51">
        <v>3.33</v>
      </c>
      <c r="S37" s="51">
        <v>3.96</v>
      </c>
      <c r="T37" s="51">
        <v>4.41</v>
      </c>
      <c r="U37" s="51">
        <v>1.98</v>
      </c>
      <c r="V37" s="51">
        <v>2.43</v>
      </c>
      <c r="W37" s="51">
        <v>2.79</v>
      </c>
      <c r="X37" s="51">
        <v>1.44</v>
      </c>
      <c r="Y37" s="51">
        <v>1.08</v>
      </c>
      <c r="Z37" s="51">
        <v>1.62</v>
      </c>
    </row>
    <row r="38" spans="2:26">
      <c r="B38" s="51"/>
      <c r="C38" s="52">
        <v>39340</v>
      </c>
      <c r="D38" s="51">
        <v>6.48</v>
      </c>
      <c r="E38" s="51">
        <v>7.29</v>
      </c>
      <c r="F38" s="51">
        <v>7.47</v>
      </c>
      <c r="G38" s="51">
        <v>7.65</v>
      </c>
      <c r="H38" s="51">
        <v>7.83</v>
      </c>
      <c r="I38" s="51">
        <v>4.77</v>
      </c>
      <c r="J38" s="51">
        <v>5.22</v>
      </c>
      <c r="L38" s="51"/>
      <c r="M38" s="52">
        <v>38948</v>
      </c>
      <c r="N38" s="51">
        <v>0.72</v>
      </c>
      <c r="O38" s="51">
        <v>1.8</v>
      </c>
      <c r="P38" s="51">
        <v>2.25</v>
      </c>
      <c r="Q38" s="51">
        <v>2.52</v>
      </c>
      <c r="R38" s="51">
        <v>3.06</v>
      </c>
      <c r="S38" s="51">
        <v>3.69</v>
      </c>
      <c r="T38" s="51">
        <v>4.14</v>
      </c>
      <c r="U38" s="51">
        <v>1.8</v>
      </c>
      <c r="V38" s="51">
        <v>2.25</v>
      </c>
      <c r="W38" s="51">
        <v>2.52</v>
      </c>
      <c r="X38" s="51">
        <v>1.44</v>
      </c>
      <c r="Y38" s="51">
        <v>1.08</v>
      </c>
      <c r="Z38" s="51">
        <v>1.62</v>
      </c>
    </row>
    <row r="39" spans="2:26">
      <c r="B39" s="51"/>
      <c r="C39" s="52">
        <v>39316</v>
      </c>
      <c r="D39" s="51">
        <v>6.21</v>
      </c>
      <c r="E39" s="51">
        <v>7.02</v>
      </c>
      <c r="F39" s="51">
        <v>7.2</v>
      </c>
      <c r="G39" s="51">
        <v>7.38</v>
      </c>
      <c r="H39" s="51">
        <v>7.56</v>
      </c>
      <c r="I39" s="51">
        <v>4.59</v>
      </c>
      <c r="J39" s="51">
        <v>5.04</v>
      </c>
      <c r="L39" s="51"/>
      <c r="M39" s="52">
        <v>38289</v>
      </c>
      <c r="N39" s="51">
        <v>0.72</v>
      </c>
      <c r="O39" s="51">
        <v>1.71</v>
      </c>
      <c r="P39" s="51">
        <v>2.07</v>
      </c>
      <c r="Q39" s="51">
        <v>2.25</v>
      </c>
      <c r="R39" s="51">
        <v>2.7</v>
      </c>
      <c r="S39" s="51">
        <v>3.24</v>
      </c>
      <c r="T39" s="51">
        <v>3.6</v>
      </c>
      <c r="U39" s="51">
        <v>1.71</v>
      </c>
      <c r="V39" s="51">
        <v>2.07</v>
      </c>
      <c r="W39" s="51">
        <v>2.25</v>
      </c>
      <c r="X39" s="51">
        <v>1.44</v>
      </c>
      <c r="Y39" s="51">
        <v>1.08</v>
      </c>
      <c r="Z39" s="51">
        <v>1.62</v>
      </c>
    </row>
    <row r="40" spans="2:26">
      <c r="B40" s="51"/>
      <c r="C40" s="52">
        <v>39284</v>
      </c>
      <c r="D40" s="51">
        <v>6.03</v>
      </c>
      <c r="E40" s="51">
        <v>6.84</v>
      </c>
      <c r="F40" s="51">
        <v>7.02</v>
      </c>
      <c r="G40" s="51">
        <v>7.2</v>
      </c>
      <c r="H40" s="51">
        <v>7.38</v>
      </c>
      <c r="I40" s="51">
        <v>4.5</v>
      </c>
      <c r="J40" s="51">
        <v>4.95</v>
      </c>
      <c r="L40" s="51"/>
      <c r="M40" s="52">
        <v>37308</v>
      </c>
      <c r="N40" s="51">
        <v>0.72</v>
      </c>
      <c r="O40" s="51">
        <v>1.71</v>
      </c>
      <c r="P40" s="51">
        <v>1.89</v>
      </c>
      <c r="Q40" s="51">
        <v>1.98</v>
      </c>
      <c r="R40" s="51">
        <v>2.25</v>
      </c>
      <c r="S40" s="51">
        <v>2.52</v>
      </c>
      <c r="T40" s="51">
        <v>2.79</v>
      </c>
      <c r="U40" s="51">
        <v>1.71</v>
      </c>
      <c r="V40" s="51">
        <v>1.89</v>
      </c>
      <c r="W40" s="51">
        <v>1.98</v>
      </c>
      <c r="X40" s="51">
        <v>1.44</v>
      </c>
      <c r="Y40" s="51">
        <v>1.08</v>
      </c>
      <c r="Z40" s="51">
        <v>1.62</v>
      </c>
    </row>
    <row r="41" spans="2:26">
      <c r="B41" s="51"/>
      <c r="C41" s="52">
        <v>39221</v>
      </c>
      <c r="D41" s="51">
        <v>5.85</v>
      </c>
      <c r="E41" s="51">
        <v>6.57</v>
      </c>
      <c r="F41" s="51">
        <v>6.75</v>
      </c>
      <c r="G41" s="51">
        <v>6.93</v>
      </c>
      <c r="H41" s="51">
        <v>7.2</v>
      </c>
      <c r="I41" s="51">
        <v>4.41</v>
      </c>
      <c r="J41" s="51">
        <v>4.86</v>
      </c>
      <c r="L41" s="51"/>
      <c r="M41" s="52">
        <v>36321</v>
      </c>
      <c r="N41" s="51">
        <v>0.99</v>
      </c>
      <c r="O41" s="51">
        <v>1.98</v>
      </c>
      <c r="P41" s="51">
        <v>2.16</v>
      </c>
      <c r="Q41" s="51">
        <v>2.25</v>
      </c>
      <c r="R41" s="51">
        <v>2.43</v>
      </c>
      <c r="S41" s="51">
        <v>2.7</v>
      </c>
      <c r="T41" s="51">
        <v>2.88</v>
      </c>
      <c r="U41" s="51">
        <v>1.98</v>
      </c>
      <c r="V41" s="51">
        <v>2.16</v>
      </c>
      <c r="W41" s="51">
        <v>2.25</v>
      </c>
      <c r="X41" s="51">
        <v>1.71</v>
      </c>
      <c r="Y41" s="51">
        <v>1.35</v>
      </c>
      <c r="Z41" s="51">
        <v>1.89</v>
      </c>
    </row>
    <row r="42" spans="2:26">
      <c r="B42" s="51"/>
      <c r="C42" s="52">
        <v>39159</v>
      </c>
      <c r="D42" s="51">
        <v>5.67</v>
      </c>
      <c r="E42" s="51">
        <v>6.39</v>
      </c>
      <c r="F42" s="51">
        <v>6.57</v>
      </c>
      <c r="G42" s="51">
        <v>6.75</v>
      </c>
      <c r="H42" s="51">
        <v>7.11</v>
      </c>
      <c r="I42" s="51">
        <v>4.32</v>
      </c>
      <c r="J42" s="51">
        <v>4.77</v>
      </c>
      <c r="L42" s="51"/>
      <c r="M42" s="52">
        <v>36136</v>
      </c>
      <c r="N42" s="51">
        <v>1.44</v>
      </c>
      <c r="O42" s="51">
        <v>2.79</v>
      </c>
      <c r="P42" s="51">
        <v>3.33</v>
      </c>
      <c r="Q42" s="51">
        <v>3.78</v>
      </c>
      <c r="R42" s="51">
        <v>3.96</v>
      </c>
      <c r="S42" s="51">
        <v>4.14</v>
      </c>
      <c r="T42" s="51">
        <v>4.5</v>
      </c>
      <c r="U42" s="51">
        <v>3.33</v>
      </c>
      <c r="V42" s="51">
        <v>3.78</v>
      </c>
      <c r="W42" s="51">
        <v>4.14</v>
      </c>
      <c r="X42" s="51">
        <v>2.16</v>
      </c>
      <c r="Y42" s="51">
        <v>1.8</v>
      </c>
      <c r="Z42" s="51">
        <v>2.34</v>
      </c>
    </row>
    <row r="43" spans="2:26">
      <c r="B43" s="51"/>
      <c r="C43" s="52">
        <v>38948</v>
      </c>
      <c r="D43" s="51">
        <v>5.58</v>
      </c>
      <c r="E43" s="51">
        <v>6.12</v>
      </c>
      <c r="F43" s="51">
        <v>6.3</v>
      </c>
      <c r="G43" s="51">
        <v>6.48</v>
      </c>
      <c r="H43" s="51">
        <v>6.84</v>
      </c>
      <c r="I43" s="51">
        <v>4.14</v>
      </c>
      <c r="J43" s="51">
        <v>4.59</v>
      </c>
      <c r="L43" s="51"/>
      <c r="M43" s="52">
        <v>35977</v>
      </c>
      <c r="N43" s="51">
        <v>1.44</v>
      </c>
      <c r="O43" s="51">
        <v>2.79</v>
      </c>
      <c r="P43" s="51">
        <v>3.96</v>
      </c>
      <c r="Q43" s="51">
        <v>4.77</v>
      </c>
      <c r="R43" s="51">
        <v>4.86</v>
      </c>
      <c r="S43" s="51">
        <v>4.95</v>
      </c>
      <c r="T43" s="51">
        <v>5.22</v>
      </c>
      <c r="U43" s="51">
        <v>3.96</v>
      </c>
      <c r="V43" s="51">
        <v>4.77</v>
      </c>
      <c r="W43" s="51">
        <v>4.95</v>
      </c>
      <c r="X43" s="51" t="s">
        <v>2462</v>
      </c>
      <c r="Y43" s="51" t="s">
        <v>2462</v>
      </c>
      <c r="Z43" s="51" t="s">
        <v>2462</v>
      </c>
    </row>
    <row r="44" spans="2:26">
      <c r="B44" s="51"/>
      <c r="C44" s="52">
        <v>38835</v>
      </c>
      <c r="D44" s="51">
        <v>5.4</v>
      </c>
      <c r="E44" s="51">
        <v>5.85</v>
      </c>
      <c r="F44" s="51">
        <v>6.03</v>
      </c>
      <c r="G44" s="51">
        <v>6.12</v>
      </c>
      <c r="H44" s="51">
        <v>6.39</v>
      </c>
      <c r="I44" s="51">
        <v>4.14</v>
      </c>
      <c r="J44" s="51">
        <v>4.59</v>
      </c>
      <c r="L44" s="51"/>
      <c r="M44" s="52">
        <v>35879</v>
      </c>
      <c r="N44" s="51">
        <v>1.71</v>
      </c>
      <c r="O44" s="51">
        <v>2.88</v>
      </c>
      <c r="P44" s="51">
        <v>4.14</v>
      </c>
      <c r="Q44" s="51">
        <v>5.22</v>
      </c>
      <c r="R44" s="51">
        <v>5.58</v>
      </c>
      <c r="S44" s="51">
        <v>6.21</v>
      </c>
      <c r="T44" s="51">
        <v>6.66</v>
      </c>
      <c r="U44" s="51">
        <v>4.14</v>
      </c>
      <c r="V44" s="51">
        <v>5.22</v>
      </c>
      <c r="W44" s="51">
        <v>6.21</v>
      </c>
      <c r="X44" s="51" t="s">
        <v>2462</v>
      </c>
      <c r="Y44" s="51" t="s">
        <v>2462</v>
      </c>
      <c r="Z44" s="51" t="s">
        <v>2462</v>
      </c>
    </row>
    <row r="45" spans="2:26">
      <c r="B45" s="51"/>
      <c r="C45" s="52">
        <v>38428</v>
      </c>
      <c r="D45" s="51">
        <v>5.22</v>
      </c>
      <c r="E45" s="51">
        <v>5.58</v>
      </c>
      <c r="F45" s="51">
        <v>5.76</v>
      </c>
      <c r="G45" s="51">
        <v>5.85</v>
      </c>
      <c r="H45" s="51">
        <v>6.12</v>
      </c>
      <c r="I45" s="51">
        <v>3.96</v>
      </c>
      <c r="J45" s="51">
        <v>4.41</v>
      </c>
      <c r="L45" s="51"/>
      <c r="M45" s="52">
        <v>35726</v>
      </c>
      <c r="N45" s="51">
        <v>1.71</v>
      </c>
      <c r="O45" s="51">
        <v>2.88</v>
      </c>
      <c r="P45" s="51">
        <v>4.14</v>
      </c>
      <c r="Q45" s="51">
        <v>5.67</v>
      </c>
      <c r="R45" s="51">
        <v>5.94</v>
      </c>
      <c r="S45" s="51">
        <v>6.21</v>
      </c>
      <c r="T45" s="51">
        <v>6.66</v>
      </c>
      <c r="U45" s="51">
        <v>4.14</v>
      </c>
      <c r="V45" s="51">
        <v>5.67</v>
      </c>
      <c r="W45" s="51">
        <v>6.21</v>
      </c>
      <c r="X45" s="51" t="s">
        <v>2462</v>
      </c>
      <c r="Y45" s="51" t="s">
        <v>2462</v>
      </c>
      <c r="Z45" s="51" t="s">
        <v>2462</v>
      </c>
    </row>
    <row r="46" spans="2:26">
      <c r="B46" s="51"/>
      <c r="C46" s="52">
        <v>38289</v>
      </c>
      <c r="D46" s="51">
        <v>5.22</v>
      </c>
      <c r="E46" s="51">
        <v>5.58</v>
      </c>
      <c r="F46" s="51">
        <v>5.76</v>
      </c>
      <c r="G46" s="51">
        <v>5.85</v>
      </c>
      <c r="H46" s="51">
        <v>6.12</v>
      </c>
      <c r="I46" s="51">
        <v>3.78</v>
      </c>
      <c r="J46" s="51">
        <v>4.23</v>
      </c>
      <c r="L46" s="51"/>
      <c r="M46" s="52">
        <v>35300</v>
      </c>
      <c r="N46" s="51">
        <v>1.98</v>
      </c>
      <c r="O46" s="51">
        <v>3.33</v>
      </c>
      <c r="P46" s="51">
        <v>5.4</v>
      </c>
      <c r="Q46" s="51">
        <v>7.47</v>
      </c>
      <c r="R46" s="51">
        <v>7.92</v>
      </c>
      <c r="S46" s="51">
        <v>8.28</v>
      </c>
      <c r="T46" s="51">
        <v>9</v>
      </c>
      <c r="U46" s="51">
        <v>5.4</v>
      </c>
      <c r="V46" s="51">
        <v>7.47</v>
      </c>
      <c r="W46" s="51">
        <v>8.28</v>
      </c>
      <c r="X46" s="51" t="s">
        <v>2462</v>
      </c>
      <c r="Y46" s="51" t="s">
        <v>2462</v>
      </c>
      <c r="Z46" s="51" t="s">
        <v>2462</v>
      </c>
    </row>
    <row r="47" spans="2:26">
      <c r="B47" s="51"/>
      <c r="C47" s="52">
        <v>37308</v>
      </c>
      <c r="D47" s="51">
        <v>5.04</v>
      </c>
      <c r="E47" s="51">
        <v>5.31</v>
      </c>
      <c r="F47" s="51">
        <v>5.49</v>
      </c>
      <c r="G47" s="51">
        <v>5.58</v>
      </c>
      <c r="H47" s="51">
        <v>5.76</v>
      </c>
      <c r="I47" s="51">
        <v>3.6</v>
      </c>
      <c r="J47" s="51">
        <v>4.05</v>
      </c>
      <c r="L47" s="51"/>
      <c r="M47" s="52">
        <v>35186</v>
      </c>
      <c r="N47" s="51">
        <v>2.97</v>
      </c>
      <c r="O47" s="51">
        <v>4.86</v>
      </c>
      <c r="P47" s="51">
        <v>7.2</v>
      </c>
      <c r="Q47" s="51">
        <v>9.18</v>
      </c>
      <c r="R47" s="51">
        <v>9.9</v>
      </c>
      <c r="S47" s="51">
        <v>10.8</v>
      </c>
      <c r="T47" s="51">
        <v>12.06</v>
      </c>
      <c r="U47" s="51">
        <v>7.2</v>
      </c>
      <c r="V47" s="51">
        <v>9.18</v>
      </c>
      <c r="W47" s="51">
        <v>10.8</v>
      </c>
      <c r="X47" s="51" t="s">
        <v>2462</v>
      </c>
      <c r="Y47" s="51" t="s">
        <v>2462</v>
      </c>
      <c r="Z47" s="51" t="s">
        <v>2462</v>
      </c>
    </row>
    <row r="48" spans="2:26">
      <c r="B48" s="51"/>
      <c r="C48" s="52">
        <v>36321</v>
      </c>
      <c r="D48" s="51">
        <v>5.58</v>
      </c>
      <c r="E48" s="51">
        <v>5.85</v>
      </c>
      <c r="F48" s="51">
        <v>5.94</v>
      </c>
      <c r="G48" s="51">
        <v>6.03</v>
      </c>
      <c r="H48" s="51">
        <v>6.21</v>
      </c>
      <c r="I48" s="51">
        <v>4.14</v>
      </c>
      <c r="J48" s="51">
        <v>4.59</v>
      </c>
      <c r="L48" s="51"/>
      <c r="M48" s="52">
        <v>34161</v>
      </c>
      <c r="N48" s="51">
        <v>3.15</v>
      </c>
      <c r="O48" s="51">
        <v>6.66</v>
      </c>
      <c r="P48" s="51">
        <v>9</v>
      </c>
      <c r="Q48" s="51">
        <v>10.98</v>
      </c>
      <c r="R48" s="51">
        <v>11.7</v>
      </c>
      <c r="S48" s="51">
        <v>12.24</v>
      </c>
      <c r="T48" s="51">
        <v>13.86</v>
      </c>
      <c r="U48" s="51">
        <v>9</v>
      </c>
      <c r="V48" s="51">
        <v>10.98</v>
      </c>
      <c r="W48" s="51">
        <v>12.24</v>
      </c>
      <c r="X48" s="51" t="s">
        <v>2462</v>
      </c>
      <c r="Y48" s="51" t="s">
        <v>2462</v>
      </c>
      <c r="Z48" s="51" t="s">
        <v>2462</v>
      </c>
    </row>
    <row r="49" spans="2:26">
      <c r="B49" s="51"/>
      <c r="C49" s="52">
        <v>36136</v>
      </c>
      <c r="D49" s="51">
        <v>6.12</v>
      </c>
      <c r="E49" s="51">
        <v>6.39</v>
      </c>
      <c r="F49" s="51">
        <v>6.66</v>
      </c>
      <c r="G49" s="51">
        <v>7.2</v>
      </c>
      <c r="H49" s="51">
        <v>7.56</v>
      </c>
      <c r="I49" s="51">
        <v>0</v>
      </c>
      <c r="J49" s="51">
        <v>0</v>
      </c>
      <c r="L49" s="51"/>
      <c r="M49" s="52">
        <v>34104</v>
      </c>
      <c r="N49" s="51">
        <v>2.16</v>
      </c>
      <c r="O49" s="51">
        <v>4.86</v>
      </c>
      <c r="P49" s="51">
        <v>7.2</v>
      </c>
      <c r="Q49" s="51">
        <v>9.18</v>
      </c>
      <c r="R49" s="51">
        <v>9.9</v>
      </c>
      <c r="S49" s="51">
        <v>10.8</v>
      </c>
      <c r="T49" s="51">
        <v>12.06</v>
      </c>
      <c r="U49" s="51">
        <v>7.2</v>
      </c>
      <c r="V49" s="51">
        <v>9.18</v>
      </c>
      <c r="W49" s="51">
        <v>10.8</v>
      </c>
      <c r="X49" s="51" t="s">
        <v>2462</v>
      </c>
      <c r="Y49" s="51" t="s">
        <v>2462</v>
      </c>
      <c r="Z49" s="51" t="s">
        <v>2462</v>
      </c>
    </row>
    <row r="50" spans="2:26">
      <c r="B50" s="51"/>
      <c r="C50" s="52">
        <v>35977</v>
      </c>
      <c r="D50" s="51">
        <v>6.57</v>
      </c>
      <c r="E50" s="51">
        <v>6.93</v>
      </c>
      <c r="F50" s="51">
        <v>7.11</v>
      </c>
      <c r="G50" s="51">
        <v>7.65</v>
      </c>
      <c r="H50" s="51">
        <v>8.01</v>
      </c>
      <c r="I50" s="51">
        <v>0</v>
      </c>
      <c r="J50" s="51">
        <v>0</v>
      </c>
      <c r="L50" s="51"/>
      <c r="M50" s="52">
        <v>33349</v>
      </c>
      <c r="N50" s="51">
        <v>1.8</v>
      </c>
      <c r="O50" s="51">
        <v>3.24</v>
      </c>
      <c r="P50" s="51">
        <v>5.4</v>
      </c>
      <c r="Q50" s="51">
        <v>7.56</v>
      </c>
      <c r="R50" s="51">
        <v>7.92</v>
      </c>
      <c r="S50" s="51">
        <v>8.28</v>
      </c>
      <c r="T50" s="51">
        <v>9</v>
      </c>
      <c r="U50" s="51">
        <v>6.12</v>
      </c>
      <c r="V50" s="51">
        <v>6.84</v>
      </c>
      <c r="W50" s="51">
        <v>7.56</v>
      </c>
      <c r="X50" s="51" t="s">
        <v>2462</v>
      </c>
      <c r="Y50" s="51" t="s">
        <v>2462</v>
      </c>
      <c r="Z50" s="51" t="s">
        <v>2462</v>
      </c>
    </row>
    <row r="51" spans="2:26">
      <c r="B51" s="51"/>
      <c r="C51" s="52">
        <v>35879</v>
      </c>
      <c r="D51" s="51">
        <v>7.02</v>
      </c>
      <c r="E51" s="51">
        <v>7.92</v>
      </c>
      <c r="F51" s="51">
        <v>9</v>
      </c>
      <c r="G51" s="51">
        <v>9.72</v>
      </c>
      <c r="H51" s="51">
        <v>10.35</v>
      </c>
      <c r="I51" s="51">
        <v>0</v>
      </c>
      <c r="J51" s="51">
        <v>0</v>
      </c>
      <c r="L51" s="51"/>
      <c r="M51" s="52">
        <v>33106</v>
      </c>
      <c r="N51" s="51">
        <v>2.16</v>
      </c>
      <c r="O51" s="51">
        <v>4.32</v>
      </c>
      <c r="P51" s="51">
        <v>6.48</v>
      </c>
      <c r="Q51" s="51">
        <v>8.64</v>
      </c>
      <c r="R51" s="51">
        <v>9.36</v>
      </c>
      <c r="S51" s="51">
        <v>10.08</v>
      </c>
      <c r="T51" s="51">
        <v>11.52</v>
      </c>
      <c r="U51" s="51">
        <v>7.2</v>
      </c>
      <c r="V51" s="51">
        <v>8.64</v>
      </c>
      <c r="W51" s="51">
        <v>10.08</v>
      </c>
      <c r="X51" s="51" t="s">
        <v>2462</v>
      </c>
      <c r="Y51" s="51" t="s">
        <v>2462</v>
      </c>
      <c r="Z51" s="51" t="s">
        <v>2462</v>
      </c>
    </row>
    <row r="52" spans="2:26">
      <c r="B52" s="51"/>
      <c r="C52" s="52">
        <v>35726</v>
      </c>
      <c r="D52" s="51">
        <v>7.65</v>
      </c>
      <c r="E52" s="51">
        <v>8.64</v>
      </c>
      <c r="F52" s="51">
        <v>9.36</v>
      </c>
      <c r="G52" s="51">
        <v>9.9</v>
      </c>
      <c r="H52" s="51">
        <v>10.53</v>
      </c>
      <c r="I52" s="51">
        <v>0</v>
      </c>
      <c r="J52" s="51">
        <v>0</v>
      </c>
      <c r="L52" s="51"/>
      <c r="M52" s="52">
        <v>32978</v>
      </c>
      <c r="N52" s="51">
        <v>2.88</v>
      </c>
      <c r="O52" s="51">
        <v>6.3</v>
      </c>
      <c r="P52" s="51">
        <v>7.74</v>
      </c>
      <c r="Q52" s="51">
        <v>10.08</v>
      </c>
      <c r="R52" s="51">
        <v>10.98</v>
      </c>
      <c r="S52" s="51">
        <v>11.88</v>
      </c>
      <c r="T52" s="51">
        <v>13.68</v>
      </c>
      <c r="U52" s="51" t="s">
        <v>2462</v>
      </c>
      <c r="V52" s="51" t="s">
        <v>2462</v>
      </c>
      <c r="W52" s="51" t="s">
        <v>2462</v>
      </c>
      <c r="X52" s="51" t="s">
        <v>2462</v>
      </c>
      <c r="Y52" s="51" t="s">
        <v>2462</v>
      </c>
      <c r="Z52" s="51" t="s">
        <v>2462</v>
      </c>
    </row>
    <row r="53" spans="2:26">
      <c r="B53" s="51"/>
      <c r="C53" s="52">
        <v>35300</v>
      </c>
      <c r="D53" s="51">
        <v>9.18</v>
      </c>
      <c r="E53" s="51">
        <v>10.08</v>
      </c>
      <c r="F53" s="51">
        <v>10.98</v>
      </c>
      <c r="G53" s="51">
        <v>11.7</v>
      </c>
      <c r="H53" s="51">
        <v>12.42</v>
      </c>
      <c r="I53" s="51">
        <v>0</v>
      </c>
      <c r="J53" s="51">
        <v>0</v>
      </c>
      <c r="L53" s="51"/>
      <c r="M53" s="52"/>
      <c r="N53" s="51"/>
      <c r="O53" s="51"/>
      <c r="P53" s="51"/>
      <c r="Q53" s="51"/>
      <c r="R53" s="51"/>
      <c r="S53" s="51"/>
      <c r="T53" s="51"/>
      <c r="U53" s="51"/>
      <c r="V53" s="51"/>
      <c r="W53" s="51"/>
      <c r="X53" s="51"/>
      <c r="Y53" s="51"/>
      <c r="Z53" s="51"/>
    </row>
    <row r="54" spans="2:26">
      <c r="B54" s="51"/>
      <c r="C54" s="52">
        <v>35186</v>
      </c>
      <c r="D54" s="51">
        <v>9.72</v>
      </c>
      <c r="E54" s="51">
        <v>10.98</v>
      </c>
      <c r="F54" s="51">
        <v>13.14</v>
      </c>
      <c r="G54" s="51">
        <v>14.94</v>
      </c>
      <c r="H54" s="51">
        <v>15.12</v>
      </c>
      <c r="I54" s="51">
        <v>0</v>
      </c>
      <c r="J54" s="51">
        <v>0</v>
      </c>
      <c r="L54" s="51"/>
      <c r="M54" s="52"/>
      <c r="N54" s="51"/>
      <c r="O54" s="51"/>
      <c r="P54" s="51"/>
      <c r="Q54" s="51"/>
      <c r="R54" s="51"/>
      <c r="S54" s="51"/>
      <c r="T54" s="51"/>
      <c r="U54" s="51"/>
      <c r="V54" s="51"/>
      <c r="W54" s="51"/>
      <c r="X54" s="51"/>
      <c r="Y54" s="51"/>
      <c r="Z54" s="51"/>
    </row>
    <row r="55" spans="2:26">
      <c r="B55" s="51"/>
      <c r="C55" s="52">
        <v>34881</v>
      </c>
      <c r="D55" s="51">
        <v>10.08</v>
      </c>
      <c r="E55" s="51">
        <v>12.06</v>
      </c>
      <c r="F55" s="51">
        <v>13.5</v>
      </c>
      <c r="G55" s="51">
        <v>15.12</v>
      </c>
      <c r="H55" s="51">
        <v>15.3</v>
      </c>
      <c r="I55" s="51">
        <v>0</v>
      </c>
      <c r="J55" s="51">
        <v>0</v>
      </c>
      <c r="L55" s="51"/>
      <c r="M55" s="52"/>
      <c r="N55" s="51"/>
      <c r="O55" s="51"/>
      <c r="P55" s="51"/>
      <c r="Q55" s="51"/>
      <c r="R55" s="51"/>
      <c r="S55" s="51"/>
      <c r="T55" s="51"/>
      <c r="U55" s="51"/>
      <c r="V55" s="51"/>
      <c r="W55" s="51"/>
      <c r="X55" s="51"/>
      <c r="Y55" s="51"/>
      <c r="Z55" s="51"/>
    </row>
    <row r="56" spans="2:26">
      <c r="B56" s="51"/>
      <c r="C56" s="52">
        <v>34700</v>
      </c>
      <c r="D56" s="51">
        <v>9</v>
      </c>
      <c r="E56" s="51">
        <v>10.98</v>
      </c>
      <c r="F56" s="51">
        <v>12.96</v>
      </c>
      <c r="G56" s="51">
        <v>14.58</v>
      </c>
      <c r="H56" s="51">
        <v>14.76</v>
      </c>
      <c r="I56" s="51">
        <v>0</v>
      </c>
      <c r="J56" s="51">
        <v>0</v>
      </c>
      <c r="L56" s="51"/>
      <c r="M56" s="52"/>
      <c r="N56" s="51"/>
      <c r="O56" s="51"/>
      <c r="P56" s="51"/>
      <c r="Q56" s="51"/>
      <c r="R56" s="51"/>
      <c r="S56" s="51"/>
      <c r="T56" s="51"/>
      <c r="U56" s="51"/>
      <c r="V56" s="51"/>
      <c r="W56" s="51"/>
      <c r="X56" s="51"/>
      <c r="Y56" s="51"/>
      <c r="Z56" s="51"/>
    </row>
    <row r="57" spans="2:26">
      <c r="B57" s="51"/>
      <c r="C57" s="52">
        <v>34161</v>
      </c>
      <c r="D57" s="51">
        <v>9</v>
      </c>
      <c r="E57" s="51">
        <v>10.98</v>
      </c>
      <c r="F57" s="51">
        <v>12.24</v>
      </c>
      <c r="G57" s="51">
        <v>13.86</v>
      </c>
      <c r="H57" s="51">
        <v>14.04</v>
      </c>
      <c r="I57" s="51">
        <v>0</v>
      </c>
      <c r="J57" s="51">
        <v>0</v>
      </c>
      <c r="L57" s="51"/>
      <c r="M57" s="52"/>
      <c r="N57" s="51"/>
      <c r="O57" s="51"/>
      <c r="P57" s="51"/>
      <c r="Q57" s="51"/>
      <c r="R57" s="51"/>
      <c r="S57" s="51"/>
      <c r="T57" s="51"/>
      <c r="U57" s="51"/>
      <c r="V57" s="51"/>
      <c r="W57" s="51"/>
      <c r="X57" s="51"/>
      <c r="Y57" s="51"/>
      <c r="Z57" s="51"/>
    </row>
    <row r="58" spans="2:26">
      <c r="B58" s="51"/>
      <c r="C58" s="52">
        <v>34104</v>
      </c>
      <c r="D58" s="51">
        <v>8.82</v>
      </c>
      <c r="E58" s="51">
        <v>9.36</v>
      </c>
      <c r="F58" s="51">
        <v>10.8</v>
      </c>
      <c r="G58" s="51">
        <v>12.06</v>
      </c>
      <c r="H58" s="51">
        <v>12.24</v>
      </c>
      <c r="I58" s="51">
        <v>0</v>
      </c>
      <c r="J58" s="51">
        <v>0</v>
      </c>
      <c r="L58" s="51"/>
      <c r="M58" s="52"/>
      <c r="N58" s="51"/>
      <c r="O58" s="51"/>
      <c r="P58" s="51"/>
      <c r="Q58" s="51"/>
      <c r="R58" s="51"/>
      <c r="S58" s="51"/>
      <c r="T58" s="51"/>
      <c r="U58" s="51"/>
      <c r="V58" s="51"/>
      <c r="W58" s="51"/>
      <c r="X58" s="51"/>
      <c r="Y58" s="51"/>
      <c r="Z58" s="51"/>
    </row>
    <row r="59" spans="2:10">
      <c r="B59" s="51"/>
      <c r="C59" s="52">
        <v>33349</v>
      </c>
      <c r="D59" s="51">
        <v>8.1</v>
      </c>
      <c r="E59" s="51">
        <v>8.64</v>
      </c>
      <c r="F59" s="51">
        <v>9</v>
      </c>
      <c r="G59" s="51">
        <v>9.54</v>
      </c>
      <c r="H59" s="51">
        <v>9.72</v>
      </c>
      <c r="I59" s="51">
        <v>0</v>
      </c>
      <c r="J59" s="51">
        <v>0</v>
      </c>
    </row>
    <row r="60" spans="2:10">
      <c r="B60" s="51"/>
      <c r="C60" s="52">
        <v>33318</v>
      </c>
      <c r="D60" s="51">
        <v>9</v>
      </c>
      <c r="E60" s="51">
        <v>10.08</v>
      </c>
      <c r="F60" s="51">
        <v>10.8</v>
      </c>
      <c r="G60" s="51">
        <v>11.52</v>
      </c>
      <c r="H60" s="51">
        <v>11.88</v>
      </c>
      <c r="I60" s="51" t="s">
        <v>2462</v>
      </c>
      <c r="J60" s="51" t="s">
        <v>2462</v>
      </c>
    </row>
    <row r="61" spans="2:10">
      <c r="B61" s="51"/>
      <c r="C61" s="52">
        <v>33106</v>
      </c>
      <c r="D61" s="51">
        <v>8.64</v>
      </c>
      <c r="E61" s="51">
        <v>9.36</v>
      </c>
      <c r="F61" s="51">
        <v>10.08</v>
      </c>
      <c r="G61" s="51">
        <v>10.8</v>
      </c>
      <c r="H61" s="51">
        <v>11.16</v>
      </c>
      <c r="I61" s="51">
        <v>0</v>
      </c>
      <c r="J61" s="51">
        <v>0</v>
      </c>
    </row>
    <row r="62" spans="2:10">
      <c r="B62" s="51"/>
      <c r="C62" s="52">
        <v>32540</v>
      </c>
      <c r="D62" s="51">
        <v>11.34</v>
      </c>
      <c r="E62" s="51">
        <v>11.34</v>
      </c>
      <c r="F62" s="51">
        <v>12.78</v>
      </c>
      <c r="G62" s="51">
        <v>14.4</v>
      </c>
      <c r="H62" s="51">
        <v>19.26</v>
      </c>
      <c r="I62" s="51">
        <v>0</v>
      </c>
      <c r="J62" s="51">
        <v>0</v>
      </c>
    </row>
    <row r="63" spans="2:10">
      <c r="B63" s="51"/>
      <c r="C63" s="52"/>
      <c r="D63" s="51"/>
      <c r="E63" s="51"/>
      <c r="F63" s="51"/>
      <c r="G63" s="51"/>
      <c r="H63" s="51"/>
      <c r="I63" s="51"/>
      <c r="J63" s="51"/>
    </row>
    <row r="64" spans="2:10">
      <c r="B64" s="56"/>
      <c r="C64" s="57"/>
      <c r="D64" s="56"/>
      <c r="E64" s="56"/>
      <c r="F64" s="56"/>
      <c r="G64" s="56"/>
      <c r="H64" s="56"/>
      <c r="I64" s="56"/>
      <c r="J64" s="56"/>
    </row>
    <row r="65" spans="2:10">
      <c r="B65" s="56"/>
      <c r="C65" s="57"/>
      <c r="D65" s="56"/>
      <c r="E65" s="56"/>
      <c r="F65" s="56"/>
      <c r="G65" s="56"/>
      <c r="H65" s="56"/>
      <c r="I65" s="56"/>
      <c r="J65" s="56"/>
    </row>
    <row r="66" spans="2:10">
      <c r="B66" s="56"/>
      <c r="C66" s="57"/>
      <c r="D66" s="56"/>
      <c r="E66" s="56"/>
      <c r="F66" s="56"/>
      <c r="G66" s="56"/>
      <c r="H66" s="56"/>
      <c r="I66" s="56"/>
      <c r="J66" s="56"/>
    </row>
    <row r="67" spans="2:10">
      <c r="B67" s="3"/>
      <c r="C67" s="3"/>
      <c r="D67" s="3"/>
      <c r="E67" s="3"/>
      <c r="F67" s="3"/>
      <c r="G67" s="3"/>
      <c r="H67" s="3"/>
      <c r="I67" s="3"/>
      <c r="J67" s="3"/>
    </row>
    <row r="68" spans="2:10">
      <c r="B68" s="3"/>
      <c r="C68" s="3"/>
      <c r="D68" s="3"/>
      <c r="E68" s="3"/>
      <c r="F68" s="3"/>
      <c r="G68" s="3"/>
      <c r="H68" s="3"/>
      <c r="I68" s="3"/>
      <c r="J68" s="3"/>
    </row>
  </sheetData>
  <sheetProtection password="CEE9" sheet="1" objects="1" scenarios="1"/>
  <pageMargins left="0.7" right="0.7" top="0.75" bottom="0.75" header="0.3" footer="0.3"/>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2060"/>
  </sheetPr>
  <dimension ref="A1:E46"/>
  <sheetViews>
    <sheetView view="pageLayout" zoomScale="80" zoomScaleNormal="100" workbookViewId="0">
      <selection activeCell="A2" sqref="A2:E2"/>
    </sheetView>
  </sheetViews>
  <sheetFormatPr defaultColWidth="9" defaultRowHeight="13.5" outlineLevelCol="4"/>
  <cols>
    <col min="1" max="1" width="4.125" style="3492" customWidth="1"/>
    <col min="2" max="2" width="37.875" style="3492" customWidth="1"/>
    <col min="3" max="3" width="16.125" style="3492" customWidth="1"/>
    <col min="4" max="4" width="22.25" style="3492" customWidth="1"/>
    <col min="5" max="5" width="4.125" style="3492" customWidth="1"/>
    <col min="6" max="7" width="13" style="3492" customWidth="1"/>
    <col min="8" max="16384" width="9" style="3492"/>
  </cols>
  <sheetData>
    <row r="1" ht="18.75" spans="1:5">
      <c r="A1" s="3493" t="s">
        <v>86</v>
      </c>
      <c r="B1" s="3494"/>
      <c r="C1" s="3494"/>
      <c r="D1" s="3494"/>
      <c r="E1" s="3494"/>
    </row>
    <row r="2" ht="78.75" customHeight="1" spans="1:5">
      <c r="A2" s="3495" t="str">
        <f>"评估专业人员根据估价的目的，按照估价的程序，采用科学的估价方法，在认真分析现有资料的基础上，"&amp;IF(项目基本情况!D5="房地产市场价值","结合本次评估的特殊要求，","结合抵押贷款的特殊要求，")&amp;"通过仔细测算和认真分析各种影响房地产价格的因素，确定估价对象在价值时点的房地产预评估价值，详见估价结果一览表。"</f>
        <v>评估专业人员根据估价的目的，按照估价的程序，采用科学的估价方法，在认真分析现有资料的基础上，结合抵押贷款的特殊要求，通过仔细测算和认真分析各种影响房地产价格的因素，确定估价对象在价值时点的房地产预评估价值，详见估价结果一览表。</v>
      </c>
      <c r="B2" s="3495"/>
      <c r="C2" s="3495"/>
      <c r="D2" s="3495"/>
      <c r="E2" s="3495"/>
    </row>
    <row r="3" customHeight="1" spans="1:5">
      <c r="A3" s="3496"/>
      <c r="B3" s="3496"/>
      <c r="C3" s="3496"/>
      <c r="D3" s="3496"/>
      <c r="E3" s="3496"/>
    </row>
    <row r="4" ht="19.5" spans="1:5">
      <c r="A4" s="3497" t="str">
        <f>IF(项目基本情况!D5="房地产市场价值","估价结果一览表（市场价值不需本页表格)","估价结果一览表")</f>
        <v>估价结果一览表</v>
      </c>
      <c r="B4" s="3497"/>
      <c r="C4" s="3497"/>
      <c r="D4" s="3497"/>
      <c r="E4" s="3497"/>
    </row>
    <row r="5" ht="14.25" customHeight="1" spans="1:5">
      <c r="A5" s="3494"/>
      <c r="B5" s="3498" t="s">
        <v>87</v>
      </c>
      <c r="C5" s="3499" t="s">
        <v>88</v>
      </c>
      <c r="D5" s="3500"/>
      <c r="E5" s="3494"/>
    </row>
    <row r="6" ht="14.25" spans="1:5">
      <c r="A6" s="3494"/>
      <c r="B6" s="3501" t="str">
        <f>项目基本情况!I1</f>
        <v>北京市房地产</v>
      </c>
      <c r="C6" s="3502">
        <f>项目基本情况!C12</f>
        <v>246.59</v>
      </c>
      <c r="D6" s="3502"/>
      <c r="E6" s="3494"/>
    </row>
    <row r="7" ht="14.25" spans="1:5">
      <c r="A7" s="3494"/>
      <c r="B7" s="3503" t="s">
        <v>89</v>
      </c>
      <c r="C7" s="3504" t="str">
        <f>IF('数据-取费表'!B3="万元","总价（万元）","总价（元）")</f>
        <v>总价（元）</v>
      </c>
      <c r="D7" s="3502">
        <f ca="1">IF('数据-取费表'!E3="否",结果表!I102,'结果表 (1修多)'!I104)</f>
        <v>38130532</v>
      </c>
      <c r="E7" s="3494"/>
    </row>
    <row r="8" ht="28.5" spans="1:5">
      <c r="A8" s="3494"/>
      <c r="B8" s="3503"/>
      <c r="C8" s="3505" t="s">
        <v>90</v>
      </c>
      <c r="D8" s="3506" t="str">
        <f ca="1">IF('数据-取费表'!B3="万元",NUMBERSTRING(INT(D7*10000),2)&amp;"元整",NUMBERSTRING(INT(D7),2)&amp;"元整")</f>
        <v>叁仟捌佰壹拾叁万零伍佰叁拾贰元整</v>
      </c>
      <c r="E8" s="3494"/>
    </row>
    <row r="9" ht="14.25" spans="1:5">
      <c r="A9" s="3494"/>
      <c r="B9" s="3503"/>
      <c r="C9" s="3507" t="s">
        <v>91</v>
      </c>
      <c r="D9" s="3502">
        <f ca="1">IF('数据-取费表'!E3="否",结果表!I103,'结果表 (1修多)'!I105)</f>
        <v>773580004</v>
      </c>
      <c r="E9" s="3494"/>
    </row>
    <row r="10" ht="14.25" spans="1:5">
      <c r="A10" s="3494"/>
      <c r="B10" s="3501" t="str">
        <f>IF('数据-取费表'!E3="否",结果表!F105,'结果表 (1修多)'!F107)</f>
        <v>2.估价师所知悉的法定优先受偿款</v>
      </c>
      <c r="C10" s="3508" t="str">
        <f>IF('数据-取费表'!B3="万元","总额（万元）","总额（元）")</f>
        <v>总额（元）</v>
      </c>
      <c r="D10" s="3502">
        <f>IF('数据-取费表'!E3="否",结果表!I105,'结果表 (1修多)'!I107)</f>
        <v>0</v>
      </c>
      <c r="E10" s="3494"/>
    </row>
    <row r="11" ht="14.25" spans="1:5">
      <c r="A11" s="3494"/>
      <c r="B11" s="3501"/>
      <c r="C11" s="3505" t="s">
        <v>90</v>
      </c>
      <c r="D11" s="3506" t="str">
        <f>IF('数据-取费表'!B3="万元",NUMBERSTRING(INT(D10*10000),2)&amp;"元整",NUMBERSTRING(INT(D10),2)&amp;"元整")</f>
        <v>零元整</v>
      </c>
      <c r="E11" s="3494"/>
    </row>
    <row r="12" ht="14.25" spans="1:5">
      <c r="A12" s="3494"/>
      <c r="B12" s="3509" t="s">
        <v>92</v>
      </c>
      <c r="C12" s="3510" t="str">
        <f>C10</f>
        <v>总额（元）</v>
      </c>
      <c r="D12" s="3511">
        <f>IF('数据-取费表'!E3="否",结果表!I106,'结果表 (1修多)'!I108)</f>
        <v>0</v>
      </c>
      <c r="E12" s="3494"/>
    </row>
    <row r="13" ht="14.25" spans="1:5">
      <c r="A13" s="3494"/>
      <c r="B13" s="3509" t="s">
        <v>93</v>
      </c>
      <c r="C13" s="3510" t="str">
        <f>C10</f>
        <v>总额（元）</v>
      </c>
      <c r="D13" s="3511">
        <f>IF('数据-取费表'!E3="否",结果表!I107,'结果表 (1修多)'!I109)</f>
        <v>0</v>
      </c>
      <c r="E13" s="3494"/>
    </row>
    <row r="14" ht="14.25" spans="1:5">
      <c r="A14" s="3494"/>
      <c r="B14" s="3509" t="s">
        <v>94</v>
      </c>
      <c r="C14" s="3510" t="str">
        <f>C10</f>
        <v>总额（元）</v>
      </c>
      <c r="D14" s="3511">
        <f>IF('数据-取费表'!E3="否",结果表!I108,'结果表 (1修多)'!I110)</f>
        <v>0</v>
      </c>
      <c r="E14" s="3494"/>
    </row>
    <row r="15" ht="14.25" spans="1:5">
      <c r="A15" s="3494"/>
      <c r="B15" s="3501" t="str">
        <f>IF('数据-取费表'!E3="否",结果表!F110,'结果表 (1修多)'!F112)</f>
        <v>3.房地产抵押价值</v>
      </c>
      <c r="C15" s="3512" t="str">
        <f>C7</f>
        <v>总价（元）</v>
      </c>
      <c r="D15" s="3502">
        <f ca="1">IF('数据-取费表'!E3="否",结果表!I110,'结果表 (1修多)'!I112)</f>
        <v>38130532</v>
      </c>
      <c r="E15" s="3494"/>
    </row>
    <row r="16" ht="28.5" spans="1:5">
      <c r="A16" s="3494"/>
      <c r="B16" s="3501"/>
      <c r="C16" s="3505" t="s">
        <v>90</v>
      </c>
      <c r="D16" s="3502" t="str">
        <f ca="1">IF('数据-取费表'!B3="万元",NUMBERSTRING(INT(D15*10000),2)&amp;"元整",NUMBERSTRING(INT(D15),2)&amp;"元整")</f>
        <v>叁仟捌佰壹拾叁万零伍佰叁拾贰元整</v>
      </c>
      <c r="E16" s="3494"/>
    </row>
    <row r="17" ht="14.25" spans="1:5">
      <c r="A17" s="3494"/>
      <c r="B17" s="3501"/>
      <c r="C17" s="3507" t="s">
        <v>91</v>
      </c>
      <c r="D17" s="3502">
        <f ca="1">IF('数据-取费表'!E3="否",结果表!I111,'结果表 (1修多)'!I113)</f>
        <v>773580004</v>
      </c>
      <c r="E17" s="3494"/>
    </row>
    <row r="18" ht="14.25" spans="1:5">
      <c r="A18" s="3494"/>
      <c r="B18" s="3501" t="str">
        <f>IF('数据-取费表'!E3="否",结果表!F112,'结果表 (1修多)'!F114)</f>
        <v>——</v>
      </c>
      <c r="C18" s="3512" t="str">
        <f>C7</f>
        <v>总价（元）</v>
      </c>
      <c r="D18" s="3502" t="str">
        <f ca="1">IF('数据-取费表'!E3="否",结果表!I112,'结果表 (1修多)'!I114)</f>
        <v>——</v>
      </c>
      <c r="E18" s="3494"/>
    </row>
    <row r="19" ht="14.25" spans="1:5">
      <c r="A19" s="3494"/>
      <c r="B19" s="3501"/>
      <c r="C19" s="3505" t="s">
        <v>90</v>
      </c>
      <c r="D19" s="3502" t="e">
        <f ca="1">IF('数据-取费表'!B3="万元",NUMBERSTRING(INT(D18*10000),2)&amp;"元整",NUMBERSTRING(INT(D18),2)&amp;"元整")</f>
        <v>#VALUE!</v>
      </c>
      <c r="E19" s="3494"/>
    </row>
    <row r="20" ht="14.25" spans="1:5">
      <c r="A20" s="3494"/>
      <c r="B20" s="3501"/>
      <c r="C20" s="3507" t="s">
        <v>91</v>
      </c>
      <c r="D20" s="3502" t="str">
        <f ca="1">IF('数据-取费表'!E3="否",结果表!I113,'结果表 (1修多)'!I115)</f>
        <v>——</v>
      </c>
      <c r="E20" s="3494"/>
    </row>
    <row r="21" ht="14.25" spans="1:5">
      <c r="A21" s="3494"/>
      <c r="B21" s="3503" t="str">
        <f>IF('数据-取费表'!E3="否",结果表!F114,'结果表 (1修多)'!F116)</f>
        <v>——</v>
      </c>
      <c r="C21" s="3504" t="str">
        <f>C7</f>
        <v>总价（元）</v>
      </c>
      <c r="D21" s="3502" t="str">
        <f ca="1">IF('数据-取费表'!E3="否",结果表!I114,'结果表 (1修多)'!I116)</f>
        <v>——</v>
      </c>
      <c r="E21" s="3494"/>
    </row>
    <row r="22" ht="14.25" spans="1:5">
      <c r="A22" s="3494"/>
      <c r="B22" s="3503"/>
      <c r="C22" s="3505" t="s">
        <v>90</v>
      </c>
      <c r="D22" s="3506" t="e">
        <f ca="1">IF('数据-取费表'!B3="万元",NUMBERSTRING(INT(D21*10000),2)&amp;"元整",NUMBERSTRING(INT(D21),2)&amp;"元整")</f>
        <v>#VALUE!</v>
      </c>
      <c r="E22" s="3494"/>
    </row>
    <row r="23" ht="15" spans="1:5">
      <c r="A23" s="3494"/>
      <c r="B23" s="3513"/>
      <c r="C23" s="3514" t="s">
        <v>91</v>
      </c>
      <c r="D23" s="3515" t="str">
        <f ca="1">IF('数据-取费表'!E3="否",结果表!I115,'结果表 (1修多)'!I117)</f>
        <v>——</v>
      </c>
      <c r="E23" s="3494"/>
    </row>
    <row r="24" ht="14.25" spans="1:5">
      <c r="A24" s="3494"/>
      <c r="B24" s="3494"/>
      <c r="C24" s="3494"/>
      <c r="D24" s="3494"/>
      <c r="E24" s="3494"/>
    </row>
    <row r="25" ht="18.75" customHeight="1" spans="1:5">
      <c r="A25" s="3494"/>
      <c r="B25" s="3516" t="s">
        <v>95</v>
      </c>
      <c r="C25" s="3516"/>
      <c r="D25" s="3516"/>
      <c r="E25" s="3494"/>
    </row>
    <row r="26" ht="18.75" customHeight="1" spans="1:5">
      <c r="A26" s="3494"/>
      <c r="B26" s="3517" t="s">
        <v>96</v>
      </c>
      <c r="C26" s="3518"/>
      <c r="D26" s="3519" t="s">
        <v>97</v>
      </c>
      <c r="E26" s="3494"/>
    </row>
    <row r="27" ht="18.75" customHeight="1" spans="1:5">
      <c r="A27" s="3494"/>
      <c r="B27" s="3520"/>
      <c r="C27" s="3521"/>
      <c r="D27" s="3522"/>
      <c r="E27" s="3494"/>
    </row>
    <row r="28" ht="14.25" spans="1:5">
      <c r="A28" s="3494"/>
      <c r="B28" s="3523" t="s">
        <v>89</v>
      </c>
      <c r="C28" s="3524" t="s">
        <v>98</v>
      </c>
      <c r="D28" s="3525">
        <f ca="1">IF('数据-取费表'!E3="否",结果表!I102,'结果表 (1修多)'!I104)</f>
        <v>38130532</v>
      </c>
      <c r="E28" s="3494"/>
    </row>
    <row r="29" ht="28.5" spans="1:5">
      <c r="A29" s="3494"/>
      <c r="B29" s="3526"/>
      <c r="C29" s="3527" t="s">
        <v>90</v>
      </c>
      <c r="D29" s="3528" t="str">
        <f ca="1">IF('数据-取费表'!B3="万元",NUMBERSTRING(INT(D28*10000),2)&amp;"元整",NUMBERSTRING(INT(D28),2)&amp;"元整")</f>
        <v>叁仟捌佰壹拾叁万零伍佰叁拾贰元整</v>
      </c>
      <c r="E29" s="3494"/>
    </row>
    <row r="30" ht="14.25" spans="1:5">
      <c r="A30" s="3494"/>
      <c r="B30" s="3529"/>
      <c r="C30" s="3507" t="s">
        <v>99</v>
      </c>
      <c r="D30" s="3530">
        <f ca="1">IF('数据-取费表'!E3="否",结果表!I103,'结果表 (1修多)'!I105)</f>
        <v>773580004</v>
      </c>
      <c r="E30" s="3494"/>
    </row>
    <row r="31" ht="14.25" spans="1:5">
      <c r="A31" s="3494"/>
      <c r="B31" s="3531" t="str">
        <f>B10</f>
        <v>2.估价师所知悉的法定优先受偿款</v>
      </c>
      <c r="C31" s="3532" t="s">
        <v>100</v>
      </c>
      <c r="D31" s="3522">
        <f>IF('数据-取费表'!E3="否",结果表!I105,'结果表 (1修多)'!I107)</f>
        <v>0</v>
      </c>
      <c r="E31" s="3494"/>
    </row>
    <row r="32" ht="14.25" spans="1:5">
      <c r="A32" s="3494"/>
      <c r="B32" s="3524"/>
      <c r="C32" s="3527" t="s">
        <v>90</v>
      </c>
      <c r="D32" s="3533" t="str">
        <f>IF('数据-取费表'!B3="万元",NUMBERSTRING(INT(D31*10000),2)&amp;"元整",NUMBERSTRING(INT(D31),2)&amp;"元整")</f>
        <v>零元整</v>
      </c>
      <c r="E32" s="3494"/>
    </row>
    <row r="33" ht="14.25" spans="1:5">
      <c r="A33" s="3494"/>
      <c r="B33" s="3505" t="s">
        <v>92</v>
      </c>
      <c r="C33" s="3505" t="str">
        <f>C31</f>
        <v>总额</v>
      </c>
      <c r="D33" s="3530">
        <f>IF('数据-取费表'!E3="否",结果表!I106,'结果表 (1修多)'!I108)</f>
        <v>0</v>
      </c>
      <c r="E33" s="3494"/>
    </row>
    <row r="34" ht="14.25" spans="1:5">
      <c r="A34" s="3494"/>
      <c r="B34" s="3505" t="s">
        <v>93</v>
      </c>
      <c r="C34" s="3505" t="str">
        <f>C31</f>
        <v>总额</v>
      </c>
      <c r="D34" s="3530">
        <f>IF('数据-取费表'!E3="否",结果表!I107,'结果表 (1修多)'!I109)</f>
        <v>0</v>
      </c>
      <c r="E34" s="3494"/>
    </row>
    <row r="35" ht="14.25" spans="1:5">
      <c r="A35" s="3494"/>
      <c r="B35" s="3505" t="s">
        <v>94</v>
      </c>
      <c r="C35" s="3505" t="str">
        <f>C31</f>
        <v>总额</v>
      </c>
      <c r="D35" s="3530">
        <f>IF('数据-取费表'!E3="否",结果表!I108,'结果表 (1修多)'!I110)</f>
        <v>0</v>
      </c>
      <c r="E35" s="3494"/>
    </row>
    <row r="36" ht="14.25" spans="1:5">
      <c r="A36" s="3494"/>
      <c r="B36" s="3532" t="str">
        <f>B15</f>
        <v>3.房地产抵押价值</v>
      </c>
      <c r="C36" s="3532" t="str">
        <f>C28</f>
        <v>总价</v>
      </c>
      <c r="D36" s="3522">
        <f ca="1">IF('数据-取费表'!E3="否",结果表!I110,'结果表 (1修多)'!I112)</f>
        <v>38130532</v>
      </c>
      <c r="E36" s="3494"/>
    </row>
    <row r="37" ht="28.5" spans="1:5">
      <c r="A37" s="3494"/>
      <c r="B37" s="3532"/>
      <c r="C37" s="3527" t="s">
        <v>90</v>
      </c>
      <c r="D37" s="3533" t="str">
        <f ca="1">IF('数据-取费表'!B3="万元",NUMBERSTRING(INT(D36*10000),2)&amp;"元整",NUMBERSTRING(INT(D36),2)&amp;"元整")</f>
        <v>叁仟捌佰壹拾叁万零伍佰叁拾贰元整</v>
      </c>
      <c r="E37" s="3494"/>
    </row>
    <row r="38" ht="14.25" spans="1:5">
      <c r="A38" s="3494"/>
      <c r="B38" s="3532"/>
      <c r="C38" s="3507" t="s">
        <v>99</v>
      </c>
      <c r="D38" s="3530">
        <f ca="1">IF('数据-取费表'!E3="否",结果表!D113,'结果表 (1修多)'!D117)</f>
        <v>773580004</v>
      </c>
      <c r="E38" s="3494"/>
    </row>
    <row r="39" ht="14.25" spans="1:5">
      <c r="A39" s="3494"/>
      <c r="B39" s="3534" t="str">
        <f>B18</f>
        <v>——</v>
      </c>
      <c r="C39" s="3532" t="str">
        <f>C28</f>
        <v>总价</v>
      </c>
      <c r="D39" s="3522" t="str">
        <f ca="1">IF('数据-取费表'!E3="否",结果表!I112,'结果表 (1修多)'!I114)</f>
        <v>——</v>
      </c>
      <c r="E39" s="3494"/>
    </row>
    <row r="40" ht="14.25" spans="1:5">
      <c r="A40" s="3494"/>
      <c r="B40" s="3534"/>
      <c r="C40" s="3527" t="s">
        <v>90</v>
      </c>
      <c r="D40" s="3533" t="e">
        <f ca="1">IF('数据-取费表'!B3="万元",NUMBERSTRING(INT(D39*10000),2)&amp;"元整",NUMBERSTRING(INT(D39),2)&amp;"元整")</f>
        <v>#VALUE!</v>
      </c>
      <c r="E40" s="3494"/>
    </row>
    <row r="41" ht="14.25" spans="1:5">
      <c r="A41" s="3494"/>
      <c r="B41" s="3534"/>
      <c r="C41" s="3507" t="s">
        <v>99</v>
      </c>
      <c r="D41" s="3530" t="str">
        <f ca="1">IF('数据-取费表'!E3="否",结果表!D115,'结果表 (1修多)'!D119)</f>
        <v>——</v>
      </c>
      <c r="E41" s="3494"/>
    </row>
    <row r="42" ht="14.25" spans="1:5">
      <c r="A42" s="3494"/>
      <c r="B42" s="3532" t="str">
        <f>B21</f>
        <v>——</v>
      </c>
      <c r="C42" s="3532" t="str">
        <f>C28</f>
        <v>总价</v>
      </c>
      <c r="D42" s="3522" t="str">
        <f ca="1">IF('数据-取费表'!E3="否",结果表!I114,'结果表 (1修多)'!I116)</f>
        <v>——</v>
      </c>
      <c r="E42" s="3494"/>
    </row>
    <row r="43" ht="14.25" spans="1:5">
      <c r="A43" s="3494"/>
      <c r="B43" s="3531"/>
      <c r="C43" s="3527" t="s">
        <v>90</v>
      </c>
      <c r="D43" s="3535" t="e">
        <f ca="1">IF('数据-取费表'!B3="万元",NUMBERSTRING(INT(D42*10000),2)&amp;"元整",NUMBERSTRING(INT(D42),2)&amp;"元整")</f>
        <v>#VALUE!</v>
      </c>
      <c r="E43" s="3494"/>
    </row>
    <row r="44" ht="15" spans="1:5">
      <c r="A44" s="3494"/>
      <c r="B44" s="3536"/>
      <c r="C44" s="3514" t="s">
        <v>99</v>
      </c>
      <c r="D44" s="3537" t="str">
        <f ca="1">IF('数据-取费表'!E3="否",结果表!D117,'结果表 (1修多)'!D121)</f>
        <v>——</v>
      </c>
      <c r="E44" s="3494"/>
    </row>
    <row r="45" ht="14.25" spans="1:5">
      <c r="A45" s="3494"/>
      <c r="B45" s="3494" t="str">
        <f>IF('数据-取费表'!B3="元","单位：元、元/平方米（单位：人民币）","单位：万元、元/平方米（单位：人民币）")</f>
        <v>单位：元、元/平方米（单位：人民币）</v>
      </c>
      <c r="C45" s="3494"/>
      <c r="D45" s="3494"/>
      <c r="E45" s="3494"/>
    </row>
    <row r="46" ht="18.75" spans="2:2">
      <c r="B46" s="3538" t="s">
        <v>101</v>
      </c>
    </row>
  </sheetData>
  <sheetProtection sheet="1" formatCells="0" formatRows="0" insertRows="0" deleteRows="0" objects="1" scenarios="1"/>
  <mergeCells count="17">
    <mergeCell ref="A2:E2"/>
    <mergeCell ref="A4:E4"/>
    <mergeCell ref="C5:D5"/>
    <mergeCell ref="C6:D6"/>
    <mergeCell ref="B25:D25"/>
    <mergeCell ref="B7:B9"/>
    <mergeCell ref="B10:B11"/>
    <mergeCell ref="B15:B17"/>
    <mergeCell ref="B18:B20"/>
    <mergeCell ref="B21:B23"/>
    <mergeCell ref="B28:B30"/>
    <mergeCell ref="B31:B32"/>
    <mergeCell ref="B36:B38"/>
    <mergeCell ref="B39:B41"/>
    <mergeCell ref="B42:B44"/>
    <mergeCell ref="D26:D27"/>
    <mergeCell ref="B26:C27"/>
  </mergeCells>
  <dataValidations count="1">
    <dataValidation type="list" allowBlank="1" showInputMessage="1" showErrorMessage="1" sqref="B46">
      <formula1>"（转下页）,（本页下方空白无内容）"</formula1>
    </dataValidation>
  </dataValidations>
  <printOptions horizontalCentered="1"/>
  <pageMargins left="0.984251968503937" right="0.78740157480315" top="0.984251968503937" bottom="0.984251968503937" header="0.590551181102362" footer="0.590551181102362"/>
  <pageSetup paperSize="9" orientation="portrait"/>
  <headerFooter>
    <oddHeader>&amp;C&amp;G</oddHeader>
    <oddFooter>&amp;C&amp;P</oddFooter>
  </headerFooter>
  <legacyDrawingHF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2060"/>
  </sheetPr>
  <dimension ref="A1:I26"/>
  <sheetViews>
    <sheetView view="pageLayout" zoomScale="90" zoomScaleNormal="100" workbookViewId="0">
      <selection activeCell="A21" sqref="A21"/>
    </sheetView>
  </sheetViews>
  <sheetFormatPr defaultColWidth="9" defaultRowHeight="14.25"/>
  <cols>
    <col min="1" max="1" width="29.875" style="3462" customWidth="1"/>
    <col min="2" max="9" width="12.25" style="3462" customWidth="1"/>
    <col min="10" max="16384" width="9" style="3462"/>
  </cols>
  <sheetData>
    <row r="1" ht="16.5" spans="1:9">
      <c r="A1" s="3481" t="str">
        <f>IF(项目基本情况!D5="房地产市场价值","估价结果一览表","结果表-2")</f>
        <v>结果表-2</v>
      </c>
      <c r="B1" s="3481"/>
      <c r="C1" s="3481"/>
      <c r="D1" s="3481"/>
      <c r="E1" s="3481"/>
      <c r="F1" s="3481"/>
      <c r="G1" s="3481"/>
      <c r="H1" s="3481"/>
      <c r="I1" s="3481"/>
    </row>
    <row r="2" ht="30" customHeight="1" spans="1:9">
      <c r="A2" s="3482" t="s">
        <v>102</v>
      </c>
      <c r="B2" s="3482" t="s">
        <v>103</v>
      </c>
      <c r="C2" s="3482" t="s">
        <v>104</v>
      </c>
      <c r="D2" s="3482" t="str">
        <f>IF('数据-取费表'!E3="否",结果表!D119,'结果表 (1修多)'!D123)</f>
        <v>出让国有建设用地使用权价值</v>
      </c>
      <c r="E2" s="3482"/>
      <c r="F2" s="3482" t="s">
        <v>105</v>
      </c>
      <c r="G2" s="3482"/>
      <c r="H2" s="3482" t="s">
        <v>106</v>
      </c>
      <c r="I2" s="3482"/>
    </row>
    <row r="3" ht="15" spans="1:9">
      <c r="A3" s="3483"/>
      <c r="B3" s="3483"/>
      <c r="C3" s="3483"/>
      <c r="D3" s="3483" t="s">
        <v>107</v>
      </c>
      <c r="E3" s="3483" t="s">
        <v>108</v>
      </c>
      <c r="F3" s="3483" t="s">
        <v>107</v>
      </c>
      <c r="G3" s="3483" t="s">
        <v>108</v>
      </c>
      <c r="H3" s="3483" t="s">
        <v>107</v>
      </c>
      <c r="I3" s="3483" t="s">
        <v>108</v>
      </c>
    </row>
    <row r="4" ht="46.5" customHeight="1" spans="1:9">
      <c r="A4" s="3483" t="str">
        <f>项目基本情况!I1</f>
        <v>北京市房地产</v>
      </c>
      <c r="B4" s="3483">
        <f>结果表!B121</f>
        <v>246.59</v>
      </c>
      <c r="C4" s="3483">
        <f>结果表!C121</f>
        <v>0</v>
      </c>
      <c r="D4" s="3483">
        <f ca="1">IF('数据-取费表'!E3="否",结果表!D121,'结果表 (1修多)'!D125)</f>
        <v>0</v>
      </c>
      <c r="E4" s="3483">
        <f ca="1">IF('数据-取费表'!E3="否",结果表!E121,'结果表 (1修多)'!E125)</f>
        <v>0</v>
      </c>
      <c r="F4" s="3483">
        <f ca="1">IF('数据-取费表'!E3="否",结果表!F121,'结果表 (1修多)'!F125)</f>
        <v>0</v>
      </c>
      <c r="G4" s="3483">
        <f ca="1">IF('数据-取费表'!E3="否",结果表!G121,'结果表 (1修多)'!G125)</f>
        <v>0</v>
      </c>
      <c r="H4" s="3483">
        <f ca="1">IF('数据-取费表'!E3="否",结果表!H121,'结果表 (1修多)'!H125)</f>
        <v>38130532</v>
      </c>
      <c r="I4" s="3483">
        <f ca="1">IF('数据-取费表'!E3="否",结果表!I121,'结果表 (1修多)'!I125)</f>
        <v>773580004</v>
      </c>
    </row>
    <row r="5" ht="15" spans="1:9">
      <c r="A5" s="3483" t="s">
        <v>109</v>
      </c>
      <c r="B5" s="3483"/>
      <c r="C5" s="3483"/>
      <c r="D5" s="3484" t="str">
        <f ca="1">IF('数据-取费表'!E3="否",结果表!D122,'结果表 (1修多)'!D126)</f>
        <v>零元整</v>
      </c>
      <c r="E5" s="3484"/>
      <c r="F5" s="3484" t="str">
        <f ca="1">IF('数据-取费表'!E3="否",结果表!F122,'结果表 (1修多)'!F126)</f>
        <v>零元整</v>
      </c>
      <c r="G5" s="3484"/>
      <c r="H5" s="3484" t="str">
        <f ca="1">IF('数据-取费表'!E3="否",结果表!H122,'结果表 (1修多)'!H126)</f>
        <v>叁仟捌佰壹拾叁万零伍佰叁拾贰元整</v>
      </c>
      <c r="I5" s="3484"/>
    </row>
    <row r="6" ht="15.75" spans="1:9">
      <c r="A6" s="3485" t="str">
        <f>IF('数据-取费表'!E3="否",结果表!A123,'结果表 (1修多)'!A127)</f>
        <v>估价师所知悉的法定优先受偿款</v>
      </c>
      <c r="B6" s="3485"/>
      <c r="C6" s="3485"/>
      <c r="D6" s="3485">
        <f>IF('数据-取费表'!E3="否",结果表!D123,'结果表 (1修多)'!D127)</f>
        <v>0</v>
      </c>
      <c r="E6" s="3485"/>
      <c r="F6" s="3485"/>
      <c r="G6" s="3485"/>
      <c r="H6" s="3485"/>
      <c r="I6" s="3485"/>
    </row>
    <row r="7" ht="15" spans="1:9">
      <c r="A7" s="3483" t="s">
        <v>109</v>
      </c>
      <c r="B7" s="3483"/>
      <c r="C7" s="3483"/>
      <c r="D7" s="3486">
        <f>IF('数据-取费表'!E3="否",结果表!D124,'结果表 (1修多)'!D128)</f>
        <v>0</v>
      </c>
      <c r="E7" s="3487"/>
      <c r="F7" s="3487"/>
      <c r="G7" s="3487"/>
      <c r="H7" s="3487"/>
      <c r="I7" s="3491"/>
    </row>
    <row r="8" ht="15.75" spans="1:9">
      <c r="A8" s="3485" t="str">
        <f>IF('数据-取费表'!E3="否",结果表!A125,'结果表 (1修多)'!A129)</f>
        <v>房地产抵押价值</v>
      </c>
      <c r="B8" s="3485"/>
      <c r="C8" s="3485"/>
      <c r="D8" s="3485">
        <f ca="1">IF('数据-取费表'!E3="否",结果表!D125,'结果表 (1修多)'!D129)</f>
        <v>38130532</v>
      </c>
      <c r="E8" s="3485"/>
      <c r="F8" s="3485"/>
      <c r="G8" s="3485"/>
      <c r="H8" s="3485"/>
      <c r="I8" s="3485"/>
    </row>
    <row r="9" ht="15" spans="1:9">
      <c r="A9" s="3483" t="s">
        <v>109</v>
      </c>
      <c r="B9" s="3483"/>
      <c r="C9" s="3483"/>
      <c r="D9" s="3484">
        <f ca="1">IF('数据-取费表'!E3="否",结果表!D126,'结果表 (1修多)'!D130)</f>
        <v>773580004</v>
      </c>
      <c r="E9" s="3484"/>
      <c r="F9" s="3484"/>
      <c r="G9" s="3484"/>
      <c r="H9" s="3484"/>
      <c r="I9" s="3484"/>
    </row>
    <row r="10" ht="15.75" spans="1:9">
      <c r="A10" s="3485" t="str">
        <f>IF('数据-取费表'!E3="否",结果表!A127,'结果表 (1修多)'!A131)</f>
        <v/>
      </c>
      <c r="B10" s="3485"/>
      <c r="C10" s="3485"/>
      <c r="D10" s="3485">
        <f ca="1">IF('数据-取费表'!E3="否",结果表!D127,'结果表 (1修多)'!D130)</f>
        <v>773580004</v>
      </c>
      <c r="E10" s="3485"/>
      <c r="F10" s="3485"/>
      <c r="G10" s="3485"/>
      <c r="H10" s="3485"/>
      <c r="I10" s="3485"/>
    </row>
    <row r="11" ht="15" spans="1:9">
      <c r="A11" s="3483" t="s">
        <v>109</v>
      </c>
      <c r="B11" s="3483"/>
      <c r="C11" s="3483"/>
      <c r="D11" s="3484" t="str">
        <f ca="1">IF('数据-取费表'!E3="否",结果表!D128,'结果表 (1修多)'!D132)</f>
        <v>——</v>
      </c>
      <c r="E11" s="3484"/>
      <c r="F11" s="3484"/>
      <c r="G11" s="3484"/>
      <c r="H11" s="3484"/>
      <c r="I11" s="3484"/>
    </row>
    <row r="12" ht="15.75" spans="1:9">
      <c r="A12" s="3485" t="str">
        <f>IF('数据-取费表'!E3="否",结果表!A129,'结果表 (1修多)'!A133)</f>
        <v/>
      </c>
      <c r="B12" s="3485"/>
      <c r="C12" s="3485"/>
      <c r="D12" s="3485" t="str">
        <f ca="1">IF('数据-取费表'!E3="否",结果表!D129,'结果表 (1修多)'!D133)</f>
        <v>——</v>
      </c>
      <c r="E12" s="3485"/>
      <c r="F12" s="3485"/>
      <c r="G12" s="3485"/>
      <c r="H12" s="3485"/>
      <c r="I12" s="3485"/>
    </row>
    <row r="13" ht="15.75" spans="1:9">
      <c r="A13" s="3488" t="s">
        <v>109</v>
      </c>
      <c r="B13" s="3488"/>
      <c r="C13" s="3488"/>
      <c r="D13" s="3489">
        <f>IF('数据-取费表'!E3="否",结果表!D130,'结果表 (1修多)'!D134)</f>
        <v>0</v>
      </c>
      <c r="E13" s="3489"/>
      <c r="F13" s="3489"/>
      <c r="G13" s="3489"/>
      <c r="H13" s="3489"/>
      <c r="I13" s="3489"/>
    </row>
    <row r="14" spans="1:9">
      <c r="A14" s="3490" t="str">
        <f>IF('数据-取费表'!E3="否",结果表!A131,'结果表 (1修多)'!A135)</f>
        <v>单位：平方米、元、元/平方米（币种：人民币）</v>
      </c>
      <c r="B14" s="3490"/>
      <c r="C14" s="3490"/>
      <c r="D14" s="3490"/>
      <c r="E14" s="3490"/>
      <c r="F14" s="3490"/>
      <c r="G14" s="3490"/>
      <c r="H14" s="3490"/>
      <c r="I14" s="3490"/>
    </row>
    <row r="15" spans="1:9">
      <c r="A15" s="3391"/>
      <c r="B15" s="3391"/>
      <c r="C15" s="3391"/>
      <c r="D15" s="3391"/>
      <c r="E15" s="3391"/>
      <c r="F15" s="3391"/>
      <c r="G15" s="3391"/>
      <c r="H15" s="3391"/>
      <c r="I15" s="3391"/>
    </row>
    <row r="16" ht="18.75" spans="1:9">
      <c r="A16" s="3439" t="s">
        <v>110</v>
      </c>
      <c r="B16" s="3391"/>
      <c r="C16" s="3391"/>
      <c r="D16" s="3391"/>
      <c r="E16" s="3391"/>
      <c r="F16" s="3391"/>
      <c r="G16" s="3391"/>
      <c r="H16" s="3391"/>
      <c r="I16" s="3391"/>
    </row>
    <row r="17" spans="1:9">
      <c r="A17" s="3391"/>
      <c r="B17" s="3391"/>
      <c r="C17" s="3391"/>
      <c r="D17" s="3391"/>
      <c r="E17" s="3391"/>
      <c r="F17" s="3391"/>
      <c r="G17" s="3391"/>
      <c r="H17" s="3391"/>
      <c r="I17" s="3391"/>
    </row>
    <row r="18" spans="1:9">
      <c r="A18" s="3391"/>
      <c r="B18" s="3391"/>
      <c r="C18" s="3391"/>
      <c r="D18" s="3391"/>
      <c r="E18" s="3391"/>
      <c r="F18" s="3391"/>
      <c r="G18" s="3391"/>
      <c r="H18" s="3391"/>
      <c r="I18" s="3391"/>
    </row>
    <row r="19" spans="1:9">
      <c r="A19" s="3391"/>
      <c r="B19" s="3391"/>
      <c r="C19" s="3391"/>
      <c r="D19" s="3391"/>
      <c r="E19" s="3391"/>
      <c r="F19" s="3391"/>
      <c r="G19" s="3391"/>
      <c r="H19" s="3391"/>
      <c r="I19" s="3391"/>
    </row>
    <row r="20" spans="1:9">
      <c r="A20" s="3391"/>
      <c r="B20" s="3391"/>
      <c r="C20" s="3391"/>
      <c r="D20" s="3391"/>
      <c r="E20" s="3391"/>
      <c r="F20" s="3391"/>
      <c r="G20" s="3391"/>
      <c r="H20" s="3391"/>
      <c r="I20" s="3391"/>
    </row>
    <row r="21" spans="1:9">
      <c r="A21" s="3391"/>
      <c r="B21" s="3391"/>
      <c r="C21" s="3391"/>
      <c r="D21" s="3391"/>
      <c r="E21" s="3391"/>
      <c r="F21" s="3391"/>
      <c r="G21" s="3391"/>
      <c r="H21" s="3391"/>
      <c r="I21" s="3391"/>
    </row>
    <row r="22" spans="1:9">
      <c r="A22" s="3391"/>
      <c r="B22" s="3391"/>
      <c r="C22" s="3391"/>
      <c r="D22" s="3391"/>
      <c r="E22" s="3391"/>
      <c r="F22" s="3391"/>
      <c r="G22" s="3391"/>
      <c r="H22" s="3391"/>
      <c r="I22" s="3391"/>
    </row>
    <row r="23" spans="1:9">
      <c r="A23" s="3391"/>
      <c r="B23" s="3391"/>
      <c r="C23" s="3391"/>
      <c r="D23" s="3391"/>
      <c r="E23" s="3391"/>
      <c r="F23" s="3391"/>
      <c r="G23" s="3391"/>
      <c r="H23" s="3391"/>
      <c r="I23" s="3391"/>
    </row>
    <row r="24" spans="1:9">
      <c r="A24" s="3391"/>
      <c r="B24" s="3391"/>
      <c r="C24" s="3391"/>
      <c r="D24" s="3391"/>
      <c r="E24" s="3391"/>
      <c r="F24" s="3391"/>
      <c r="G24" s="3391"/>
      <c r="H24" s="3391"/>
      <c r="I24" s="3391"/>
    </row>
    <row r="25" spans="1:9">
      <c r="A25" s="3391"/>
      <c r="B25" s="3391"/>
      <c r="C25" s="3391"/>
      <c r="D25" s="3391"/>
      <c r="E25" s="3391"/>
      <c r="F25" s="3391"/>
      <c r="G25" s="3391"/>
      <c r="H25" s="3391"/>
      <c r="I25" s="3391"/>
    </row>
    <row r="26" spans="1:9">
      <c r="A26" s="3391"/>
      <c r="B26" s="3391"/>
      <c r="C26" s="3391"/>
      <c r="D26" s="3391"/>
      <c r="E26" s="3391"/>
      <c r="F26" s="3391"/>
      <c r="G26" s="3391"/>
      <c r="H26" s="3391"/>
      <c r="I26" s="3391"/>
    </row>
  </sheetData>
  <sheetProtection sheet="1" formatCells="0" formatRows="0" insertRows="0" deleteRows="0" objects="1" scenarios="1"/>
  <mergeCells count="28">
    <mergeCell ref="A1:I1"/>
    <mergeCell ref="D2:E2"/>
    <mergeCell ref="F2:G2"/>
    <mergeCell ref="H2:I2"/>
    <mergeCell ref="A5:C5"/>
    <mergeCell ref="D5:E5"/>
    <mergeCell ref="F5:G5"/>
    <mergeCell ref="H5:I5"/>
    <mergeCell ref="A6:C6"/>
    <mergeCell ref="D6:I6"/>
    <mergeCell ref="A7:C7"/>
    <mergeCell ref="D7:I7"/>
    <mergeCell ref="A8:C8"/>
    <mergeCell ref="D8:I8"/>
    <mergeCell ref="A9:C9"/>
    <mergeCell ref="D9:I9"/>
    <mergeCell ref="A10:C10"/>
    <mergeCell ref="D10:I10"/>
    <mergeCell ref="A11:C11"/>
    <mergeCell ref="D11:I11"/>
    <mergeCell ref="A12:C12"/>
    <mergeCell ref="D12:I12"/>
    <mergeCell ref="A13:C13"/>
    <mergeCell ref="D13:I13"/>
    <mergeCell ref="A14:I14"/>
    <mergeCell ref="A2:A3"/>
    <mergeCell ref="B2:B3"/>
    <mergeCell ref="C2:C3"/>
  </mergeCells>
  <printOptions horizontalCentered="1"/>
  <pageMargins left="0.984251968503937" right="0.78740157480315" top="0.984251968503937" bottom="0.984251968503937" header="0.590551181102362" footer="0.590551181102362"/>
  <pageSetup paperSize="9" orientation="landscape"/>
  <headerFooter>
    <oddHeader>&amp;C&amp;G</oddHeader>
    <oddFooter>&amp;C&amp;P</oddFooter>
  </headerFooter>
  <legacyDrawingHF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2060"/>
  </sheetPr>
  <dimension ref="A1:D29"/>
  <sheetViews>
    <sheetView view="pageLayout" zoomScale="80" zoomScaleSheetLayoutView="90" zoomScaleNormal="100" workbookViewId="0">
      <selection activeCell="A26" sqref="A26"/>
    </sheetView>
  </sheetViews>
  <sheetFormatPr defaultColWidth="9" defaultRowHeight="14.25" outlineLevelCol="3"/>
  <cols>
    <col min="1" max="1" width="15.125" style="3462" customWidth="1"/>
    <col min="2" max="2" width="24" style="3462" customWidth="1"/>
    <col min="3" max="3" width="23.25" style="3462" customWidth="1"/>
    <col min="4" max="4" width="21" style="3462" customWidth="1"/>
    <col min="5" max="16384" width="9" style="3462"/>
  </cols>
  <sheetData>
    <row r="1" ht="18.75" spans="1:4">
      <c r="A1" s="3463" t="s">
        <v>111</v>
      </c>
      <c r="B1" s="3463"/>
      <c r="C1" s="3463"/>
      <c r="D1" s="3463"/>
    </row>
    <row r="2" ht="18" spans="1:4">
      <c r="A2" s="3464" t="s">
        <v>112</v>
      </c>
      <c r="B2" s="3464"/>
      <c r="C2" s="3464"/>
      <c r="D2" s="3464"/>
    </row>
    <row r="3" ht="18.75" spans="1:4">
      <c r="A3" s="3465" t="s">
        <v>113</v>
      </c>
      <c r="B3" s="3465" t="s">
        <v>114</v>
      </c>
      <c r="C3" s="3465" t="s">
        <v>115</v>
      </c>
      <c r="D3" s="3465" t="s">
        <v>116</v>
      </c>
    </row>
    <row r="4" ht="56.25" customHeight="1" spans="1:4">
      <c r="A4" s="3466">
        <f>项目基本情况!B3</f>
        <v>0</v>
      </c>
      <c r="B4" s="3467">
        <f ca="1">项目基本情况!C3</f>
        <v>0</v>
      </c>
      <c r="C4" s="3468"/>
      <c r="D4" s="3469" t="s">
        <v>117</v>
      </c>
    </row>
    <row r="5" ht="56.25" customHeight="1" spans="1:4">
      <c r="A5" s="3466">
        <f>项目基本情况!D3</f>
        <v>0</v>
      </c>
      <c r="B5" s="3467">
        <f ca="1">项目基本情况!E3</f>
        <v>0</v>
      </c>
      <c r="C5" s="3470"/>
      <c r="D5" s="3469" t="s">
        <v>117</v>
      </c>
    </row>
    <row r="6" ht="12" customHeight="1" spans="1:4">
      <c r="A6" s="3466"/>
      <c r="B6" s="3467"/>
      <c r="C6" s="3471"/>
      <c r="D6" s="3469"/>
    </row>
    <row r="7" ht="18" spans="1:4">
      <c r="A7" s="3464" t="s">
        <v>118</v>
      </c>
      <c r="B7" s="3464"/>
      <c r="C7" s="3464"/>
      <c r="D7" s="3464"/>
    </row>
    <row r="8" ht="18.75" spans="1:4">
      <c r="A8" s="3465" t="s">
        <v>113</v>
      </c>
      <c r="B8" s="3467" t="s">
        <v>119</v>
      </c>
      <c r="C8" s="3465" t="s">
        <v>115</v>
      </c>
      <c r="D8" s="3465" t="s">
        <v>116</v>
      </c>
    </row>
    <row r="9" ht="56.25" customHeight="1" spans="1:4">
      <c r="A9" s="3472" t="s">
        <v>120</v>
      </c>
      <c r="B9" s="3472" t="s">
        <v>121</v>
      </c>
      <c r="C9" s="3468"/>
      <c r="D9" s="3469" t="s">
        <v>117</v>
      </c>
    </row>
    <row r="11" ht="18.75" spans="1:1">
      <c r="A11" s="3463" t="s">
        <v>122</v>
      </c>
    </row>
    <row r="12" ht="30" customHeight="1" spans="1:4">
      <c r="A12" s="3473" t="s">
        <v>123</v>
      </c>
      <c r="B12" s="3474"/>
      <c r="C12" s="3474"/>
      <c r="D12" s="3474"/>
    </row>
    <row r="13" ht="15" spans="1:4">
      <c r="A13" s="3473" t="str">
        <f>IF(项目基本情况!D4="抵押","2.本《评估意见函》仅供金融机构进行内部审核使用，不做其他目的之用。","2.本次评估设定估价对象房地产权属无争议，未被查封或者以其他形式限制其房地产权利，未设定抵押权等他项权利，不涉及第三方权利义务。")</f>
        <v>2.本次评估设定估价对象房地产权属无争议，未被查封或者以其他形式限制其房地产权利，未设定抵押权等他项权利，不涉及第三方权利义务。</v>
      </c>
      <c r="B13" s="3474"/>
      <c r="C13" s="3474"/>
      <c r="D13" s="3474"/>
    </row>
    <row r="14" ht="30" customHeight="1" spans="1:4">
      <c r="A14" s="3473" t="str">
        <f>IF(项目基本情况!D4="抵押","3.抵押双方在办理抵押登记手续时，应使用本公司出具的正式《不动产估价报告书》，特提醒报告使用者注意。","——")</f>
        <v>——</v>
      </c>
      <c r="B14" s="3474"/>
      <c r="C14" s="3474"/>
      <c r="D14" s="3474"/>
    </row>
    <row r="15" ht="15.75" customHeight="1" spans="1:4">
      <c r="A15" s="3473" t="str">
        <f>IF(项目基本情况!D4="抵押","4.本次评估估价师所知悉的法定优先受偿款情况说明如下：","——")</f>
        <v>——</v>
      </c>
      <c r="B15" s="3474"/>
      <c r="C15" s="3474"/>
      <c r="D15" s="3474"/>
    </row>
    <row r="16" ht="75" customHeight="1" spans="1:4">
      <c r="A16" s="3473" t="str">
        <f>IF(项目基本情况!D4="抵押",CONCATENATE(项目基本情况!J13,项目基本情况!J14,项目基本情况!J15),"——")</f>
        <v>——</v>
      </c>
      <c r="B16" s="3473"/>
      <c r="C16" s="3473"/>
      <c r="D16" s="3473"/>
    </row>
    <row r="17" ht="63.75" customHeight="1" spans="1:4">
      <c r="A17" s="3475" t="s">
        <v>124</v>
      </c>
      <c r="B17" s="3475"/>
      <c r="C17" s="3475"/>
      <c r="D17" s="3475"/>
    </row>
    <row r="18" ht="15.75" customHeight="1" spans="1:4">
      <c r="A18" s="3473" t="str">
        <f>IF(项目基本情况!D4="抵押",结果表!L106,"——")</f>
        <v>——</v>
      </c>
      <c r="B18" s="3473"/>
      <c r="C18" s="3473"/>
      <c r="D18" s="3473"/>
    </row>
    <row r="19" ht="46.5" customHeight="1" spans="1:4">
      <c r="A19" s="3473" t="str">
        <f>IF(项目基本情况!D4="抵押","5.","3.")&amp;"本《评估意见函》中数据全部采用电算化连续计算得出，由于在报告中计算的数据均按四舍五入保留两位小数或取整，故可能出现个别等式左右不完全相等的情况，但不影响计算结果及最终评估结论的准确性。"</f>
        <v>3.本《评估意见函》中数据全部采用电算化连续计算得出，由于在报告中计算的数据均按四舍五入保留两位小数或取整，故可能出现个别等式左右不完全相等的情况，但不影响计算结果及最终评估结论的准确性。</v>
      </c>
      <c r="B19" s="3473"/>
      <c r="C19" s="3473"/>
      <c r="D19" s="3473"/>
    </row>
    <row r="20" ht="15" spans="1:4">
      <c r="A20" s="3475" t="s">
        <v>125</v>
      </c>
      <c r="B20" s="3475"/>
      <c r="C20" s="3475"/>
      <c r="D20" s="3475"/>
    </row>
    <row r="21" spans="1:4">
      <c r="A21" s="3476"/>
      <c r="B21" s="322"/>
      <c r="C21" s="322"/>
      <c r="D21" s="322"/>
    </row>
    <row r="22" spans="1:4">
      <c r="A22" s="3476"/>
      <c r="B22" s="322"/>
      <c r="C22" s="322"/>
      <c r="D22" s="322"/>
    </row>
    <row r="23" ht="18.75" spans="1:1">
      <c r="A23" s="3477" t="s">
        <v>126</v>
      </c>
    </row>
    <row r="24" ht="18" spans="1:1">
      <c r="A24" s="3477"/>
    </row>
    <row r="25" ht="18.75" spans="1:1">
      <c r="A25" s="3477" t="s">
        <v>127</v>
      </c>
    </row>
    <row r="28" ht="21" customHeight="1" spans="4:4">
      <c r="D28" s="3478" t="s">
        <v>128</v>
      </c>
    </row>
    <row r="29" ht="21" customHeight="1" spans="3:4">
      <c r="C29" s="3479"/>
      <c r="D29" s="3480">
        <v>42551</v>
      </c>
    </row>
  </sheetData>
  <sheetProtection sheet="1" formatCells="0" formatRows="0" insertRows="0" deleteRows="0" objects="1" scenarios="1"/>
  <mergeCells count="12">
    <mergeCell ref="A1:D1"/>
    <mergeCell ref="A2:D2"/>
    <mergeCell ref="A7:D7"/>
    <mergeCell ref="A12:D12"/>
    <mergeCell ref="A13:D13"/>
    <mergeCell ref="A14:D14"/>
    <mergeCell ref="A15:D15"/>
    <mergeCell ref="A16:D16"/>
    <mergeCell ref="A17:D17"/>
    <mergeCell ref="A18:D18"/>
    <mergeCell ref="A19:D19"/>
    <mergeCell ref="A20:D20"/>
  </mergeCells>
  <printOptions horizontalCentered="1"/>
  <pageMargins left="0.984251968503937" right="0.78740157480315" top="0.984251968503937" bottom="0.984251968503937" header="0.590551181102362" footer="0.590551181102362"/>
  <pageSetup paperSize="9" orientation="portrait"/>
  <headerFooter>
    <oddHeader>&amp;C&amp;G</oddHeader>
    <oddFooter>&amp;C&amp;P</oddFooter>
  </headerFooter>
  <legacyDrawingHF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70C0"/>
  </sheetPr>
  <dimension ref="A1:G32"/>
  <sheetViews>
    <sheetView workbookViewId="0">
      <pane ySplit="1" topLeftCell="A2" activePane="bottomLeft" state="frozen"/>
      <selection/>
      <selection pane="bottomLeft" activeCell="D25" sqref="D25"/>
    </sheetView>
  </sheetViews>
  <sheetFormatPr defaultColWidth="14.5" defaultRowHeight="15.75" outlineLevelCol="6"/>
  <cols>
    <col min="1" max="1" width="14.5" style="3440" customWidth="1"/>
    <col min="2" max="16384" width="14.5" style="3391"/>
  </cols>
  <sheetData>
    <row r="1" s="3439" customFormat="1" ht="18.75" spans="1:1">
      <c r="A1" s="3441" t="s">
        <v>129</v>
      </c>
    </row>
    <row r="3" ht="14.25" spans="1:7">
      <c r="A3" s="3442" t="s">
        <v>130</v>
      </c>
      <c r="B3" s="3391" t="s">
        <v>131</v>
      </c>
      <c r="G3" s="3443"/>
    </row>
    <row r="4" spans="7:7">
      <c r="G4" s="3443"/>
    </row>
    <row r="5" ht="14.25" spans="1:7">
      <c r="A5" s="3444" t="s">
        <v>132</v>
      </c>
      <c r="B5" s="3391" t="s">
        <v>133</v>
      </c>
      <c r="G5" s="3443"/>
    </row>
    <row r="6" spans="7:7">
      <c r="G6" s="3443"/>
    </row>
    <row r="7" ht="14.25" spans="1:7">
      <c r="A7" s="3445" t="s">
        <v>134</v>
      </c>
      <c r="B7" s="3391" t="s">
        <v>135</v>
      </c>
      <c r="G7" s="3443"/>
    </row>
    <row r="8" spans="7:7">
      <c r="G8" s="3443"/>
    </row>
    <row r="9" ht="14.25" spans="1:2">
      <c r="A9" s="3446" t="s">
        <v>136</v>
      </c>
      <c r="B9" s="3391" t="s">
        <v>137</v>
      </c>
    </row>
    <row r="11" ht="14.25" spans="1:2">
      <c r="A11" s="3447" t="s">
        <v>138</v>
      </c>
      <c r="B11" s="3448" t="s">
        <v>139</v>
      </c>
    </row>
    <row r="13" ht="14.25" spans="1:1">
      <c r="A13" s="3449" t="s">
        <v>140</v>
      </c>
    </row>
    <row r="15" ht="13.5" spans="1:3">
      <c r="A15" s="3450" t="s">
        <v>141</v>
      </c>
      <c r="B15" s="3451" t="s">
        <v>142</v>
      </c>
      <c r="C15" s="3452"/>
    </row>
    <row r="16" ht="13.5" spans="1:3">
      <c r="A16" s="3453"/>
      <c r="B16" s="3451" t="s">
        <v>143</v>
      </c>
      <c r="C16" s="3452"/>
    </row>
    <row r="17" ht="14.25" spans="1:3">
      <c r="A17" s="3453"/>
      <c r="B17" s="3451" t="s">
        <v>144</v>
      </c>
      <c r="C17" s="3452"/>
    </row>
    <row r="18" ht="13.5" spans="1:3">
      <c r="A18" s="3454"/>
      <c r="B18" s="3455" t="s">
        <v>145</v>
      </c>
      <c r="C18" s="3452"/>
    </row>
    <row r="19" ht="14.25" spans="1:3">
      <c r="A19" s="3456" t="s">
        <v>146</v>
      </c>
      <c r="B19" s="3457"/>
      <c r="C19" s="3458"/>
    </row>
    <row r="20" ht="13.5" spans="1:3">
      <c r="A20" s="3459" t="s">
        <v>147</v>
      </c>
      <c r="B20" s="3455" t="s">
        <v>148</v>
      </c>
      <c r="C20" s="3452"/>
    </row>
    <row r="21" ht="13.5" spans="1:3">
      <c r="A21" s="3459"/>
      <c r="B21" s="3455" t="s">
        <v>149</v>
      </c>
      <c r="C21" s="3452"/>
    </row>
    <row r="22" ht="13.5" spans="1:3">
      <c r="A22" s="3459"/>
      <c r="B22" s="3455" t="s">
        <v>150</v>
      </c>
      <c r="C22" s="3452"/>
    </row>
    <row r="23" ht="13.5" spans="1:3">
      <c r="A23" s="3459"/>
      <c r="B23" s="3460" t="s">
        <v>151</v>
      </c>
      <c r="C23" s="3460" t="s">
        <v>152</v>
      </c>
    </row>
    <row r="24" ht="13.5" spans="1:3">
      <c r="A24" s="3459"/>
      <c r="B24" s="3460"/>
      <c r="C24" s="3460" t="s">
        <v>153</v>
      </c>
    </row>
    <row r="25" ht="13.5" spans="1:3">
      <c r="A25" s="3459"/>
      <c r="B25" s="3460"/>
      <c r="C25" s="3460" t="s">
        <v>154</v>
      </c>
    </row>
    <row r="26" ht="13.5" spans="1:3">
      <c r="A26" s="3459"/>
      <c r="B26" s="3460"/>
      <c r="C26" s="3460" t="s">
        <v>155</v>
      </c>
    </row>
    <row r="27" ht="13.5" spans="1:3">
      <c r="A27" s="3459"/>
      <c r="B27" s="3460"/>
      <c r="C27" s="3460" t="s">
        <v>156</v>
      </c>
    </row>
    <row r="28" ht="13.5" spans="1:3">
      <c r="A28" s="3459"/>
      <c r="B28" s="3460"/>
      <c r="C28" s="3460" t="s">
        <v>157</v>
      </c>
    </row>
    <row r="29" ht="14.25" spans="1:3">
      <c r="A29" s="3459"/>
      <c r="B29" s="3460"/>
      <c r="C29" s="3460" t="s">
        <v>158</v>
      </c>
    </row>
    <row r="30" ht="14.25" spans="1:3">
      <c r="A30" s="3459"/>
      <c r="B30" s="3460"/>
      <c r="C30" s="3460" t="s">
        <v>159</v>
      </c>
    </row>
    <row r="31" ht="13.5" spans="1:3">
      <c r="A31" s="3459"/>
      <c r="B31" s="3460"/>
      <c r="C31" s="3460" t="s">
        <v>160</v>
      </c>
    </row>
    <row r="32" spans="1:1">
      <c r="A32" s="3461" t="s">
        <v>161</v>
      </c>
    </row>
  </sheetData>
  <sheetProtection password="CEE9" sheet="1" formatCells="0" formatColumns="0" formatRows="0" objects="1" scenarios="1"/>
  <mergeCells count="10">
    <mergeCell ref="B15:C15"/>
    <mergeCell ref="B16:C16"/>
    <mergeCell ref="B17:C17"/>
    <mergeCell ref="B18:C18"/>
    <mergeCell ref="B20:C20"/>
    <mergeCell ref="B21:C21"/>
    <mergeCell ref="B22:C22"/>
    <mergeCell ref="A15:A18"/>
    <mergeCell ref="A20:A31"/>
    <mergeCell ref="B23:B31"/>
  </mergeCells>
  <dataValidations count="1">
    <dataValidation type="list" allowBlank="1" showInputMessage="1" showErrorMessage="1" sqref="A5">
      <formula1>"下拉菜单,111,222,333"</formula1>
    </dataValidation>
  </dataValidations>
  <pageMargins left="0.7" right="0.7" top="0.75" bottom="0.75" header="0.3" footer="0.3"/>
  <pageSetup paperSize="9" orientation="portrait"/>
  <headerFooter/>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22"/>
  <sheetViews>
    <sheetView view="pageBreakPreview" zoomScale="60" zoomScaleNormal="100" workbookViewId="0">
      <selection activeCell="D25" sqref="D25"/>
    </sheetView>
  </sheetViews>
  <sheetFormatPr defaultColWidth="22.625" defaultRowHeight="24" customHeight="1" outlineLevelCol="7"/>
  <cols>
    <col min="1" max="1" width="24.625" style="3407" customWidth="1"/>
    <col min="2" max="2" width="38.625" style="3407" customWidth="1"/>
    <col min="3" max="3" width="26" style="3407" customWidth="1"/>
    <col min="4" max="4" width="35" style="3407" hidden="1" customWidth="1"/>
    <col min="5" max="5" width="30.125" style="3407" customWidth="1"/>
    <col min="6" max="6" width="35.5" style="3407" customWidth="1"/>
    <col min="7" max="7" width="31" style="3407" customWidth="1"/>
    <col min="8" max="8" width="37.5" style="3407" hidden="1" customWidth="1"/>
    <col min="9" max="16384" width="22.625" style="3407"/>
  </cols>
  <sheetData>
    <row r="1" customHeight="1" spans="1:8">
      <c r="A1" s="3408"/>
      <c r="B1" s="3408"/>
      <c r="C1" s="3408"/>
      <c r="D1" s="3408"/>
      <c r="E1" s="3408"/>
      <c r="F1" s="3408"/>
      <c r="G1" s="3408"/>
      <c r="H1" s="3408"/>
    </row>
    <row r="2" customHeight="1" spans="1:8">
      <c r="A2" s="3409" t="s">
        <v>162</v>
      </c>
      <c r="B2" s="3410">
        <f ca="1">TODAY()</f>
        <v>44575</v>
      </c>
      <c r="C2" s="3411" t="s">
        <v>163</v>
      </c>
      <c r="D2" s="3411"/>
      <c r="E2" s="3411"/>
      <c r="F2" s="3408"/>
      <c r="G2" s="3408"/>
      <c r="H2" s="3408"/>
    </row>
    <row r="3" customHeight="1" spans="1:8">
      <c r="A3" s="3412" t="s">
        <v>164</v>
      </c>
      <c r="B3" s="3413" t="s">
        <v>165</v>
      </c>
      <c r="C3" s="3413" t="s">
        <v>166</v>
      </c>
      <c r="D3" s="3414" t="s">
        <v>167</v>
      </c>
      <c r="E3" s="3415" t="s">
        <v>168</v>
      </c>
      <c r="F3" s="3416" t="s">
        <v>169</v>
      </c>
      <c r="G3" s="3413" t="s">
        <v>166</v>
      </c>
      <c r="H3" s="3414" t="s">
        <v>170</v>
      </c>
    </row>
    <row r="4" customHeight="1" spans="1:8">
      <c r="A4" s="3416" t="s">
        <v>171</v>
      </c>
      <c r="B4" s="3416">
        <f ca="1">IF(C4&lt;B2,"已过期",1119970066)</f>
        <v>1119970066</v>
      </c>
      <c r="C4" s="3417">
        <v>44876</v>
      </c>
      <c r="D4" s="3418" t="str">
        <f ca="1">A4&amp;"（注册号："&amp;B4&amp;"）"</f>
        <v>梁津（注册号：1119970066）</v>
      </c>
      <c r="E4" s="3419" t="s">
        <v>171</v>
      </c>
      <c r="F4" s="3416">
        <f ca="1">IF(G4&lt;B2,"已过期",96010014)</f>
        <v>96010014</v>
      </c>
      <c r="G4" s="3420">
        <v>47118</v>
      </c>
      <c r="H4" s="3421" t="str">
        <f ca="1">E4&amp;"（注册号："&amp;F4&amp;"）"</f>
        <v>梁津（注册号：96010014）</v>
      </c>
    </row>
    <row r="5" customHeight="1" spans="1:8">
      <c r="A5" s="3416" t="s">
        <v>172</v>
      </c>
      <c r="B5" s="3416">
        <f ca="1">IF(C5&lt;B2,"已过期",1119970111)</f>
        <v>1119970111</v>
      </c>
      <c r="C5" s="3417">
        <v>44876</v>
      </c>
      <c r="D5" s="3418" t="str">
        <f ca="1" t="shared" ref="D5:D14" si="0">A5&amp;"（注册号："&amp;B5&amp;"）"</f>
        <v>叶凌（注册号：1119970111）</v>
      </c>
      <c r="E5" s="3419" t="s">
        <v>172</v>
      </c>
      <c r="F5" s="3416">
        <f ca="1">IF(G5&lt;B2,"已过期",94010078)</f>
        <v>94010078</v>
      </c>
      <c r="G5" s="3420">
        <v>46387</v>
      </c>
      <c r="H5" s="3421" t="str">
        <f ca="1" t="shared" ref="H5:H16" si="1">E5&amp;"（注册号："&amp;F5&amp;"）"</f>
        <v>叶凌（注册号：94010078）</v>
      </c>
    </row>
    <row r="6" customHeight="1" spans="1:8">
      <c r="A6" s="3416" t="s">
        <v>173</v>
      </c>
      <c r="B6" s="3416" t="str">
        <f ca="1">IF(C6&lt;B2,"已过期",1120050019)</f>
        <v>已过期</v>
      </c>
      <c r="C6" s="3417">
        <v>44395</v>
      </c>
      <c r="D6" s="3418" t="str">
        <f ca="1" t="shared" si="0"/>
        <v>王鹏（注册号：已过期）</v>
      </c>
      <c r="E6" s="3419" t="s">
        <v>173</v>
      </c>
      <c r="F6" s="3416">
        <f ca="1">IF(G6&lt;B2,"已过期",2002110030)</f>
        <v>2002110030</v>
      </c>
      <c r="G6" s="3420">
        <v>46387</v>
      </c>
      <c r="H6" s="3421" t="str">
        <f ca="1" t="shared" si="1"/>
        <v>王鹏（注册号：2002110030）</v>
      </c>
    </row>
    <row r="7" customHeight="1" spans="1:8">
      <c r="A7" s="3416" t="s">
        <v>174</v>
      </c>
      <c r="B7" s="3416">
        <f ca="1">IF(C7&lt;B2,"已过期",1120000080)</f>
        <v>1120000080</v>
      </c>
      <c r="C7" s="3417">
        <v>44876</v>
      </c>
      <c r="D7" s="3418" t="str">
        <f ca="1" t="shared" si="0"/>
        <v>欧红伟（注册号：1120000080）</v>
      </c>
      <c r="E7" s="3419" t="s">
        <v>174</v>
      </c>
      <c r="F7" s="3416">
        <f ca="1">IF(G7&lt;B2,"已过期",2000110082)</f>
        <v>2000110082</v>
      </c>
      <c r="G7" s="3420">
        <v>46387</v>
      </c>
      <c r="H7" s="3421" t="str">
        <f ca="1" t="shared" si="1"/>
        <v>欧红伟（注册号：2000110082）</v>
      </c>
    </row>
    <row r="8" customHeight="1" spans="1:8">
      <c r="A8" s="3416" t="s">
        <v>175</v>
      </c>
      <c r="B8" s="3416">
        <f ca="1">IF(C8&lt;B2,"已过期",1419970001)</f>
        <v>1419970001</v>
      </c>
      <c r="C8" s="3417">
        <v>44899</v>
      </c>
      <c r="D8" s="3418" t="str">
        <f ca="1" t="shared" si="0"/>
        <v>吴薇（注册号：1419970001）</v>
      </c>
      <c r="E8" s="3419" t="s">
        <v>175</v>
      </c>
      <c r="F8" s="3416">
        <f ca="1">IF(G8&lt;B2,"已过期",2002110125)</f>
        <v>2002110125</v>
      </c>
      <c r="G8" s="3420">
        <v>47118</v>
      </c>
      <c r="H8" s="3421" t="str">
        <f ca="1" t="shared" si="1"/>
        <v>吴薇（注册号：2002110125）</v>
      </c>
    </row>
    <row r="9" customHeight="1" spans="1:8">
      <c r="A9" s="3416" t="s">
        <v>176</v>
      </c>
      <c r="B9" s="3416" t="str">
        <f ca="1">IF(C9&lt;B2,"已过期",1120060040)</f>
        <v>已过期</v>
      </c>
      <c r="C9" s="3422">
        <v>44554</v>
      </c>
      <c r="D9" s="3418" t="str">
        <f ca="1" t="shared" si="0"/>
        <v>陈颖（注册号：已过期）</v>
      </c>
      <c r="E9" s="3419" t="s">
        <v>176</v>
      </c>
      <c r="F9" s="3416">
        <f ca="1">IF(G9&lt;B2,"已过期",2004110096)</f>
        <v>2004110096</v>
      </c>
      <c r="G9" s="3420">
        <v>47118</v>
      </c>
      <c r="H9" s="3421" t="str">
        <f ca="1" t="shared" si="1"/>
        <v>陈颖（注册号：2004110096）</v>
      </c>
    </row>
    <row r="10" customHeight="1" spans="1:8">
      <c r="A10" s="3416" t="s">
        <v>177</v>
      </c>
      <c r="B10" s="3416">
        <f ca="1">IF(C10&lt;B2,"已过期",1120100036)</f>
        <v>1120100036</v>
      </c>
      <c r="C10" s="3422">
        <v>44675</v>
      </c>
      <c r="D10" s="3418" t="str">
        <f ca="1" t="shared" si="0"/>
        <v>崔锴（注册号：1120100036）</v>
      </c>
      <c r="E10" s="3419" t="s">
        <v>177</v>
      </c>
      <c r="F10" s="3416">
        <f ca="1">IF(G10&lt;B2,"已过期",2010110070)</f>
        <v>2010110070</v>
      </c>
      <c r="G10" s="3420">
        <v>47907</v>
      </c>
      <c r="H10" s="3421" t="str">
        <f ca="1" t="shared" si="1"/>
        <v>崔锴（注册号：2010110070）</v>
      </c>
    </row>
    <row r="11" customHeight="1" spans="1:8">
      <c r="A11" s="3416" t="s">
        <v>178</v>
      </c>
      <c r="B11" s="3416">
        <f ca="1">IF(C11&lt;B2,"已过期",1120070131)</f>
        <v>1120070131</v>
      </c>
      <c r="C11" s="3417">
        <v>44849</v>
      </c>
      <c r="D11" s="3418" t="str">
        <f ca="1" t="shared" si="0"/>
        <v>郑燚（注册号：1120070131）</v>
      </c>
      <c r="E11" s="3419" t="s">
        <v>178</v>
      </c>
      <c r="F11" s="3416">
        <f ca="1">IF(G11&lt;B2,"已过期",2014110011)</f>
        <v>2014110011</v>
      </c>
      <c r="G11" s="3420">
        <v>49302</v>
      </c>
      <c r="H11" s="3421" t="str">
        <f ca="1" t="shared" si="1"/>
        <v>郑燚（注册号：2014110011）</v>
      </c>
    </row>
    <row r="12" customHeight="1" spans="1:8">
      <c r="A12" s="3416" t="s">
        <v>179</v>
      </c>
      <c r="B12" s="3416">
        <f ca="1">IF(C12&lt;B2,"已过期",1120040230)</f>
        <v>1120040230</v>
      </c>
      <c r="C12" s="3422">
        <v>44864</v>
      </c>
      <c r="D12" s="3418" t="str">
        <f ca="1" t="shared" si="0"/>
        <v>苏海（注册号：1120040230）</v>
      </c>
      <c r="E12" s="3419" t="s">
        <v>179</v>
      </c>
      <c r="F12" s="3416">
        <f ca="1">IF(G12&lt;B2,"已过期",98030020)</f>
        <v>98030020</v>
      </c>
      <c r="G12" s="3420">
        <v>47118</v>
      </c>
      <c r="H12" s="3421" t="str">
        <f ca="1" t="shared" si="1"/>
        <v>苏海（注册号：98030020）</v>
      </c>
    </row>
    <row r="13" customHeight="1" spans="1:8">
      <c r="A13" s="3416" t="s">
        <v>180</v>
      </c>
      <c r="B13" s="3416" t="str">
        <f ca="1">IF(C13&lt;B2,"已过期",1120020033)</f>
        <v>已过期</v>
      </c>
      <c r="C13" s="3417">
        <v>44339</v>
      </c>
      <c r="D13" s="3418" t="str">
        <f ca="1" t="shared" si="0"/>
        <v>刘敬东（注册号：已过期）</v>
      </c>
      <c r="E13" s="3419" t="s">
        <v>180</v>
      </c>
      <c r="F13" s="3416">
        <f ca="1">IF(G13&lt;B2,"已过期",2000110137)</f>
        <v>2000110137</v>
      </c>
      <c r="G13" s="3420">
        <v>46387</v>
      </c>
      <c r="H13" s="3421" t="str">
        <f ca="1" t="shared" si="1"/>
        <v>刘敬东（注册号：2000110137）</v>
      </c>
    </row>
    <row r="14" customHeight="1" spans="1:8">
      <c r="A14" s="3416" t="s">
        <v>181</v>
      </c>
      <c r="B14" s="3416">
        <f ca="1">IF(C14&lt;B2,"已过期",1119980106)</f>
        <v>1119980106</v>
      </c>
      <c r="C14" s="3422">
        <v>44969</v>
      </c>
      <c r="D14" s="3418" t="str">
        <f ca="1" t="shared" si="0"/>
        <v>刘俊财（注册号：1119980106）</v>
      </c>
      <c r="E14" s="3419" t="s">
        <v>181</v>
      </c>
      <c r="F14" s="3416">
        <f ca="1">IF(G14&lt;B2,"已过期",96010063)</f>
        <v>96010063</v>
      </c>
      <c r="G14" s="3420">
        <v>47483</v>
      </c>
      <c r="H14" s="3421" t="str">
        <f ca="1" t="shared" si="1"/>
        <v>刘俊财（注册号：96010063）</v>
      </c>
    </row>
    <row r="15" customHeight="1" spans="1:8">
      <c r="A15" s="3416"/>
      <c r="B15" s="3416"/>
      <c r="C15" s="3422"/>
      <c r="D15" s="3418" t="str">
        <f t="shared" ref="D15:D16" si="2">A15&amp;"（注册号："&amp;B15&amp;"）"</f>
        <v>（注册号：）</v>
      </c>
      <c r="E15" s="3419" t="s">
        <v>182</v>
      </c>
      <c r="F15" s="3416">
        <f ca="1">IF(G15&lt;B2,"已过期",2011110090)</f>
        <v>2011110090</v>
      </c>
      <c r="G15" s="3420">
        <v>48302</v>
      </c>
      <c r="H15" s="3421" t="str">
        <f ca="1" t="shared" ref="H15" si="3">E15&amp;"（注册号："&amp;F15&amp;"）"</f>
        <v>赵雯（注册号：2011110090）</v>
      </c>
    </row>
    <row r="16" s="3405" customFormat="1" customHeight="1" spans="1:8">
      <c r="A16" s="3416"/>
      <c r="B16" s="3416"/>
      <c r="C16" s="3416"/>
      <c r="D16" s="3418" t="str">
        <f t="shared" si="2"/>
        <v>（注册号：）</v>
      </c>
      <c r="E16" s="3419"/>
      <c r="F16" s="3416"/>
      <c r="G16" s="3416"/>
      <c r="H16" s="3423" t="str">
        <f t="shared" si="1"/>
        <v>（注册号：）</v>
      </c>
    </row>
    <row r="17" customHeight="1" spans="1:8">
      <c r="A17" s="3424" t="s">
        <v>183</v>
      </c>
      <c r="B17" s="3424"/>
      <c r="C17" s="3424"/>
      <c r="D17" s="3424"/>
      <c r="E17" s="3424"/>
      <c r="F17" s="3424"/>
      <c r="G17" s="3424"/>
      <c r="H17" s="3424"/>
    </row>
    <row r="18" customHeight="1" spans="1:7">
      <c r="A18" s="3413" t="s">
        <v>184</v>
      </c>
      <c r="B18" s="3413"/>
      <c r="C18" s="3413"/>
      <c r="D18" s="3414"/>
      <c r="E18" s="3425" t="s">
        <v>185</v>
      </c>
      <c r="F18" s="3413"/>
      <c r="G18" s="3413"/>
    </row>
    <row r="19" s="3406" customFormat="1" customHeight="1" spans="1:7">
      <c r="A19" s="3426" t="s">
        <v>186</v>
      </c>
      <c r="B19" s="3413" t="s">
        <v>187</v>
      </c>
      <c r="C19" s="3413" t="s">
        <v>166</v>
      </c>
      <c r="D19" s="3414"/>
      <c r="E19" s="3419" t="s">
        <v>186</v>
      </c>
      <c r="F19" s="3413" t="s">
        <v>187</v>
      </c>
      <c r="G19" s="3413" t="s">
        <v>166</v>
      </c>
    </row>
    <row r="20" s="3406" customFormat="1" customHeight="1" spans="1:7">
      <c r="A20" s="3427" t="s">
        <v>188</v>
      </c>
      <c r="B20" s="3427" t="s">
        <v>189</v>
      </c>
      <c r="C20" s="3420">
        <v>44820</v>
      </c>
      <c r="D20" s="3428"/>
      <c r="E20" s="3429" t="s">
        <v>190</v>
      </c>
      <c r="F20" s="3427" t="s">
        <v>191</v>
      </c>
      <c r="G20" s="3430">
        <v>44377</v>
      </c>
    </row>
    <row r="21" s="3406" customFormat="1" customHeight="1" spans="1:7">
      <c r="A21" s="3427"/>
      <c r="B21" s="3427"/>
      <c r="C21" s="3431"/>
      <c r="D21" s="3432"/>
      <c r="E21" s="3429" t="s">
        <v>192</v>
      </c>
      <c r="F21" s="3433" t="s">
        <v>193</v>
      </c>
      <c r="G21" s="3434">
        <v>44012</v>
      </c>
    </row>
    <row r="22" customHeight="1" spans="3:7">
      <c r="C22" s="3435"/>
      <c r="D22" s="3435"/>
      <c r="E22" s="3436"/>
      <c r="F22" s="3437"/>
      <c r="G22" s="3438" t="s">
        <v>194</v>
      </c>
    </row>
  </sheetData>
  <sheetProtection password="CEE9" sheet="1" formatCells="0" formatColumns="0" formatRows="0" objects="1" scenarios="1"/>
  <mergeCells count="3">
    <mergeCell ref="A17:H17"/>
    <mergeCell ref="A18:C18"/>
    <mergeCell ref="E18:G18"/>
  </mergeCells>
  <conditionalFormatting sqref="C7">
    <cfRule type="expression" dxfId="0" priority="60">
      <formula>AND($C7-TODAY()&lt;30,TODAY()&lt;$C7)</formula>
    </cfRule>
    <cfRule type="cellIs" dxfId="1" priority="61" stopIfTrue="1" operator="lessThan">
      <formula>$B$2</formula>
    </cfRule>
  </conditionalFormatting>
  <conditionalFormatting sqref="C8">
    <cfRule type="expression" dxfId="0" priority="58">
      <formula>AND($C8-TODAY()&lt;30,TODAY()&lt;$C8)</formula>
    </cfRule>
    <cfRule type="cellIs" dxfId="1" priority="59" stopIfTrue="1" operator="lessThan">
      <formula>$B$2</formula>
    </cfRule>
  </conditionalFormatting>
  <conditionalFormatting sqref="C11">
    <cfRule type="expression" dxfId="0" priority="56">
      <formula>AND($C11-TODAY()&lt;30,TODAY()&lt;$C11)</formula>
    </cfRule>
    <cfRule type="cellIs" dxfId="1" priority="57" stopIfTrue="1" operator="lessThan">
      <formula>$B$2</formula>
    </cfRule>
  </conditionalFormatting>
  <conditionalFormatting sqref="G11">
    <cfRule type="cellIs" dxfId="1" priority="44" stopIfTrue="1" operator="lessThan">
      <formula>$B$2</formula>
    </cfRule>
  </conditionalFormatting>
  <conditionalFormatting sqref="B12">
    <cfRule type="cellIs" dxfId="2" priority="27" stopIfTrue="1" operator="equal">
      <formula>"已过期"</formula>
    </cfRule>
  </conditionalFormatting>
  <conditionalFormatting sqref="C12">
    <cfRule type="cellIs" dxfId="1" priority="33" stopIfTrue="1" operator="lessThan">
      <formula>$B$2</formula>
    </cfRule>
    <cfRule type="expression" dxfId="0" priority="30">
      <formula>AND($C12-TODAY()&lt;30,TODAY()&lt;$C12)</formula>
    </cfRule>
    <cfRule type="cellIs" dxfId="1" priority="31" stopIfTrue="1" operator="lessThan">
      <formula>$B$2</formula>
    </cfRule>
  </conditionalFormatting>
  <conditionalFormatting sqref="D12">
    <cfRule type="expression" dxfId="0" priority="95">
      <formula>AND($C12-TODAY()&lt;30,TODAY()&lt;$C12)</formula>
    </cfRule>
    <cfRule type="cellIs" dxfId="1" priority="96" stopIfTrue="1" operator="lessThan">
      <formula>$B$2</formula>
    </cfRule>
  </conditionalFormatting>
  <conditionalFormatting sqref="F12">
    <cfRule type="cellIs" dxfId="2" priority="35" stopIfTrue="1" operator="equal">
      <formula>"已过期"</formula>
    </cfRule>
  </conditionalFormatting>
  <conditionalFormatting sqref="G12">
    <cfRule type="cellIs" dxfId="1" priority="34" stopIfTrue="1" operator="lessThan">
      <formula>$B$2</formula>
    </cfRule>
  </conditionalFormatting>
  <conditionalFormatting sqref="C13:D13">
    <cfRule type="expression" dxfId="0" priority="87">
      <formula>AND($C13-TODAY()&lt;30,TODAY()&lt;$C13)</formula>
    </cfRule>
    <cfRule type="cellIs" dxfId="1" priority="88" stopIfTrue="1" operator="lessThan">
      <formula>$B$2</formula>
    </cfRule>
  </conditionalFormatting>
  <conditionalFormatting sqref="G13">
    <cfRule type="cellIs" dxfId="1" priority="73" stopIfTrue="1" operator="lessThan">
      <formula>$B$2</formula>
    </cfRule>
  </conditionalFormatting>
  <conditionalFormatting sqref="B14">
    <cfRule type="cellIs" dxfId="2" priority="13" stopIfTrue="1" operator="equal">
      <formula>"已过期"</formula>
    </cfRule>
  </conditionalFormatting>
  <conditionalFormatting sqref="C14">
    <cfRule type="expression" dxfId="0" priority="16">
      <formula>AND($C14-TODAY()&lt;30,TODAY()&lt;$C14)</formula>
    </cfRule>
    <cfRule type="cellIs" dxfId="1" priority="17" stopIfTrue="1" operator="lessThan">
      <formula>$B$2</formula>
    </cfRule>
    <cfRule type="expression" dxfId="0" priority="14">
      <formula>AND($C14-TODAY()&lt;30,TODAY()&lt;$C14)</formula>
    </cfRule>
    <cfRule type="cellIs" dxfId="1" priority="15" stopIfTrue="1" operator="lessThan">
      <formula>$B$2</formula>
    </cfRule>
  </conditionalFormatting>
  <conditionalFormatting sqref="D14">
    <cfRule type="expression" dxfId="0" priority="77">
      <formula>AND($C14-TODAY()&lt;30,TODAY()&lt;$C14)</formula>
    </cfRule>
    <cfRule type="cellIs" dxfId="1" priority="78" stopIfTrue="1" operator="lessThan">
      <formula>$B$2</formula>
    </cfRule>
  </conditionalFormatting>
  <conditionalFormatting sqref="G14">
    <cfRule type="cellIs" dxfId="1" priority="12" stopIfTrue="1" operator="lessThan">
      <formula>$B$2</formula>
    </cfRule>
  </conditionalFormatting>
  <conditionalFormatting sqref="B15">
    <cfRule type="cellIs" dxfId="2" priority="2" stopIfTrue="1" operator="equal">
      <formula>"已过期"</formula>
    </cfRule>
  </conditionalFormatting>
  <conditionalFormatting sqref="C15">
    <cfRule type="expression" dxfId="0" priority="5">
      <formula>AND($C15-TODAY()&lt;30,TODAY()&lt;$C15)</formula>
    </cfRule>
    <cfRule type="cellIs" dxfId="1" priority="6" stopIfTrue="1" operator="lessThan">
      <formula>$B$2</formula>
    </cfRule>
    <cfRule type="expression" dxfId="0" priority="3">
      <formula>AND($C15-TODAY()&lt;30,TODAY()&lt;$C15)</formula>
    </cfRule>
    <cfRule type="cellIs" dxfId="1" priority="4" stopIfTrue="1" operator="lessThan">
      <formula>$B$2</formula>
    </cfRule>
  </conditionalFormatting>
  <conditionalFormatting sqref="D15">
    <cfRule type="expression" dxfId="0" priority="10">
      <formula>AND($C15-TODAY()&lt;30,TODAY()&lt;$C15)</formula>
    </cfRule>
    <cfRule type="cellIs" dxfId="1" priority="11" stopIfTrue="1" operator="lessThan">
      <formula>$B$2</formula>
    </cfRule>
    <cfRule type="expression" dxfId="0" priority="8">
      <formula>AND($C15-TODAY()&lt;30,TODAY()&lt;$C15)</formula>
    </cfRule>
    <cfRule type="cellIs" dxfId="1" priority="9" stopIfTrue="1" operator="lessThan">
      <formula>$B$2</formula>
    </cfRule>
  </conditionalFormatting>
  <conditionalFormatting sqref="F15">
    <cfRule type="cellIs" dxfId="2" priority="7" stopIfTrue="1" operator="equal">
      <formula>"已过期"</formula>
    </cfRule>
  </conditionalFormatting>
  <conditionalFormatting sqref="G15">
    <cfRule type="cellIs" dxfId="1" priority="1" stopIfTrue="1" operator="lessThan">
      <formula>$B$2</formula>
    </cfRule>
  </conditionalFormatting>
  <conditionalFormatting sqref="A16:C16">
    <cfRule type="cellIs" dxfId="2" priority="46" stopIfTrue="1" operator="equal">
      <formula>"已过期"</formula>
    </cfRule>
  </conditionalFormatting>
  <conditionalFormatting sqref="E16:G16">
    <cfRule type="cellIs" dxfId="2" priority="45" stopIfTrue="1" operator="equal">
      <formula>"已过期"</formula>
    </cfRule>
  </conditionalFormatting>
  <conditionalFormatting sqref="C20:D20">
    <cfRule type="expression" dxfId="0" priority="107">
      <formula>AND($C20-TODAY()&lt;30,TODAY()&lt;$C20)</formula>
    </cfRule>
  </conditionalFormatting>
  <conditionalFormatting sqref="G20">
    <cfRule type="expression" dxfId="0" priority="68">
      <formula>AND($E20-TODAY()&lt;30,TODAY()&lt;$E20)</formula>
    </cfRule>
    <cfRule type="cellIs" dxfId="1" priority="69" stopIfTrue="1" operator="lessThan">
      <formula>$B$2</formula>
    </cfRule>
  </conditionalFormatting>
  <conditionalFormatting sqref="G21">
    <cfRule type="expression" dxfId="3" priority="20" stopIfTrue="1">
      <formula>AND(#REF!-TODAY()&lt;30,TODAY()&lt;#REF!)</formula>
    </cfRule>
    <cfRule type="cellIs" dxfId="4" priority="21" stopIfTrue="1" operator="lessThan">
      <formula>$B$2</formula>
    </cfRule>
  </conditionalFormatting>
  <conditionalFormatting sqref="C9:C10">
    <cfRule type="expression" dxfId="0" priority="22">
      <formula>AND($C9-TODAY()&lt;30,TODAY()&lt;$C9)</formula>
    </cfRule>
    <cfRule type="cellIs" dxfId="1" priority="23" stopIfTrue="1" operator="lessThan">
      <formula>$B$2</formula>
    </cfRule>
  </conditionalFormatting>
  <conditionalFormatting sqref="B4:B11 F4:F11 B13 F13:F14">
    <cfRule type="cellIs" dxfId="2" priority="70" stopIfTrue="1" operator="equal">
      <formula>"已过期"</formula>
    </cfRule>
  </conditionalFormatting>
  <conditionalFormatting sqref="D16 C4:D5 D7:D12 C13:D13 C12">
    <cfRule type="expression" dxfId="0" priority="108">
      <formula>AND($C4-TODAY()&lt;30,TODAY()&lt;$C4)</formula>
    </cfRule>
  </conditionalFormatting>
  <conditionalFormatting sqref="C20:D20 G4 C4:D5 C13:D13">
    <cfRule type="cellIs" dxfId="1" priority="109" stopIfTrue="1" operator="lessThan">
      <formula>$B$2</formula>
    </cfRule>
  </conditionalFormatting>
  <conditionalFormatting sqref="G5 G7 G9">
    <cfRule type="cellIs" dxfId="1" priority="103" stopIfTrue="1" operator="lessThan">
      <formula>$B$2</formula>
    </cfRule>
  </conditionalFormatting>
  <conditionalFormatting sqref="C6:D6 D14 D16">
    <cfRule type="expression" dxfId="0" priority="101">
      <formula>AND($C6-TODAY()&lt;30,TODAY()&lt;$C6)</formula>
    </cfRule>
  </conditionalFormatting>
  <conditionalFormatting sqref="G6 G8 G10 C6:D6 D7:D12 D14 D16">
    <cfRule type="cellIs" dxfId="1" priority="102" stopIfTrue="1" operator="lessThan">
      <formula>$B$2</formula>
    </cfRule>
  </conditionalFormatting>
  <pageMargins left="0.7" right="0.7" top="0.75" bottom="0.75" header="0.3" footer="0.3"/>
  <pageSetup paperSize="9" scale="72" fitToHeight="0" orientation="landscape"/>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0">
    <tabColor rgb="FFFFFF00"/>
  </sheetPr>
  <dimension ref="A1:Y128"/>
  <sheetViews>
    <sheetView workbookViewId="0">
      <selection activeCell="B25" sqref="B25"/>
    </sheetView>
  </sheetViews>
  <sheetFormatPr defaultColWidth="9" defaultRowHeight="14.25"/>
  <cols>
    <col min="1" max="1" width="14" style="3390" customWidth="1"/>
    <col min="2" max="2" width="22.5" style="3391" customWidth="1"/>
    <col min="3" max="3" width="13" style="2888" hidden="1" customWidth="1"/>
    <col min="4" max="4" width="5.75" style="3392" hidden="1" customWidth="1"/>
    <col min="5" max="5" width="7.125" style="3392" hidden="1" customWidth="1"/>
    <col min="6" max="6" width="10.625" style="3392" hidden="1" customWidth="1"/>
    <col min="7" max="7" width="7.5" style="3392" hidden="1" customWidth="1"/>
    <col min="8" max="8" width="9" style="2888" hidden="1" customWidth="1"/>
    <col min="9" max="9" width="11.625" style="2888" hidden="1" customWidth="1"/>
    <col min="10" max="10" width="9" style="2888" hidden="1" customWidth="1"/>
    <col min="11" max="19" width="9" style="3392" hidden="1" customWidth="1"/>
    <col min="20" max="24" width="9" style="2888" hidden="1" customWidth="1"/>
    <col min="25" max="25" width="9" style="2888" customWidth="1"/>
    <col min="26" max="26" width="15.875" style="3391" customWidth="1"/>
    <col min="27" max="16384" width="9" style="3391"/>
  </cols>
  <sheetData>
    <row r="1" s="3389" customFormat="1" ht="27" spans="1:25">
      <c r="A1" s="3393" t="s">
        <v>195</v>
      </c>
      <c r="B1" s="3394" t="s">
        <v>196</v>
      </c>
      <c r="C1" s="3395" t="s">
        <v>197</v>
      </c>
      <c r="D1" s="3396" t="s">
        <v>198</v>
      </c>
      <c r="E1" s="3396" t="s">
        <v>199</v>
      </c>
      <c r="F1" s="3396" t="s">
        <v>200</v>
      </c>
      <c r="G1" s="3396" t="s">
        <v>201</v>
      </c>
      <c r="H1" s="3396" t="s">
        <v>202</v>
      </c>
      <c r="I1" s="3396" t="s">
        <v>203</v>
      </c>
      <c r="J1" s="3396" t="s">
        <v>204</v>
      </c>
      <c r="K1" s="3396" t="s">
        <v>205</v>
      </c>
      <c r="L1" s="3396" t="s">
        <v>206</v>
      </c>
      <c r="M1" s="3396" t="s">
        <v>207</v>
      </c>
      <c r="N1" s="3396" t="s">
        <v>208</v>
      </c>
      <c r="O1" s="3396" t="s">
        <v>209</v>
      </c>
      <c r="P1" s="3403" t="s">
        <v>210</v>
      </c>
      <c r="Q1" s="3403" t="s">
        <v>211</v>
      </c>
      <c r="R1" s="3403" t="s">
        <v>212</v>
      </c>
      <c r="S1" s="3396" t="s">
        <v>213</v>
      </c>
      <c r="T1" s="3404" t="s">
        <v>214</v>
      </c>
      <c r="U1" s="3396" t="s">
        <v>215</v>
      </c>
      <c r="V1" s="3396" t="s">
        <v>216</v>
      </c>
      <c r="W1" s="3396" t="s">
        <v>217</v>
      </c>
      <c r="X1" s="3396" t="s">
        <v>218</v>
      </c>
      <c r="Y1" s="3396" t="s">
        <v>219</v>
      </c>
    </row>
    <row r="2" spans="1:25">
      <c r="A2" s="2368" t="s">
        <v>121</v>
      </c>
      <c r="B2" s="2368" t="s">
        <v>220</v>
      </c>
      <c r="C2" s="3397" t="s">
        <v>221</v>
      </c>
      <c r="D2" s="3392" t="s">
        <v>222</v>
      </c>
      <c r="E2" s="3392" t="s">
        <v>223</v>
      </c>
      <c r="F2" s="3392" t="s">
        <v>152</v>
      </c>
      <c r="G2" s="3392">
        <v>40</v>
      </c>
      <c r="H2" s="3392" t="s">
        <v>152</v>
      </c>
      <c r="I2" s="3392" t="s">
        <v>224</v>
      </c>
      <c r="J2" s="3392" t="s">
        <v>225</v>
      </c>
      <c r="K2" s="3392" t="s">
        <v>226</v>
      </c>
      <c r="L2" s="3392" t="s">
        <v>226</v>
      </c>
      <c r="M2" s="3392" t="s">
        <v>226</v>
      </c>
      <c r="N2" s="3392" t="s">
        <v>226</v>
      </c>
      <c r="O2" s="3392" t="s">
        <v>226</v>
      </c>
      <c r="P2" s="3392" t="s">
        <v>226</v>
      </c>
      <c r="Q2" s="3392" t="s">
        <v>226</v>
      </c>
      <c r="R2" s="3392" t="s">
        <v>227</v>
      </c>
      <c r="S2" s="3392" t="s">
        <v>226</v>
      </c>
      <c r="T2" s="3392" t="s">
        <v>228</v>
      </c>
      <c r="U2" s="3392" t="s">
        <v>226</v>
      </c>
      <c r="V2" s="3392" t="s">
        <v>229</v>
      </c>
      <c r="W2" s="3392" t="s">
        <v>226</v>
      </c>
      <c r="X2" s="3392" t="s">
        <v>230</v>
      </c>
      <c r="Y2" s="3392" t="s">
        <v>231</v>
      </c>
    </row>
    <row r="3" spans="1:25">
      <c r="A3" s="2368" t="s">
        <v>232</v>
      </c>
      <c r="B3" s="2581" t="s">
        <v>233</v>
      </c>
      <c r="C3" s="328" t="s">
        <v>234</v>
      </c>
      <c r="D3" s="3392" t="s">
        <v>235</v>
      </c>
      <c r="E3" s="3392" t="s">
        <v>121</v>
      </c>
      <c r="F3" s="3392" t="s">
        <v>153</v>
      </c>
      <c r="G3" s="3392">
        <v>50</v>
      </c>
      <c r="H3" s="3392" t="s">
        <v>153</v>
      </c>
      <c r="I3" s="3392" t="s">
        <v>236</v>
      </c>
      <c r="J3" s="3392" t="s">
        <v>237</v>
      </c>
      <c r="K3" s="3392" t="s">
        <v>238</v>
      </c>
      <c r="L3" s="3392" t="s">
        <v>238</v>
      </c>
      <c r="M3" s="3392" t="s">
        <v>238</v>
      </c>
      <c r="N3" s="3392" t="s">
        <v>238</v>
      </c>
      <c r="O3" s="3392" t="s">
        <v>238</v>
      </c>
      <c r="P3" s="3392" t="s">
        <v>238</v>
      </c>
      <c r="Q3" s="3392" t="s">
        <v>238</v>
      </c>
      <c r="R3" s="3392" t="s">
        <v>239</v>
      </c>
      <c r="S3" s="3392" t="s">
        <v>238</v>
      </c>
      <c r="T3" s="3392" t="s">
        <v>240</v>
      </c>
      <c r="U3" s="3392" t="s">
        <v>238</v>
      </c>
      <c r="V3" s="3392" t="s">
        <v>241</v>
      </c>
      <c r="W3" s="3392" t="s">
        <v>238</v>
      </c>
      <c r="X3" s="3392" t="s">
        <v>242</v>
      </c>
      <c r="Y3" s="3392" t="s">
        <v>243</v>
      </c>
    </row>
    <row r="4" spans="1:25">
      <c r="A4" s="2368" t="s">
        <v>244</v>
      </c>
      <c r="B4" s="2581" t="s">
        <v>245</v>
      </c>
      <c r="C4" s="3397" t="s">
        <v>246</v>
      </c>
      <c r="D4" s="3392" t="s">
        <v>121</v>
      </c>
      <c r="E4" s="3392" t="s">
        <v>247</v>
      </c>
      <c r="F4" s="3392" t="s">
        <v>154</v>
      </c>
      <c r="G4" s="3392">
        <v>70</v>
      </c>
      <c r="H4" s="3392" t="s">
        <v>154</v>
      </c>
      <c r="I4" s="3392" t="s">
        <v>248</v>
      </c>
      <c r="K4" s="3392" t="s">
        <v>249</v>
      </c>
      <c r="L4" s="3392" t="s">
        <v>249</v>
      </c>
      <c r="M4" s="3392" t="s">
        <v>249</v>
      </c>
      <c r="N4" s="3392" t="s">
        <v>249</v>
      </c>
      <c r="O4" s="3392" t="s">
        <v>249</v>
      </c>
      <c r="P4" s="3392" t="s">
        <v>249</v>
      </c>
      <c r="Q4" s="3392" t="s">
        <v>249</v>
      </c>
      <c r="R4" s="3392" t="s">
        <v>250</v>
      </c>
      <c r="S4" s="3392" t="s">
        <v>249</v>
      </c>
      <c r="T4" s="3392" t="s">
        <v>251</v>
      </c>
      <c r="U4" s="3392" t="s">
        <v>249</v>
      </c>
      <c r="W4" s="3392" t="s">
        <v>249</v>
      </c>
      <c r="X4" s="3392" t="s">
        <v>252</v>
      </c>
      <c r="Y4" s="3392" t="s">
        <v>253</v>
      </c>
    </row>
    <row r="5" spans="1:24">
      <c r="A5" s="2368" t="s">
        <v>254</v>
      </c>
      <c r="B5" s="2368" t="s">
        <v>255</v>
      </c>
      <c r="C5" s="3397" t="s">
        <v>256</v>
      </c>
      <c r="F5" s="3392" t="s">
        <v>155</v>
      </c>
      <c r="H5" s="3392" t="s">
        <v>257</v>
      </c>
      <c r="I5" s="3392" t="s">
        <v>258</v>
      </c>
      <c r="K5" s="3392" t="s">
        <v>259</v>
      </c>
      <c r="L5" s="3392" t="s">
        <v>259</v>
      </c>
      <c r="M5" s="3392" t="s">
        <v>259</v>
      </c>
      <c r="N5" s="3392" t="s">
        <v>259</v>
      </c>
      <c r="O5" s="3392" t="s">
        <v>259</v>
      </c>
      <c r="P5" s="3392" t="s">
        <v>259</v>
      </c>
      <c r="Q5" s="3392" t="s">
        <v>259</v>
      </c>
      <c r="R5" s="3392" t="s">
        <v>260</v>
      </c>
      <c r="S5" s="3392" t="s">
        <v>259</v>
      </c>
      <c r="T5" s="3392" t="s">
        <v>261</v>
      </c>
      <c r="U5" s="3392" t="s">
        <v>259</v>
      </c>
      <c r="W5" s="3392" t="s">
        <v>259</v>
      </c>
      <c r="X5" s="3401"/>
    </row>
    <row r="6" spans="1:24">
      <c r="A6" s="2368" t="s">
        <v>262</v>
      </c>
      <c r="B6" s="2368" t="s">
        <v>263</v>
      </c>
      <c r="C6" s="3398" t="s">
        <v>264</v>
      </c>
      <c r="F6" s="3392" t="s">
        <v>257</v>
      </c>
      <c r="H6" s="3392" t="s">
        <v>157</v>
      </c>
      <c r="I6" s="3392" t="s">
        <v>265</v>
      </c>
      <c r="K6" s="3392" t="s">
        <v>266</v>
      </c>
      <c r="L6" s="3392" t="s">
        <v>266</v>
      </c>
      <c r="M6" s="3392" t="s">
        <v>266</v>
      </c>
      <c r="N6" s="3392" t="s">
        <v>266</v>
      </c>
      <c r="O6" s="3392" t="s">
        <v>266</v>
      </c>
      <c r="P6" s="3392" t="s">
        <v>266</v>
      </c>
      <c r="Q6" s="3392" t="s">
        <v>266</v>
      </c>
      <c r="R6" s="3392" t="s">
        <v>267</v>
      </c>
      <c r="S6" s="3392" t="s">
        <v>266</v>
      </c>
      <c r="T6" s="3392"/>
      <c r="U6" s="3392" t="s">
        <v>266</v>
      </c>
      <c r="W6" s="3392" t="s">
        <v>266</v>
      </c>
      <c r="X6" s="3401"/>
    </row>
    <row r="7" spans="1:24">
      <c r="A7" s="2368" t="s">
        <v>268</v>
      </c>
      <c r="B7" s="2581" t="s">
        <v>269</v>
      </c>
      <c r="C7" s="3397" t="s">
        <v>270</v>
      </c>
      <c r="F7" s="3392" t="s">
        <v>271</v>
      </c>
      <c r="H7" s="3392" t="s">
        <v>155</v>
      </c>
      <c r="I7" s="3392" t="s">
        <v>272</v>
      </c>
      <c r="X7" s="3401"/>
    </row>
    <row r="8" spans="1:24">
      <c r="A8" s="2368" t="s">
        <v>273</v>
      </c>
      <c r="B8" s="2581" t="s">
        <v>274</v>
      </c>
      <c r="C8" s="3397" t="s">
        <v>275</v>
      </c>
      <c r="F8" s="3392" t="s">
        <v>276</v>
      </c>
      <c r="H8" s="3392" t="s">
        <v>277</v>
      </c>
      <c r="I8" s="3392" t="s">
        <v>278</v>
      </c>
      <c r="X8" s="3401"/>
    </row>
    <row r="9" spans="1:8">
      <c r="A9" s="2368" t="s">
        <v>279</v>
      </c>
      <c r="B9" s="2368" t="s">
        <v>280</v>
      </c>
      <c r="C9" s="3397" t="s">
        <v>281</v>
      </c>
      <c r="F9" s="3392" t="s">
        <v>157</v>
      </c>
      <c r="H9" s="3392" t="s">
        <v>282</v>
      </c>
    </row>
    <row r="10" spans="1:6">
      <c r="A10" s="2368" t="s">
        <v>283</v>
      </c>
      <c r="B10" s="2368" t="s">
        <v>284</v>
      </c>
      <c r="C10" s="3397" t="s">
        <v>285</v>
      </c>
      <c r="F10" s="3392" t="s">
        <v>121</v>
      </c>
    </row>
    <row r="11" spans="1:3">
      <c r="A11" s="2368" t="s">
        <v>286</v>
      </c>
      <c r="B11" s="2368" t="s">
        <v>287</v>
      </c>
      <c r="C11" s="3397" t="s">
        <v>288</v>
      </c>
    </row>
    <row r="12" spans="1:3">
      <c r="A12" s="2368" t="s">
        <v>289</v>
      </c>
      <c r="B12" s="2368" t="s">
        <v>290</v>
      </c>
      <c r="C12" s="3397" t="s">
        <v>291</v>
      </c>
    </row>
    <row r="13" spans="1:3">
      <c r="A13" s="2368" t="s">
        <v>292</v>
      </c>
      <c r="B13" s="2368" t="s">
        <v>293</v>
      </c>
      <c r="C13" s="3397" t="s">
        <v>294</v>
      </c>
    </row>
    <row r="14" spans="1:3">
      <c r="A14" s="2368" t="s">
        <v>295</v>
      </c>
      <c r="B14" s="2368" t="s">
        <v>296</v>
      </c>
      <c r="C14" s="3397"/>
    </row>
    <row r="15" spans="1:3">
      <c r="A15" s="2368" t="s">
        <v>297</v>
      </c>
      <c r="B15" s="2368" t="s">
        <v>298</v>
      </c>
      <c r="C15" s="3397"/>
    </row>
    <row r="16" spans="1:3">
      <c r="A16" s="2368" t="s">
        <v>299</v>
      </c>
      <c r="B16" s="2368" t="s">
        <v>300</v>
      </c>
      <c r="C16" s="3397"/>
    </row>
    <row r="17" spans="1:3">
      <c r="A17" s="2368" t="s">
        <v>301</v>
      </c>
      <c r="B17" s="2368" t="s">
        <v>302</v>
      </c>
      <c r="C17" s="3397"/>
    </row>
    <row r="18" spans="1:3">
      <c r="A18" s="2368" t="s">
        <v>303</v>
      </c>
      <c r="B18" s="2368" t="s">
        <v>304</v>
      </c>
      <c r="C18" s="3397"/>
    </row>
    <row r="19" spans="1:3">
      <c r="A19" s="2368" t="s">
        <v>305</v>
      </c>
      <c r="B19" s="2368" t="s">
        <v>306</v>
      </c>
      <c r="C19" s="3397"/>
    </row>
    <row r="20" spans="1:3">
      <c r="A20" s="2368" t="s">
        <v>307</v>
      </c>
      <c r="B20" s="2368" t="s">
        <v>308</v>
      </c>
      <c r="C20" s="3397"/>
    </row>
    <row r="21" spans="1:3">
      <c r="A21" s="2368" t="s">
        <v>257</v>
      </c>
      <c r="B21" s="2368" t="s">
        <v>309</v>
      </c>
      <c r="C21" s="3397"/>
    </row>
    <row r="22" spans="1:3">
      <c r="A22" s="2368" t="s">
        <v>310</v>
      </c>
      <c r="B22" s="2368" t="s">
        <v>309</v>
      </c>
      <c r="C22" s="3397"/>
    </row>
    <row r="23" spans="1:3">
      <c r="A23" s="2368" t="s">
        <v>311</v>
      </c>
      <c r="B23" s="2368" t="s">
        <v>309</v>
      </c>
      <c r="C23" s="3397"/>
    </row>
    <row r="24" spans="1:3">
      <c r="A24" s="2368" t="s">
        <v>312</v>
      </c>
      <c r="B24" s="2368" t="s">
        <v>309</v>
      </c>
      <c r="C24" s="3397"/>
    </row>
    <row r="25" spans="1:3">
      <c r="A25" s="2368" t="s">
        <v>313</v>
      </c>
      <c r="B25" s="2368" t="s">
        <v>309</v>
      </c>
      <c r="C25" s="3397"/>
    </row>
    <row r="26" spans="1:3">
      <c r="A26" s="2368" t="s">
        <v>314</v>
      </c>
      <c r="B26" s="2368" t="s">
        <v>309</v>
      </c>
      <c r="C26" s="3397"/>
    </row>
    <row r="27" spans="1:3">
      <c r="A27" s="2368" t="s">
        <v>309</v>
      </c>
      <c r="B27" s="2368" t="s">
        <v>309</v>
      </c>
      <c r="C27" s="3397"/>
    </row>
    <row r="28" spans="1:3">
      <c r="A28" s="2368" t="s">
        <v>309</v>
      </c>
      <c r="B28" s="2368" t="s">
        <v>309</v>
      </c>
      <c r="C28" s="3397"/>
    </row>
    <row r="29" spans="1:3">
      <c r="A29" s="2368" t="s">
        <v>309</v>
      </c>
      <c r="B29" s="2368" t="s">
        <v>309</v>
      </c>
      <c r="C29" s="3397"/>
    </row>
    <row r="30" spans="1:3">
      <c r="A30" s="2368" t="s">
        <v>309</v>
      </c>
      <c r="B30" s="2368" t="s">
        <v>309</v>
      </c>
      <c r="C30" s="3397"/>
    </row>
    <row r="31" spans="1:3">
      <c r="A31" s="2368" t="s">
        <v>309</v>
      </c>
      <c r="B31" s="2368" t="s">
        <v>309</v>
      </c>
      <c r="C31" s="3397"/>
    </row>
    <row r="32" spans="1:3">
      <c r="A32" s="2368" t="s">
        <v>309</v>
      </c>
      <c r="B32" s="2368" t="s">
        <v>309</v>
      </c>
      <c r="C32" s="3397"/>
    </row>
    <row r="33" spans="1:3">
      <c r="A33" s="2368" t="s">
        <v>309</v>
      </c>
      <c r="B33" s="2368" t="s">
        <v>309</v>
      </c>
      <c r="C33" s="3397"/>
    </row>
    <row r="34" spans="1:3">
      <c r="A34" s="2368" t="s">
        <v>309</v>
      </c>
      <c r="B34" s="2368" t="s">
        <v>309</v>
      </c>
      <c r="C34" s="3397"/>
    </row>
    <row r="35" spans="1:3">
      <c r="A35" s="2368" t="s">
        <v>309</v>
      </c>
      <c r="B35" s="2368" t="s">
        <v>309</v>
      </c>
      <c r="C35" s="3397"/>
    </row>
    <row r="36" spans="1:3">
      <c r="A36" s="2368" t="s">
        <v>309</v>
      </c>
      <c r="B36" s="2368" t="s">
        <v>309</v>
      </c>
      <c r="C36" s="3397"/>
    </row>
    <row r="37" spans="1:3">
      <c r="A37" s="2368" t="s">
        <v>309</v>
      </c>
      <c r="B37" s="2368" t="s">
        <v>309</v>
      </c>
      <c r="C37" s="3397"/>
    </row>
    <row r="38" spans="1:3">
      <c r="A38" s="2368" t="s">
        <v>309</v>
      </c>
      <c r="B38" s="2368" t="s">
        <v>309</v>
      </c>
      <c r="C38" s="3397"/>
    </row>
    <row r="39" spans="1:3">
      <c r="A39" s="2368" t="s">
        <v>309</v>
      </c>
      <c r="B39" s="2368" t="s">
        <v>309</v>
      </c>
      <c r="C39" s="3397"/>
    </row>
    <row r="40" spans="1:3">
      <c r="A40" s="2368" t="s">
        <v>309</v>
      </c>
      <c r="B40" s="2368" t="s">
        <v>309</v>
      </c>
      <c r="C40" s="3397"/>
    </row>
    <row r="41" spans="1:3">
      <c r="A41" s="2368" t="s">
        <v>309</v>
      </c>
      <c r="B41" s="2368" t="s">
        <v>309</v>
      </c>
      <c r="C41" s="3397"/>
    </row>
    <row r="42" spans="1:3">
      <c r="A42" s="2368" t="s">
        <v>309</v>
      </c>
      <c r="B42" s="2368" t="s">
        <v>309</v>
      </c>
      <c r="C42" s="3397"/>
    </row>
    <row r="43" spans="1:3">
      <c r="A43" s="2368" t="s">
        <v>309</v>
      </c>
      <c r="B43" s="2368" t="s">
        <v>309</v>
      </c>
      <c r="C43" s="3397"/>
    </row>
    <row r="44" spans="1:3">
      <c r="A44" s="2368" t="s">
        <v>309</v>
      </c>
      <c r="B44" s="2368" t="s">
        <v>309</v>
      </c>
      <c r="C44" s="3397"/>
    </row>
    <row r="45" spans="1:3">
      <c r="A45" s="2368" t="s">
        <v>309</v>
      </c>
      <c r="B45" s="2368" t="s">
        <v>309</v>
      </c>
      <c r="C45" s="3397"/>
    </row>
    <row r="46" spans="1:3">
      <c r="A46" s="2368" t="s">
        <v>309</v>
      </c>
      <c r="B46" s="2368" t="s">
        <v>309</v>
      </c>
      <c r="C46" s="3397"/>
    </row>
    <row r="47" spans="1:3">
      <c r="A47" s="2368" t="s">
        <v>309</v>
      </c>
      <c r="B47" s="2368" t="s">
        <v>309</v>
      </c>
      <c r="C47" s="3397"/>
    </row>
    <row r="48" spans="1:3">
      <c r="A48" s="2368" t="s">
        <v>309</v>
      </c>
      <c r="B48" s="2368" t="s">
        <v>309</v>
      </c>
      <c r="C48" s="3397"/>
    </row>
    <row r="49" spans="1:3">
      <c r="A49" s="2368" t="s">
        <v>309</v>
      </c>
      <c r="B49" s="2368" t="s">
        <v>309</v>
      </c>
      <c r="C49" s="3397"/>
    </row>
    <row r="50" spans="1:3">
      <c r="A50" s="2368" t="s">
        <v>309</v>
      </c>
      <c r="B50" s="2368" t="s">
        <v>309</v>
      </c>
      <c r="C50" s="3397"/>
    </row>
    <row r="51" spans="1:4">
      <c r="A51" s="3399" t="s">
        <v>315</v>
      </c>
      <c r="B51" s="2888" t="str">
        <f>"为估价委托人在向"&amp;项目基本情况!B5&amp;"办理贷款手续过程中，确定房地产抵押贷款额度提供参考依据而评估房地产抵押价值。"</f>
        <v>为估价委托人在向XX办理贷款手续过程中，确定房地产抵押贷款额度提供参考依据而评估房地产抵押价值。</v>
      </c>
      <c r="C51" s="2888" t="str">
        <f>项目基本情况!D7&amp;"拟使用"&amp;项目基本情况!I1&amp;"作为抵押担保物，向"&amp;项目基本情况!B5&amp;"办理贷款手续。"&amp;项目基本情况!B5&amp;"特委托北京康正宏基房地产评估有限公司对上述抵押物进行评估。本次评估为确定房地产抵押贷款额度提供参考依据而评估房地产抵押价值。"</f>
        <v>XX拟使用北京市房地产作为抵押担保物，向XX办理贷款手续。XX特委托北京康正宏基房地产评估有限公司对上述抵押物进行评估。本次评估为确定房地产抵押贷款额度提供参考依据而评估房地产抵押价值。</v>
      </c>
      <c r="D51" s="544" t="s">
        <v>316</v>
      </c>
    </row>
    <row r="52" spans="1:4">
      <c r="A52" s="3399" t="s">
        <v>317</v>
      </c>
      <c r="B52" s="3399" t="s">
        <v>318</v>
      </c>
      <c r="C52" s="2888" t="s">
        <v>319</v>
      </c>
      <c r="D52" s="2888" t="s">
        <v>320</v>
      </c>
    </row>
    <row r="53" customHeight="1" spans="1:3">
      <c r="A53" s="3395" t="s">
        <v>321</v>
      </c>
      <c r="B53" s="2888" t="s">
        <v>322</v>
      </c>
      <c r="C53" s="2888" t="str">
        <f>"本次估价的“房地产价值”是指在正常市场情况下，在价值时点"&amp;TEXT('数据-取费表'!B2,"yyyy年m月d日;;")&amp;"，估价对象规划用途为"&amp;项目基本情况!C14&amp;"，假定未设立法定优先受偿款下的房地产市场价值。"</f>
        <v>本次估价的“房地产价值”是指在正常市场情况下，在价值时点2022年1月6日，估价对象规划用途为，假定未设立法定优先受偿款下的房地产市场价值。</v>
      </c>
    </row>
    <row r="54" spans="1:3">
      <c r="A54" s="3395"/>
      <c r="B54" s="2888" t="s">
        <v>323</v>
      </c>
      <c r="C54" s="2888" t="s">
        <v>324</v>
      </c>
    </row>
    <row r="55" spans="1:3">
      <c r="A55" s="3395"/>
      <c r="B55" s="2888" t="s">
        <v>325</v>
      </c>
      <c r="C55" s="2888" t="s">
        <v>326</v>
      </c>
    </row>
    <row r="56" spans="1:3">
      <c r="A56" s="3395"/>
      <c r="B56" s="2888" t="s">
        <v>327</v>
      </c>
      <c r="C56" s="2888" t="s">
        <v>328</v>
      </c>
    </row>
    <row r="57" spans="1:3">
      <c r="A57" s="3395"/>
      <c r="B57" s="2888" t="s">
        <v>329</v>
      </c>
      <c r="C57" s="2888" t="s">
        <v>330</v>
      </c>
    </row>
    <row r="58" spans="1:2">
      <c r="A58" s="3400"/>
      <c r="B58" s="3401"/>
    </row>
    <row r="59" spans="1:2">
      <c r="A59" s="3400"/>
      <c r="B59" s="3401"/>
    </row>
    <row r="60" spans="1:2">
      <c r="A60" s="3402"/>
      <c r="B60" s="2888"/>
    </row>
    <row r="61" spans="1:2">
      <c r="A61" s="3402"/>
      <c r="B61" s="2888"/>
    </row>
    <row r="62" spans="1:2">
      <c r="A62" s="3402"/>
      <c r="B62" s="2888"/>
    </row>
    <row r="63" spans="1:2">
      <c r="A63" s="3402"/>
      <c r="B63" s="2888"/>
    </row>
    <row r="64" spans="1:2">
      <c r="A64" s="3402"/>
      <c r="B64" s="2888"/>
    </row>
    <row r="65" spans="1:2">
      <c r="A65" s="3402"/>
      <c r="B65" s="2888"/>
    </row>
    <row r="66" spans="1:2">
      <c r="A66" s="3402"/>
      <c r="B66" s="2888"/>
    </row>
    <row r="67" spans="1:2">
      <c r="A67" s="3402"/>
      <c r="B67" s="2888"/>
    </row>
    <row r="68" spans="1:2">
      <c r="A68" s="3402"/>
      <c r="B68" s="2888"/>
    </row>
    <row r="69" spans="1:2">
      <c r="A69" s="3402"/>
      <c r="B69" s="2888"/>
    </row>
    <row r="70" spans="1:2">
      <c r="A70" s="3402"/>
      <c r="B70" s="2888"/>
    </row>
    <row r="71" spans="1:2">
      <c r="A71" s="3402"/>
      <c r="B71" s="2888"/>
    </row>
    <row r="72" spans="1:2">
      <c r="A72" s="3402"/>
      <c r="B72" s="2888"/>
    </row>
    <row r="73" spans="1:2">
      <c r="A73" s="3402"/>
      <c r="B73" s="2888"/>
    </row>
    <row r="74" spans="1:2">
      <c r="A74" s="3402"/>
      <c r="B74" s="2888"/>
    </row>
    <row r="75" spans="1:2">
      <c r="A75" s="3402"/>
      <c r="B75" s="2888"/>
    </row>
    <row r="76" spans="1:2">
      <c r="A76" s="3402"/>
      <c r="B76" s="2888"/>
    </row>
    <row r="77" spans="1:2">
      <c r="A77" s="3402"/>
      <c r="B77" s="2888"/>
    </row>
    <row r="78" spans="1:2">
      <c r="A78" s="3402"/>
      <c r="B78" s="2888"/>
    </row>
    <row r="79" spans="1:2">
      <c r="A79" s="3402"/>
      <c r="B79" s="2888"/>
    </row>
    <row r="80" spans="1:2">
      <c r="A80" s="3402"/>
      <c r="B80" s="2888"/>
    </row>
    <row r="81" spans="1:2">
      <c r="A81" s="3402"/>
      <c r="B81" s="2888"/>
    </row>
    <row r="82" spans="1:2">
      <c r="A82" s="3402"/>
      <c r="B82" s="2888"/>
    </row>
    <row r="83" spans="1:2">
      <c r="A83" s="3402"/>
      <c r="B83" s="2888"/>
    </row>
    <row r="84" spans="1:2">
      <c r="A84" s="3402"/>
      <c r="B84" s="2888"/>
    </row>
    <row r="85" spans="1:2">
      <c r="A85" s="3402"/>
      <c r="B85" s="2888"/>
    </row>
    <row r="86" spans="1:2">
      <c r="A86" s="3402"/>
      <c r="B86" s="2888"/>
    </row>
    <row r="87" spans="1:2">
      <c r="A87" s="3402"/>
      <c r="B87" s="2888"/>
    </row>
    <row r="88" spans="1:2">
      <c r="A88" s="3402"/>
      <c r="B88" s="2888"/>
    </row>
    <row r="89" spans="1:2">
      <c r="A89" s="3402"/>
      <c r="B89" s="2888"/>
    </row>
    <row r="90" spans="1:2">
      <c r="A90" s="3402"/>
      <c r="B90" s="2888"/>
    </row>
    <row r="91" spans="1:2">
      <c r="A91" s="3402"/>
      <c r="B91" s="2888"/>
    </row>
    <row r="92" spans="1:2">
      <c r="A92" s="3402"/>
      <c r="B92" s="2888"/>
    </row>
    <row r="93" spans="1:2">
      <c r="A93" s="3402"/>
      <c r="B93" s="2888"/>
    </row>
    <row r="94" spans="1:2">
      <c r="A94" s="3402"/>
      <c r="B94" s="2888"/>
    </row>
    <row r="95" spans="1:2">
      <c r="A95" s="3402"/>
      <c r="B95" s="2888"/>
    </row>
    <row r="96" spans="1:2">
      <c r="A96" s="3402"/>
      <c r="B96" s="2888"/>
    </row>
    <row r="97" spans="1:2">
      <c r="A97" s="3402"/>
      <c r="B97" s="2888"/>
    </row>
    <row r="98" spans="1:2">
      <c r="A98" s="3402"/>
      <c r="B98" s="2888"/>
    </row>
    <row r="99" spans="1:2">
      <c r="A99" s="3402"/>
      <c r="B99" s="2888"/>
    </row>
    <row r="100" spans="1:2">
      <c r="A100" s="3402"/>
      <c r="B100" s="2888"/>
    </row>
    <row r="101" spans="1:2">
      <c r="A101" s="3402"/>
      <c r="B101" s="2888"/>
    </row>
    <row r="102" spans="1:2">
      <c r="A102" s="3402"/>
      <c r="B102" s="2888"/>
    </row>
    <row r="103" spans="1:2">
      <c r="A103" s="3402"/>
      <c r="B103" s="2888"/>
    </row>
    <row r="104" spans="1:2">
      <c r="A104" s="3402"/>
      <c r="B104" s="2888"/>
    </row>
    <row r="105" spans="1:2">
      <c r="A105" s="3402"/>
      <c r="B105" s="2888"/>
    </row>
    <row r="106" spans="1:2">
      <c r="A106" s="3402"/>
      <c r="B106" s="2888"/>
    </row>
    <row r="107" spans="1:2">
      <c r="A107" s="3402"/>
      <c r="B107" s="2888"/>
    </row>
    <row r="108" spans="1:2">
      <c r="A108" s="3402"/>
      <c r="B108" s="2888"/>
    </row>
    <row r="109" spans="1:2">
      <c r="A109" s="3402"/>
      <c r="B109" s="2888"/>
    </row>
    <row r="110" spans="1:2">
      <c r="A110" s="3402"/>
      <c r="B110" s="2888"/>
    </row>
    <row r="111" spans="1:2">
      <c r="A111" s="3402"/>
      <c r="B111" s="2888"/>
    </row>
    <row r="112" spans="1:2">
      <c r="A112" s="3402"/>
      <c r="B112" s="2888"/>
    </row>
    <row r="113" spans="1:2">
      <c r="A113" s="3402"/>
      <c r="B113" s="2888"/>
    </row>
    <row r="114" spans="1:2">
      <c r="A114" s="3402"/>
      <c r="B114" s="2888"/>
    </row>
    <row r="115" spans="1:2">
      <c r="A115" s="3402"/>
      <c r="B115" s="2888"/>
    </row>
    <row r="116" spans="1:2">
      <c r="A116" s="3402"/>
      <c r="B116" s="2888"/>
    </row>
    <row r="117" spans="1:2">
      <c r="A117" s="3402"/>
      <c r="B117" s="2888"/>
    </row>
    <row r="118" spans="1:2">
      <c r="A118" s="3402"/>
      <c r="B118" s="2888"/>
    </row>
    <row r="119" spans="1:2">
      <c r="A119" s="3402"/>
      <c r="B119" s="2888"/>
    </row>
    <row r="120" spans="1:2">
      <c r="A120" s="3402"/>
      <c r="B120" s="2888"/>
    </row>
    <row r="121" spans="1:2">
      <c r="A121" s="3402"/>
      <c r="B121" s="2888"/>
    </row>
    <row r="122" spans="1:2">
      <c r="A122" s="3402"/>
      <c r="B122" s="2888"/>
    </row>
    <row r="123" spans="1:2">
      <c r="A123" s="3402"/>
      <c r="B123" s="2888"/>
    </row>
    <row r="124" spans="1:2">
      <c r="A124" s="3402"/>
      <c r="B124" s="2888"/>
    </row>
    <row r="125" spans="1:2">
      <c r="A125" s="3402"/>
      <c r="B125" s="2888"/>
    </row>
    <row r="126" spans="1:2">
      <c r="A126" s="3402"/>
      <c r="B126" s="2888"/>
    </row>
    <row r="127" spans="1:2">
      <c r="A127" s="3402"/>
      <c r="B127" s="2888"/>
    </row>
    <row r="128" spans="1:2">
      <c r="A128" s="3402"/>
      <c r="B128" s="2888"/>
    </row>
  </sheetData>
  <sheetProtection password="CEE9" sheet="1" formatCells="0" formatColumns="0" formatRows="0" objects="1" scenarios="1"/>
  <mergeCells count="1">
    <mergeCell ref="A53:A57"/>
  </mergeCells>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Company>Sky123.Org</Company>
  <Application>Microsoft Excel</Application>
  <HeadingPairs>
    <vt:vector size="2" baseType="variant">
      <vt:variant>
        <vt:lpstr>工作表</vt:lpstr>
      </vt:variant>
      <vt:variant>
        <vt:i4>38</vt:i4>
      </vt:variant>
    </vt:vector>
  </HeadingPairs>
  <TitlesOfParts>
    <vt:vector size="38" baseType="lpstr">
      <vt:lpstr>致函链接</vt:lpstr>
      <vt:lpstr>预评函-封皮</vt:lpstr>
      <vt:lpstr>预评函-1</vt:lpstr>
      <vt:lpstr>预评函-2（1）</vt:lpstr>
      <vt:lpstr>预评函-2（2）</vt:lpstr>
      <vt:lpstr>预评函-3</vt:lpstr>
      <vt:lpstr>使用说明</vt:lpstr>
      <vt:lpstr>估价师及机构信息</vt:lpstr>
      <vt:lpstr>定义</vt:lpstr>
      <vt:lpstr>项目基本情况</vt:lpstr>
      <vt:lpstr>抵押物清单（分楼）</vt:lpstr>
      <vt:lpstr>数据-取费表</vt:lpstr>
      <vt:lpstr>估价对象房地状况</vt:lpstr>
      <vt:lpstr>系统读取表</vt:lpstr>
      <vt:lpstr>结果表</vt:lpstr>
      <vt:lpstr>结果表 (1修多)</vt:lpstr>
      <vt:lpstr>成本法</vt:lpstr>
      <vt:lpstr>假设开发法</vt:lpstr>
      <vt:lpstr>比较法-住宅</vt:lpstr>
      <vt:lpstr>比较法案例</vt:lpstr>
      <vt:lpstr>收益法</vt:lpstr>
      <vt:lpstr>收益法-酒店模型</vt:lpstr>
      <vt:lpstr>典型户型修正</vt:lpstr>
      <vt:lpstr>比较法-商业</vt:lpstr>
      <vt:lpstr>比较法-办公</vt:lpstr>
      <vt:lpstr>比较法-工业</vt:lpstr>
      <vt:lpstr>比较法-车位</vt:lpstr>
      <vt:lpstr>比较法-仓储</vt:lpstr>
      <vt:lpstr>土地比较法-住宅、综合</vt:lpstr>
      <vt:lpstr>土地比较法-工业</vt:lpstr>
      <vt:lpstr>基准地价修正</vt:lpstr>
      <vt:lpstr>因素修正幅度</vt:lpstr>
      <vt:lpstr>基准地价修正-因素</vt:lpstr>
      <vt:lpstr>区片价</vt:lpstr>
      <vt:lpstr>修正</vt:lpstr>
      <vt:lpstr>容积率修正</vt:lpstr>
      <vt:lpstr>地价</vt:lpstr>
      <vt:lpstr>存贷款利率</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Sky123.Org</dc:creator>
  <cp:lastModifiedBy>俊然</cp:lastModifiedBy>
  <dcterms:created xsi:type="dcterms:W3CDTF">2015-07-13T07:17:00Z</dcterms:created>
  <cp:lastPrinted>2020-08-03T08:20:00Z</cp:lastPrinted>
  <dcterms:modified xsi:type="dcterms:W3CDTF">2022-01-14T08:18:34Z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2052-11.1.0.11294</vt:lpwstr>
  </property>
  <property fmtid="{D5CDD505-2E9C-101B-9397-08002B2CF9AE}" pid="3" name="ICV">
    <vt:lpwstr>C58BBBB3FF4945D8BAA057706D148838</vt:lpwstr>
  </property>
</Properties>
</file>